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xampp\htdocs\spreadsheet123\files\free-templates\"/>
    </mc:Choice>
  </mc:AlternateContent>
  <xr:revisionPtr revIDLastSave="0" documentId="13_ncr:1_{B335D08C-647A-4A53-9F11-C05548F135A0}" xr6:coauthVersionLast="47" xr6:coauthVersionMax="47" xr10:uidLastSave="{00000000-0000-0000-0000-000000000000}"/>
  <bookViews>
    <workbookView xWindow="-120" yWindow="-120" windowWidth="29040" windowHeight="15720" tabRatio="640" xr2:uid="{00000000-000D-0000-FFFF-FFFF00000000}"/>
  </bookViews>
  <sheets>
    <sheet name="Paycheck Calculator" sheetId="16" r:id="rId1"/>
    <sheet name="Federal Tax Tables New" sheetId="17" r:id="rId2"/>
    <sheet name="California Tax Tables" sheetId="13" r:id="rId3"/>
    <sheet name="©" sheetId="4" r:id="rId4"/>
  </sheets>
  <definedNames>
    <definedName name="_xlnm.Print_Area" localSheetId="0">'Paycheck Calculator'!$A$1:$G$78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5" i="13" l="1"/>
  <c r="A64" i="13"/>
  <c r="A63" i="13"/>
  <c r="A62" i="13"/>
  <c r="A61" i="13"/>
  <c r="A60" i="13"/>
  <c r="A59" i="13"/>
  <c r="A58" i="13"/>
  <c r="D57" i="13"/>
  <c r="D58" i="13" s="1"/>
  <c r="D59" i="13" s="1"/>
  <c r="D60" i="13" s="1"/>
  <c r="D61" i="13" s="1"/>
  <c r="D62" i="13" s="1"/>
  <c r="D63" i="13" s="1"/>
  <c r="D64" i="13" s="1"/>
  <c r="D65" i="13" s="1"/>
  <c r="A57" i="13"/>
  <c r="A51" i="13"/>
  <c r="H50" i="13"/>
  <c r="N50" i="13" s="1"/>
  <c r="A50" i="13"/>
  <c r="P49" i="13"/>
  <c r="J49" i="13"/>
  <c r="H49" i="13"/>
  <c r="O49" i="13" s="1"/>
  <c r="A49" i="13"/>
  <c r="H48" i="13"/>
  <c r="O48" i="13" s="1"/>
  <c r="A48" i="13"/>
  <c r="H47" i="13"/>
  <c r="O47" i="13" s="1"/>
  <c r="A47" i="13"/>
  <c r="H46" i="13"/>
  <c r="P46" i="13" s="1"/>
  <c r="A46" i="13"/>
  <c r="H45" i="13"/>
  <c r="J45" i="13" s="1"/>
  <c r="A45" i="13"/>
  <c r="H44" i="13"/>
  <c r="O44" i="13" s="1"/>
  <c r="D44" i="13"/>
  <c r="D45" i="13" s="1"/>
  <c r="D46" i="13" s="1"/>
  <c r="D47" i="13" s="1"/>
  <c r="D48" i="13" s="1"/>
  <c r="D49" i="13" s="1"/>
  <c r="D50" i="13" s="1"/>
  <c r="D51" i="13" s="1"/>
  <c r="A44" i="13"/>
  <c r="H43" i="13"/>
  <c r="P43" i="13" s="1"/>
  <c r="D43" i="13"/>
  <c r="A43" i="13"/>
  <c r="A37" i="13"/>
  <c r="J36" i="13"/>
  <c r="J35" i="13" s="1"/>
  <c r="A36" i="13"/>
  <c r="I35" i="13"/>
  <c r="A35" i="13"/>
  <c r="I34" i="13"/>
  <c r="A34" i="13"/>
  <c r="J33" i="13"/>
  <c r="I33" i="13"/>
  <c r="A33" i="13"/>
  <c r="I32" i="13"/>
  <c r="A32" i="13"/>
  <c r="I31" i="13"/>
  <c r="A31" i="13"/>
  <c r="J30" i="13"/>
  <c r="I30" i="13"/>
  <c r="D30" i="13"/>
  <c r="D31" i="13" s="1"/>
  <c r="D32" i="13" s="1"/>
  <c r="D33" i="13" s="1"/>
  <c r="D34" i="13" s="1"/>
  <c r="D35" i="13" s="1"/>
  <c r="D36" i="13" s="1"/>
  <c r="D37" i="13" s="1"/>
  <c r="A30" i="13"/>
  <c r="I29" i="13"/>
  <c r="D29" i="13"/>
  <c r="A29" i="13"/>
  <c r="D17" i="13"/>
  <c r="I44" i="13" l="1"/>
  <c r="J47" i="13"/>
  <c r="N44" i="13"/>
  <c r="P47" i="13"/>
  <c r="I48" i="13"/>
  <c r="K48" i="13"/>
  <c r="L48" i="13"/>
  <c r="P48" i="13"/>
  <c r="I43" i="13"/>
  <c r="I46" i="13"/>
  <c r="J31" i="13"/>
  <c r="M45" i="13"/>
  <c r="J43" i="13"/>
  <c r="K43" i="13"/>
  <c r="J46" i="13"/>
  <c r="I49" i="13"/>
  <c r="K47" i="13"/>
  <c r="M47" i="13"/>
  <c r="I47" i="13"/>
  <c r="K44" i="13"/>
  <c r="M44" i="13"/>
  <c r="M50" i="13"/>
  <c r="O50" i="13"/>
  <c r="I45" i="13"/>
  <c r="K45" i="13"/>
  <c r="L45" i="13"/>
  <c r="N45" i="13"/>
  <c r="O45" i="13"/>
  <c r="P45" i="13"/>
  <c r="K46" i="13"/>
  <c r="M43" i="13"/>
  <c r="L46" i="13"/>
  <c r="K49" i="13"/>
  <c r="J50" i="13"/>
  <c r="N47" i="13"/>
  <c r="K36" i="13"/>
  <c r="J29" i="13"/>
  <c r="J32" i="13"/>
  <c r="L43" i="13"/>
  <c r="N43" i="13"/>
  <c r="M46" i="13"/>
  <c r="L49" i="13"/>
  <c r="I50" i="13"/>
  <c r="L47" i="13"/>
  <c r="L50" i="13"/>
  <c r="P44" i="13"/>
  <c r="P50" i="13"/>
  <c r="O43" i="13"/>
  <c r="N46" i="13"/>
  <c r="M49" i="13"/>
  <c r="J34" i="13"/>
  <c r="O46" i="13"/>
  <c r="N49" i="13"/>
  <c r="J44" i="13"/>
  <c r="L44" i="13"/>
  <c r="K50" i="13"/>
  <c r="J48" i="13"/>
  <c r="M48" i="13"/>
  <c r="N48" i="13"/>
  <c r="K35" i="13" l="1"/>
  <c r="L36" i="13"/>
  <c r="K30" i="13"/>
  <c r="K29" i="13"/>
  <c r="K34" i="13"/>
  <c r="K32" i="13"/>
  <c r="K33" i="13"/>
  <c r="K31" i="13"/>
  <c r="L30" i="13" l="1"/>
  <c r="L33" i="13"/>
  <c r="L32" i="13"/>
  <c r="L35" i="13"/>
  <c r="L31" i="13"/>
  <c r="L29" i="13"/>
  <c r="L34" i="13"/>
  <c r="M36" i="13"/>
  <c r="M35" i="13" l="1"/>
  <c r="M32" i="13"/>
  <c r="N36" i="13"/>
  <c r="M33" i="13"/>
  <c r="M29" i="13"/>
  <c r="M31" i="13"/>
  <c r="M34" i="13"/>
  <c r="M30" i="13"/>
  <c r="N32" i="13" l="1"/>
  <c r="N30" i="13"/>
  <c r="N33" i="13"/>
  <c r="N29" i="13"/>
  <c r="N34" i="13"/>
  <c r="N31" i="13"/>
  <c r="N35" i="13"/>
  <c r="O36" i="13"/>
  <c r="O32" i="13" l="1"/>
  <c r="O34" i="13"/>
  <c r="O30" i="13"/>
  <c r="O29" i="13"/>
  <c r="O31" i="13"/>
  <c r="P36" i="13"/>
  <c r="O33" i="13"/>
  <c r="O35" i="13"/>
  <c r="Q36" i="13" l="1"/>
  <c r="P33" i="13"/>
  <c r="P35" i="13"/>
  <c r="P32" i="13"/>
  <c r="P29" i="13"/>
  <c r="P30" i="13"/>
  <c r="P34" i="13"/>
  <c r="P31" i="13"/>
  <c r="Q33" i="13" l="1"/>
  <c r="Q35" i="13"/>
  <c r="Q29" i="13"/>
  <c r="Q32" i="13"/>
  <c r="R36" i="13"/>
  <c r="Q34" i="13"/>
  <c r="Q31" i="13"/>
  <c r="Q30" i="13"/>
  <c r="R29" i="13" l="1"/>
  <c r="R30" i="13"/>
  <c r="R32" i="13"/>
  <c r="R31" i="13"/>
  <c r="R34" i="13"/>
  <c r="R33" i="13"/>
  <c r="R35" i="13"/>
  <c r="B62" i="17" l="1"/>
  <c r="B61" i="17"/>
  <c r="B60" i="17"/>
  <c r="B59" i="17"/>
  <c r="B58" i="17"/>
  <c r="B57" i="17"/>
  <c r="B56" i="17"/>
  <c r="L51" i="17"/>
  <c r="F51" i="17"/>
  <c r="A51" i="17"/>
  <c r="L50" i="17"/>
  <c r="K51" i="17" s="1"/>
  <c r="F50" i="17"/>
  <c r="A50" i="17"/>
  <c r="L49" i="17"/>
  <c r="K50" i="17" s="1"/>
  <c r="F49" i="17"/>
  <c r="A49" i="17"/>
  <c r="L48" i="17"/>
  <c r="K48" i="17"/>
  <c r="F48" i="17"/>
  <c r="A48" i="17"/>
  <c r="L47" i="17"/>
  <c r="F47" i="17"/>
  <c r="A47" i="17"/>
  <c r="L46" i="17"/>
  <c r="K47" i="17" s="1"/>
  <c r="F46" i="17"/>
  <c r="A46" i="17"/>
  <c r="L45" i="17"/>
  <c r="H45" i="17"/>
  <c r="F45" i="17"/>
  <c r="H46" i="17" s="1"/>
  <c r="C45" i="17"/>
  <c r="A45" i="17"/>
  <c r="C46" i="17" s="1"/>
  <c r="L44" i="17"/>
  <c r="K45" i="17" s="1"/>
  <c r="L40" i="17"/>
  <c r="F40" i="17"/>
  <c r="A40" i="17"/>
  <c r="L39" i="17"/>
  <c r="F39" i="17"/>
  <c r="A39" i="17"/>
  <c r="L38" i="17"/>
  <c r="K39" i="17" s="1"/>
  <c r="F38" i="17"/>
  <c r="A38" i="17"/>
  <c r="L37" i="17"/>
  <c r="K38" i="17" s="1"/>
  <c r="F37" i="17"/>
  <c r="A37" i="17"/>
  <c r="L36" i="17"/>
  <c r="K37" i="17" s="1"/>
  <c r="F36" i="17"/>
  <c r="A36" i="17"/>
  <c r="L35" i="17"/>
  <c r="K36" i="17" s="1"/>
  <c r="K35" i="17"/>
  <c r="H35" i="17"/>
  <c r="F35" i="17"/>
  <c r="H36" i="17" s="1"/>
  <c r="C35" i="17"/>
  <c r="C36" i="17" s="1"/>
  <c r="C37" i="17" s="1"/>
  <c r="A35" i="17"/>
  <c r="L34" i="17"/>
  <c r="H34" i="17"/>
  <c r="F34" i="17"/>
  <c r="C34" i="17"/>
  <c r="A34" i="17"/>
  <c r="L33" i="17"/>
  <c r="M34" i="17" s="1"/>
  <c r="L29" i="17"/>
  <c r="F29" i="17"/>
  <c r="A29" i="17"/>
  <c r="L28" i="17"/>
  <c r="F28" i="17"/>
  <c r="A28" i="17"/>
  <c r="L27" i="17"/>
  <c r="F27" i="17"/>
  <c r="A27" i="17"/>
  <c r="L26" i="17"/>
  <c r="K27" i="17" s="1"/>
  <c r="F26" i="17"/>
  <c r="A26" i="17"/>
  <c r="L25" i="17"/>
  <c r="K26" i="17" s="1"/>
  <c r="F25" i="17"/>
  <c r="A25" i="17"/>
  <c r="L24" i="17"/>
  <c r="F24" i="17"/>
  <c r="A24" i="17"/>
  <c r="L23" i="17"/>
  <c r="H23" i="17"/>
  <c r="F23" i="17"/>
  <c r="H24" i="17" s="1"/>
  <c r="C23" i="17"/>
  <c r="A23" i="17"/>
  <c r="C24" i="17" s="1"/>
  <c r="L22" i="17"/>
  <c r="M23" i="17" s="1"/>
  <c r="C47" i="17" l="1"/>
  <c r="C48" i="17" s="1"/>
  <c r="C49" i="17" s="1"/>
  <c r="C50" i="17" s="1"/>
  <c r="C51" i="17" s="1"/>
  <c r="C25" i="17"/>
  <c r="H47" i="17"/>
  <c r="H48" i="17" s="1"/>
  <c r="H49" i="17"/>
  <c r="H50" i="17"/>
  <c r="H51" i="17" s="1"/>
  <c r="H25" i="17"/>
  <c r="H26" i="17"/>
  <c r="H27" i="17" s="1"/>
  <c r="H28" i="17" s="1"/>
  <c r="H29" i="17" s="1"/>
  <c r="M46" i="17"/>
  <c r="H37" i="17"/>
  <c r="H38" i="17" s="1"/>
  <c r="H39" i="17" s="1"/>
  <c r="H40" i="17" s="1"/>
  <c r="C38" i="17"/>
  <c r="C26" i="17"/>
  <c r="C27" i="17" s="1"/>
  <c r="C39" i="17"/>
  <c r="C40" i="17" s="1"/>
  <c r="C28" i="17"/>
  <c r="C29" i="17"/>
  <c r="K23" i="17"/>
  <c r="M24" i="17" s="1"/>
  <c r="M36" i="17"/>
  <c r="M37" i="17" s="1"/>
  <c r="M38" i="17" s="1"/>
  <c r="M39" i="17" s="1"/>
  <c r="M40" i="17" s="1"/>
  <c r="K24" i="17"/>
  <c r="M25" i="17" s="1"/>
  <c r="K49" i="17"/>
  <c r="K28" i="17"/>
  <c r="M45" i="17"/>
  <c r="K29" i="17"/>
  <c r="K34" i="17"/>
  <c r="M35" i="17" s="1"/>
  <c r="K40" i="17"/>
  <c r="K46" i="17"/>
  <c r="M47" i="17" s="1"/>
  <c r="M48" i="17" s="1"/>
  <c r="M49" i="17" s="1"/>
  <c r="M50" i="17" s="1"/>
  <c r="M51" i="17" s="1"/>
  <c r="K25" i="17"/>
  <c r="M26" i="17" l="1"/>
  <c r="M27" i="17" s="1"/>
  <c r="M28" i="17" s="1"/>
  <c r="M29" i="17" s="1"/>
  <c r="U55" i="16" l="1"/>
  <c r="Q60" i="16"/>
  <c r="Q55" i="16" s="1"/>
  <c r="R66" i="16"/>
  <c r="R67" i="16" s="1"/>
  <c r="P80" i="16"/>
  <c r="P81" i="16"/>
  <c r="P82" i="16" s="1"/>
  <c r="P89" i="16" a="1"/>
  <c r="P89" i="16" s="1"/>
  <c r="P90" i="16"/>
  <c r="P92" i="16"/>
  <c r="P79" i="16" l="1"/>
  <c r="R65" i="16"/>
  <c r="R68" i="16" s="1"/>
  <c r="R69" i="16" s="1"/>
  <c r="P74" i="16"/>
  <c r="Q74" i="16"/>
  <c r="R70" i="16" l="1"/>
  <c r="R72" i="16"/>
  <c r="R71" i="16"/>
  <c r="B6" i="4"/>
  <c r="A62" i="16"/>
  <c r="R73" i="16" l="1"/>
  <c r="R76" i="16" s="1"/>
  <c r="F6" i="16" l="1"/>
  <c r="A66" i="16"/>
  <c r="A65" i="16"/>
  <c r="A64" i="16"/>
  <c r="A63" i="16"/>
  <c r="A61" i="16"/>
  <c r="A60" i="16"/>
  <c r="A59" i="16"/>
  <c r="A58" i="16"/>
  <c r="A57" i="16"/>
  <c r="A56" i="16"/>
  <c r="A55" i="16"/>
  <c r="F25" i="16"/>
  <c r="B66" i="16" s="1"/>
  <c r="F24" i="16"/>
  <c r="B65" i="16" s="1"/>
  <c r="F23" i="16"/>
  <c r="B64" i="16" s="1"/>
  <c r="F14" i="16"/>
  <c r="F10" i="16" s="1"/>
  <c r="B56" i="16" s="1"/>
  <c r="F13" i="16"/>
  <c r="B58" i="16" s="1"/>
  <c r="F12" i="16"/>
  <c r="I2" i="16"/>
  <c r="B57" i="16" l="1"/>
  <c r="P65" i="16"/>
  <c r="B59" i="16"/>
  <c r="F7" i="16"/>
  <c r="F8" i="16"/>
  <c r="P83" i="16" l="1"/>
  <c r="P84" i="16" s="1"/>
  <c r="P68" i="16"/>
  <c r="P69" i="16" s="1"/>
  <c r="F22" i="16"/>
  <c r="B63" i="16" s="1"/>
  <c r="B55" i="16"/>
  <c r="Q70" i="16" l="1"/>
  <c r="Q72" i="16"/>
  <c r="P72" i="16"/>
  <c r="P70" i="16"/>
  <c r="P71" i="16"/>
  <c r="Q71" i="16"/>
  <c r="P86" i="16"/>
  <c r="P85" i="16"/>
  <c r="P87" i="16"/>
  <c r="F20" i="16"/>
  <c r="B62" i="16" s="1"/>
  <c r="P73" i="16" l="1"/>
  <c r="P75" i="16" s="1"/>
  <c r="P76" i="16" s="1"/>
  <c r="F16" i="16" s="1"/>
  <c r="B60" i="16" s="1"/>
  <c r="P88" i="16"/>
  <c r="P91" i="16" s="1"/>
  <c r="Q73" i="16"/>
  <c r="Q75" i="16" s="1"/>
  <c r="Q76" i="16" s="1"/>
  <c r="F18" i="16" l="1"/>
  <c r="B61" i="16" l="1"/>
  <c r="F27" i="16"/>
  <c r="B5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Bejanishvili</author>
  </authors>
  <commentList>
    <comment ref="E6" authorId="0" shapeId="0" xr:uid="{9E9EE5C5-8D9B-47EC-9287-E2EA36441FF1}">
      <text>
        <r>
          <rPr>
            <b/>
            <sz val="9"/>
            <color indexed="81"/>
            <rFont val="Tahoma"/>
            <family val="2"/>
          </rPr>
          <t xml:space="preserve">Estimated Gross Annual Pay:
</t>
        </r>
        <r>
          <rPr>
            <sz val="9"/>
            <color indexed="81"/>
            <rFont val="Tahoma"/>
            <family val="2"/>
          </rPr>
          <t>This amount is only an estimate as it does not take into account any bonus payments, pay raises, taxable compensations, etc that affect your gross pay.</t>
        </r>
      </text>
    </comment>
    <comment ref="E8" authorId="0" shapeId="0" xr:uid="{B289E82F-AA02-4A4F-A62C-E825CBCE9D0F}">
      <text>
        <r>
          <rPr>
            <b/>
            <sz val="9"/>
            <color indexed="81"/>
            <rFont val="Tahoma"/>
            <family val="2"/>
          </rPr>
          <t xml:space="preserve">FICA Social Security:
</t>
        </r>
        <r>
          <rPr>
            <sz val="9"/>
            <color indexed="81"/>
            <rFont val="Tahoma"/>
            <family val="2"/>
          </rPr>
          <t>Social Security Tax is 6.2% of your gross earnings based on the 2020 IRS Publication 15. The annual limit for Social Security deductions that exist is neglected as this calculator does not take into account year-to-date totals.</t>
        </r>
      </text>
    </comment>
    <comment ref="E10" authorId="0" shapeId="0" xr:uid="{2C310FEE-D638-4DC7-BA8D-AD736A69F6D7}">
      <text>
        <r>
          <rPr>
            <b/>
            <sz val="9"/>
            <color indexed="81"/>
            <rFont val="Tahoma"/>
            <family val="2"/>
          </rPr>
          <t xml:space="preserve">FICA Medicare:
</t>
        </r>
        <r>
          <rPr>
            <sz val="9"/>
            <color indexed="81"/>
            <rFont val="Tahoma"/>
            <family val="2"/>
          </rPr>
          <t>Medicare Tax is 1.45% of your gross earnings based on the 2020 IRS Publication 15. Unlike Social Security deductions, there is no limit for Medicare deductions.</t>
        </r>
      </text>
    </comment>
    <comment ref="A12" authorId="0" shapeId="0" xr:uid="{241737BF-31B4-408E-9085-382CB3B1809B}">
      <text>
        <r>
          <rPr>
            <b/>
            <sz val="9"/>
            <color indexed="81"/>
            <rFont val="Tahoma"/>
            <family val="2"/>
          </rPr>
          <t xml:space="preserve">Filing Status:
</t>
        </r>
        <r>
          <rPr>
            <sz val="9"/>
            <color indexed="81"/>
            <rFont val="Tahoma"/>
            <family val="2"/>
          </rPr>
          <t>You may choose either "Single", "Married", or "Married but use Single rate" as your income filing status.</t>
        </r>
      </text>
    </comment>
    <comment ref="A13" authorId="0" shapeId="0" xr:uid="{90175EAE-F302-4036-8E19-D68E0EE1B38C}">
      <text>
        <r>
          <rPr>
            <b/>
            <sz val="9"/>
            <color indexed="81"/>
            <rFont val="Tahoma"/>
            <family val="2"/>
          </rPr>
          <t>Number of Federal Allowances:</t>
        </r>
        <r>
          <rPr>
            <sz val="9"/>
            <color indexed="81"/>
            <rFont val="Tahoma"/>
            <family val="2"/>
          </rPr>
          <t xml:space="preserve">
This is the number of allowances reported on your W-4 form. This number is used to determine the amount of reduction of gross annual pay before calculation of the federal tax withholding. The number of allowances is normally based on the number of dependents. The most recent information regarding the amount associated with a single allowance is specified in IRS Publication 15. This information is specific to a tax year and subject to annual changes.</t>
        </r>
      </text>
    </comment>
    <comment ref="A14" authorId="0" shapeId="0" xr:uid="{D0869782-A977-4977-9750-0228DBF7C5CF}">
      <text>
        <r>
          <rPr>
            <b/>
            <sz val="9"/>
            <color indexed="81"/>
            <rFont val="Tahoma"/>
            <family val="2"/>
          </rPr>
          <t xml:space="preserve">Additional Amount to Withhold:
</t>
        </r>
        <r>
          <rPr>
            <sz val="9"/>
            <color indexed="81"/>
            <rFont val="Tahoma"/>
            <family val="2"/>
          </rPr>
          <t>This is an additional amount, if any, you want to be withheld from each paycheck. This reduces the Net Paycheck amount and increases the amount of Federal Tax.</t>
        </r>
      </text>
    </comment>
    <comment ref="A18" authorId="0" shapeId="0" xr:uid="{F4957204-5478-4A0C-9E80-E67FB9BEA069}">
      <text>
        <r>
          <rPr>
            <b/>
            <sz val="9"/>
            <color indexed="81"/>
            <rFont val="Tahoma"/>
            <family val="2"/>
          </rPr>
          <t xml:space="preserve">Filing Status:
</t>
        </r>
        <r>
          <rPr>
            <sz val="9"/>
            <color indexed="81"/>
            <rFont val="Tahoma"/>
            <family val="2"/>
          </rPr>
          <t>You may choose either "Single or Married Filing Separately", "Married Filing Jointly", or "Head of Household" as your income filing status.</t>
        </r>
      </text>
    </comment>
    <comment ref="A31" authorId="0" shapeId="0" xr:uid="{D2FFF540-747C-4187-B4BA-042A1FC8DD4E}">
      <text>
        <r>
          <rPr>
            <b/>
            <sz val="9"/>
            <color indexed="81"/>
            <rFont val="Tahoma"/>
            <family val="2"/>
          </rPr>
          <t xml:space="preserve">Tax Deferral Plan:
</t>
        </r>
        <r>
          <rPr>
            <sz val="9"/>
            <color indexed="81"/>
            <rFont val="Tahoma"/>
            <family val="2"/>
          </rPr>
          <t>The percent of the gross income placed into a tax-deferral retirement account, such as 401(k) or 403(b) plan. These plans usually have limits on how much you can transfer, but this calculator does not take this into account.</t>
        </r>
      </text>
    </comment>
    <comment ref="A33" authorId="0" shapeId="0" xr:uid="{575BBB50-A433-4A35-B9E3-D4ADD477CA02}">
      <text>
        <r>
          <rPr>
            <b/>
            <sz val="9"/>
            <color indexed="81"/>
            <rFont val="Tahoma"/>
            <family val="2"/>
          </rPr>
          <t xml:space="preserve">ESI Health Insurance Premiums:
</t>
        </r>
        <r>
          <rPr>
            <sz val="9"/>
            <color indexed="81"/>
            <rFont val="Tahoma"/>
            <family val="2"/>
          </rPr>
          <t>Some employer-sponsored health insurance (ESI) plans are exempt from federal income and payroll taxes. Additionally, the portion of premiums employees pay is typically excluded from taxable income thus also excluded from FICA (Social Security and Medicare).</t>
        </r>
      </text>
    </comment>
    <comment ref="A42" authorId="0" shapeId="0" xr:uid="{E98D6F95-3564-44BC-890F-067D95D52F2D}">
      <text>
        <r>
          <rPr>
            <b/>
            <sz val="9"/>
            <color indexed="81"/>
            <rFont val="Tahoma"/>
            <family val="2"/>
          </rPr>
          <t xml:space="preserve">Local Tax:
</t>
        </r>
        <r>
          <rPr>
            <sz val="9"/>
            <color indexed="81"/>
            <rFont val="Tahoma"/>
            <family val="2"/>
          </rPr>
          <t>This calculator assumes that the local tax is a percentage of the federal taxable gross.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<sst xmlns="http://schemas.openxmlformats.org/spreadsheetml/2006/main" count="283" uniqueCount="168">
  <si>
    <t>Gross Pay</t>
  </si>
  <si>
    <t>Weekly</t>
  </si>
  <si>
    <t>Biweekly</t>
  </si>
  <si>
    <t>Semimonthly</t>
  </si>
  <si>
    <t>Monthly</t>
  </si>
  <si>
    <t>Quarterly</t>
  </si>
  <si>
    <t>Semiannually</t>
  </si>
  <si>
    <t>Annually</t>
  </si>
  <si>
    <t>Payroll Period</t>
  </si>
  <si>
    <t>Periods per Year</t>
  </si>
  <si>
    <t>Allowance</t>
  </si>
  <si>
    <t>Over</t>
  </si>
  <si>
    <t>But not over</t>
  </si>
  <si>
    <t>Federal Tax</t>
  </si>
  <si>
    <t>Percent</t>
  </si>
  <si>
    <t>Insurance</t>
  </si>
  <si>
    <t>Federal Taxable Gross</t>
  </si>
  <si>
    <t>Post-Tax Deductions</t>
  </si>
  <si>
    <t>Amount to 
Withhold</t>
  </si>
  <si>
    <t>Local Tax</t>
  </si>
  <si>
    <t>Single Allowance</t>
  </si>
  <si>
    <t>Married Allowance</t>
  </si>
  <si>
    <r>
      <t xml:space="preserve">ALLOWANCES ON </t>
    </r>
    <r>
      <rPr>
        <b/>
        <sz val="10"/>
        <color theme="0"/>
        <rFont val="Arial"/>
        <family val="2"/>
      </rPr>
      <t>DE 4</t>
    </r>
    <r>
      <rPr>
        <sz val="10"/>
        <color theme="0"/>
        <rFont val="Arial"/>
        <family val="2"/>
      </rPr>
      <t xml:space="preserve"> OR </t>
    </r>
    <r>
      <rPr>
        <b/>
        <sz val="10"/>
        <color theme="0"/>
        <rFont val="Arial"/>
        <family val="2"/>
      </rPr>
      <t>W-4</t>
    </r>
  </si>
  <si>
    <t>ADDITIONAL WITHHOLDING ALLOWANCES</t>
  </si>
  <si>
    <t>Filing Status</t>
  </si>
  <si>
    <t>Additional Allowances</t>
  </si>
  <si>
    <t>Information contained in these tables is subject to annual renewal. To obtain latest information about changes in California State tax withholding, click the green button above which will lead you to EDD CA Publication PDF on edd.ca.gov.</t>
  </si>
  <si>
    <t>See Page 6 of EDD CA Publication</t>
  </si>
  <si>
    <t>See Page 5 of EDD CA Publication</t>
  </si>
  <si>
    <t>Payment Frequency</t>
  </si>
  <si>
    <t>Est. Gross Annual Pay</t>
  </si>
  <si>
    <t>Number of Allowances</t>
  </si>
  <si>
    <t>SDI</t>
  </si>
  <si>
    <t>Other Deductions</t>
  </si>
  <si>
    <t>Post-Tax Reimbursements</t>
  </si>
  <si>
    <t>Net Paycheck</t>
  </si>
  <si>
    <t>Paycheck Calculator</t>
  </si>
  <si>
    <t>Estimated Pay Check</t>
  </si>
  <si>
    <t>W-4 Form</t>
  </si>
  <si>
    <t>New W-4 (2020 or later)</t>
  </si>
  <si>
    <t>FICA Social Security (6.2%)</t>
  </si>
  <si>
    <t>Filing Status and Withholdings (W-4 from 2019 or earlier)</t>
  </si>
  <si>
    <t>FICA Medicare 1.45%</t>
  </si>
  <si>
    <t>Single</t>
  </si>
  <si>
    <t>Tax Deferral Plan (401k)</t>
  </si>
  <si>
    <t>Other Pre-Tax withholdings</t>
  </si>
  <si>
    <t>Additional Amount to Withhold</t>
  </si>
  <si>
    <t>Health Insurance Premiums</t>
  </si>
  <si>
    <t>Filing Status and Withholdings (W-4 from 2020 or later)</t>
  </si>
  <si>
    <t>State Tax</t>
  </si>
  <si>
    <t>Information form W-4</t>
  </si>
  <si>
    <t>Is Box in Step 2(c) Checked?</t>
  </si>
  <si>
    <t>No</t>
  </si>
  <si>
    <t>RELATED TEMPLATES</t>
  </si>
  <si>
    <t>Step 3: Dependents Under Age 17</t>
  </si>
  <si>
    <t>Other Post-Tax deductions</t>
  </si>
  <si>
    <t>► Payroll Calculator</t>
  </si>
  <si>
    <t>Step 3: Other Dependents</t>
  </si>
  <si>
    <t>► Timesheet Templates</t>
  </si>
  <si>
    <t>Step 4(a): Other income (not from jobs)</t>
  </si>
  <si>
    <t>► Weekly Shift Schedule</t>
  </si>
  <si>
    <t>Step 4(b): Deductions</t>
  </si>
  <si>
    <t>► Staff Rotation Schedule</t>
  </si>
  <si>
    <t>Step 4(c): Extra withholding</t>
  </si>
  <si>
    <t>Pre-Tax Adjustments (Not Included in Step 4(b))</t>
  </si>
  <si>
    <t>Post-Tax Adjustments</t>
  </si>
  <si>
    <t>Local Tax Rate</t>
  </si>
  <si>
    <t>Post-Tax Reimbursement</t>
  </si>
  <si>
    <t>Disclaimer:</t>
  </si>
  <si>
    <t>This template is provided as-is for informational, illustrative, or/and educational purposes only and under no circumstances should be construed as financial, legal, or tax advice.</t>
  </si>
  <si>
    <t>The results provided by this calculator are only estimates and may not apply to your specific situation.</t>
  </si>
  <si>
    <t>Spreadsheet123 LTD strongly recommends seeking the advice of qualified professionals regarding financial or legal decisions.</t>
  </si>
  <si>
    <t>REFERENCES</t>
  </si>
  <si>
    <t>Income Tax Withholding Assistant for Employers (IRS)</t>
  </si>
  <si>
    <t>Publication 15 T (IRS)</t>
  </si>
  <si>
    <t>Periods Per Year</t>
  </si>
  <si>
    <t>Pay Period</t>
  </si>
  <si>
    <t>Source: irs.gov/pub/irs-pdf/fw4.pdf (pg1)</t>
  </si>
  <si>
    <t>New W-4</t>
  </si>
  <si>
    <t>Old W-4</t>
  </si>
  <si>
    <t>Qualifying children under age 17</t>
  </si>
  <si>
    <t>Other Dependents</t>
  </si>
  <si>
    <t>Married Joint</t>
  </si>
  <si>
    <t>Married</t>
  </si>
  <si>
    <t>Head of Household</t>
  </si>
  <si>
    <t>Married but use Single rate</t>
  </si>
  <si>
    <t>Daily</t>
  </si>
  <si>
    <t>Single or Married Filing Separately</t>
  </si>
  <si>
    <t>Married Filing Jointly</t>
  </si>
  <si>
    <t>Old W-4 (before 2020)</t>
  </si>
  <si>
    <t>Source: irs.gov/pub/irs-pdf/p15t.pdf</t>
  </si>
  <si>
    <t>Number of Allowances from W-4</t>
  </si>
  <si>
    <t>Amount of Allowance</t>
  </si>
  <si>
    <t>Adjusted Wage Amount</t>
  </si>
  <si>
    <t>STANDARD  - Old W-4</t>
  </si>
  <si>
    <t>HIGHER - New W-4</t>
  </si>
  <si>
    <t>STANDARD - New W-4</t>
  </si>
  <si>
    <t>Adjusted Federal Taxable Gross</t>
  </si>
  <si>
    <t>(Use these if the Form W-4 is from 2019 or earlier)</t>
  </si>
  <si>
    <t>(Use these if the Form W-4 is from 2020 or later 
and the box in Step 2 of Form W-4 IS checked)</t>
  </si>
  <si>
    <t>(Use these if the Form W-4 is from 2020 or later 
and the box in Step 2 of Form W-4 IS NOT checked)</t>
  </si>
  <si>
    <t>Wage Threashold</t>
  </si>
  <si>
    <t>MARRIED FILING JOINTLY</t>
  </si>
  <si>
    <t>Base Withholding Amount</t>
  </si>
  <si>
    <t>At least</t>
  </si>
  <si>
    <t>But less than</t>
  </si>
  <si>
    <t>The tentative amount to withhold is:</t>
  </si>
  <si>
    <t>Plus this percentage</t>
  </si>
  <si>
    <t>Excess over Threashold %</t>
  </si>
  <si>
    <t>Tentative Annual Withholding</t>
  </si>
  <si>
    <t>Dependants (Step 3, New W-4)</t>
  </si>
  <si>
    <t>Dependant Adjusted Withholding</t>
  </si>
  <si>
    <t>SINGLE OR MARRIED FILING SEPARATELY</t>
  </si>
  <si>
    <t>HEAD OF HOUSEHOLD</t>
  </si>
  <si>
    <t>Table 6. Percentage Method - Amount for One Withholding Allowance</t>
  </si>
  <si>
    <t>With Forms W-4 From 2019 or Earlier</t>
  </si>
  <si>
    <t>Yes</t>
  </si>
  <si>
    <t>State</t>
  </si>
  <si>
    <t>State Tax Calculations</t>
  </si>
  <si>
    <t>Regular Allowances</t>
  </si>
  <si>
    <t>Table 3. Standard Deduction Table</t>
  </si>
  <si>
    <t>Wage Threashhold</t>
  </si>
  <si>
    <t>Adjusted State Tax Gross</t>
  </si>
  <si>
    <t>Compound Annual Tax</t>
  </si>
  <si>
    <t>Max Amount</t>
  </si>
  <si>
    <t>California SDI</t>
  </si>
  <si>
    <t>Amount of Additional Allowances</t>
  </si>
  <si>
    <t>(SDI) State Disability Insurance</t>
  </si>
  <si>
    <t>Paycheck Calculator (CA)</t>
  </si>
  <si>
    <t>By Spreadsheet123.com</t>
  </si>
  <si>
    <t>https://www.spreadsheet123.com/calculators/net-paycheck-calculator.html</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</si>
  <si>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</si>
  <si>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</si>
  <si>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</si>
  <si>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</si>
  <si>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</si>
  <si>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https://www.spreadsheet123.com/EULA/privateuse-EULA.html</t>
  </si>
  <si>
    <t>Federal Tax Calculations</t>
  </si>
  <si>
    <t xml:space="preserve">Percentage Method Tables for Income Tax Withholding </t>
  </si>
  <si>
    <r>
      <rPr>
        <sz val="10"/>
        <rFont val="Arial"/>
        <family val="2"/>
      </rPr>
      <t>←</t>
    </r>
    <r>
      <rPr>
        <i/>
        <sz val="10"/>
        <rFont val="Arial"/>
        <family val="2"/>
      </rPr>
      <t xml:space="preserve"> See Page 6 of EDD CA Publication</t>
    </r>
  </si>
  <si>
    <t>UNMARRIED/HEAD OF HOUSEHOLD</t>
  </si>
  <si>
    <t>MARRIED PERSONS</t>
  </si>
  <si>
    <t>SINGLE PERSONS, DUAL INCOME MARRIED,</t>
  </si>
  <si>
    <t>OR MARRIED WITH MULTIPLE EMPLOYERS</t>
  </si>
  <si>
    <t>TABLE 5 - TAX RATE TABLE</t>
  </si>
  <si>
    <t xml:space="preserve">California Employee's Withholding Allowance Certificate, https://www.edd.ca.gov/pdf_pub_ctr/de4.pdf </t>
  </si>
  <si>
    <t>Table 4. Exemption Allowance Table</t>
  </si>
  <si>
    <t>Source: https://edd.ca.gov/en/Payroll_Taxes/Rates_and_Withholding</t>
  </si>
  <si>
    <t>Federal Tax Tables - 2026</t>
  </si>
  <si>
    <t>Dependents - Step 3 W-4 Form (Page1) - 2026</t>
  </si>
  <si>
    <t>Standard Deductions - Step 4(b) W-4 Form (Page 4) - 2026</t>
  </si>
  <si>
    <t>Source: irs.gov/pub/irs-pdf/fw4.pdf (pg4)</t>
  </si>
  <si>
    <t>Percentage Method Tables for Income Tax Withholding (For Wages Paid in 2026, using New W-4)</t>
  </si>
  <si>
    <t>Tables below are copied from Page 12 of IRS Publication 15-T and must be updated every year.</t>
  </si>
  <si>
    <t>← See Page 63 of IRS 2026 Publication 15-T (Table 7)</t>
  </si>
  <si>
    <t>For Wages Paid in 2026 using both New and earlier W-4 Forms</t>
  </si>
  <si>
    <t>New (2026) W-4 Employee's Withholding Certificate, https://www.irs.gov/pub/irs-pdf/fw4.pdf</t>
  </si>
  <si>
    <t>EDD California Withholding Schedules for 2026</t>
  </si>
  <si>
    <t>California Withholding Schedules - 2026</t>
  </si>
  <si>
    <t>Download California Withholding Schedules for 2026</t>
  </si>
  <si>
    <t>(SDI) State Disability Insurance withholding rate 2026</t>
  </si>
  <si>
    <t>(For Wages Paid in 2026, using both New and earlier W-4 Forms)</t>
  </si>
  <si>
    <t>Source: EDD California Withholding Schedules for 2026</t>
  </si>
  <si>
    <t>Tables below are copied from Page 7 of California Withholding Schedules for 2026</t>
  </si>
  <si>
    <t>TABLE 4 - EXEMPTION ALLOWANCE TABLE (For Wages Paid in 2026)</t>
  </si>
  <si>
    <t>TABLE 6 - TAX RATE TABLE</t>
  </si>
  <si>
    <t>TABLE 2 - ESTIMATED DEDUCTION TABLE (For Wages Paid in 2026)</t>
  </si>
  <si>
    <t>TABLE 7 - TAX RATE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</si>
</sst>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0.0%"/>
    <numFmt numFmtId="166" formatCode="_(&quot;$&quot;* #,##0_);_(&quot;$&quot;* \(#,##0\);_(&quot;$&quot;* &quot;-&quot;??_);_(@_)"/>
    <numFmt numFmtId="167" formatCode="_(* #,##0.00_);_(* \(#,##0.00\);_(* &quot;-&quot;??_);_(@_)"/>
  </numFmts>
  <fonts count="44" x14ac:knownFonts="1">
    <font>
      <sz val="10"/>
      <name val="Arial"/>
    </font>
    <font>
      <sz val="11"/>
      <color theme="1"/>
      <name val="Arial"/>
      <family val="2"/>
    </font>
    <font>
      <sz val="10"/>
      <name val="Arial"/>
      <family val="2"/>
    </font>
    <font>
      <sz val="8"/>
      <name val="Arial"/>
      <family val="2"/>
    </font>
    <font>
      <b/>
      <sz val="10"/>
      <name val="Arial"/>
      <family val="2"/>
    </font>
    <font>
      <b/>
      <sz val="11"/>
      <name val="Arial"/>
      <family val="2"/>
    </font>
    <font>
      <u/>
      <sz val="10"/>
      <color indexed="12"/>
      <name val="Arial"/>
      <family val="2"/>
    </font>
    <font>
      <sz val="28"/>
      <color indexed="18"/>
      <name val="Arial"/>
      <family val="2"/>
    </font>
    <font>
      <b/>
      <sz val="12"/>
      <name val="Arial"/>
      <family val="2"/>
    </font>
    <font>
      <sz val="10"/>
      <color indexed="9"/>
      <name val="Arial"/>
      <family val="2"/>
    </font>
    <font>
      <i/>
      <sz val="10"/>
      <name val="Arial"/>
      <family val="2"/>
    </font>
    <font>
      <b/>
      <i/>
      <sz val="10"/>
      <name val="Arial"/>
      <family val="2"/>
    </font>
    <font>
      <sz val="10"/>
      <color indexed="8"/>
      <name val="Arial"/>
      <family val="2"/>
    </font>
    <font>
      <sz val="7"/>
      <color indexed="8"/>
      <name val="Verdana"/>
      <family val="2"/>
    </font>
    <font>
      <sz val="7"/>
      <color indexed="8"/>
      <name val="Calibri"/>
      <family val="2"/>
    </font>
    <font>
      <sz val="10"/>
      <color theme="0"/>
      <name val="Arial"/>
      <family val="2"/>
    </font>
    <font>
      <b/>
      <sz val="10"/>
      <color theme="0"/>
      <name val="Arial"/>
      <family val="2"/>
    </font>
    <font>
      <sz val="22"/>
      <color theme="0"/>
      <name val="Arial"/>
      <family val="2"/>
    </font>
    <font>
      <sz val="11"/>
      <color theme="0"/>
      <name val="Arial"/>
      <family val="2"/>
    </font>
    <font>
      <sz val="30"/>
      <color theme="0"/>
      <name val="Arial"/>
      <family val="2"/>
    </font>
    <font>
      <sz val="12"/>
      <color theme="4" tint="-0.499984740745262"/>
      <name val="Arial"/>
      <family val="2"/>
    </font>
    <font>
      <sz val="10"/>
      <color theme="4" tint="-0.499984740745262"/>
      <name val="Arial"/>
      <family val="2"/>
    </font>
    <font>
      <sz val="9"/>
      <name val="Arial"/>
      <family val="2"/>
    </font>
    <font>
      <sz val="11"/>
      <name val="Arial"/>
      <family val="2"/>
    </font>
    <font>
      <sz val="12"/>
      <name val="Arial"/>
      <family val="2"/>
    </font>
    <font>
      <b/>
      <sz val="10"/>
      <color theme="3" tint="-0.499984740745262"/>
      <name val="Arial"/>
      <family val="2"/>
    </font>
    <font>
      <u/>
      <sz val="10"/>
      <color theme="4"/>
      <name val="Arial"/>
      <family val="2"/>
    </font>
    <font>
      <sz val="24"/>
      <color theme="0"/>
      <name val="Arial"/>
      <family val="2"/>
    </font>
    <font>
      <b/>
      <sz val="10"/>
      <color theme="1" tint="0.499984740745262"/>
      <name val="Arial"/>
      <family val="2"/>
    </font>
    <font>
      <sz val="10"/>
      <color theme="1" tint="0.499984740745262"/>
      <name val="Arial"/>
      <family val="2"/>
    </font>
    <font>
      <sz val="8"/>
      <color theme="1" tint="0.499984740745262"/>
      <name val="Arial"/>
      <family val="2"/>
    </font>
    <font>
      <b/>
      <sz val="9"/>
      <color indexed="81"/>
      <name val="Tahoma"/>
      <family val="2"/>
    </font>
    <font>
      <sz val="9"/>
      <color indexed="81"/>
      <name val="Tahoma"/>
      <family val="2"/>
    </font>
    <font>
      <b/>
      <sz val="11"/>
      <color indexed="8"/>
      <name val="Arial"/>
      <family val="2"/>
    </font>
    <font>
      <sz val="20"/>
      <color theme="0"/>
      <name val="Arial"/>
      <family val="2"/>
    </font>
    <font>
      <b/>
      <sz val="18"/>
      <color theme="0"/>
      <name val="Arial"/>
      <family val="2"/>
    </font>
    <font>
      <sz val="12"/>
      <color theme="1"/>
      <name val="Arial"/>
      <family val="2"/>
    </font>
    <font>
      <b/>
      <sz val="13"/>
      <color theme="1"/>
      <name val="Arial"/>
      <family val="2"/>
    </font>
    <font>
      <sz val="13"/>
      <color theme="1"/>
      <name val="Arial"/>
      <family val="2"/>
    </font>
    <font>
      <b/>
      <sz val="13"/>
      <name val="Arial"/>
      <family val="2"/>
    </font>
    <font>
      <u/>
      <sz val="13"/>
      <color theme="10"/>
      <name val="Arial"/>
      <family val="2"/>
    </font>
    <font>
      <b/>
      <sz val="10"/>
      <color rgb="FFFF0000"/>
      <name val="Arial"/>
      <family val="2"/>
    </font>
    <font>
      <sz val="11"/>
      <color rgb="FFFF0000"/>
      <name val="Calibri"/>
      <family val="2"/>
    </font>
    <font>
      <sz val="28"/>
      <color theme="4" tint="-0.249977111117893"/>
      <name val="Arial"/>
      <family val="2"/>
    </font>
  </fonts>
  <fills count="10">
    <fill>
      <patternFill patternType="none"/>
    </fill>
    <fill>
      <patternFill patternType="gray125"/>
    </fill>
    <fill>
      <patternFill patternType="solid">
        <fgColor theme="0"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3">
    <border>
      <left/>
      <right/>
      <top/>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medium">
        <color theme="0" tint="-0.499984740745262"/>
      </bottom>
      <diagonal/>
    </border>
    <border>
      <left/>
      <right/>
      <top/>
      <bottom style="thin">
        <color theme="0" tint="-0.2499465926084170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theme="0" tint="-0.14996795556505021"/>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s>
  <cellStyleXfs count="2">
    <xf numFmtId="0" fontId="0" fillId="0" borderId="0"/>
    <xf numFmtId="0" fontId="6" fillId="0" borderId="0" applyNumberFormat="0" applyFill="0" applyBorder="0" applyAlignment="0" applyProtection="0">
      <alignment vertical="top"/>
      <protection locked="0"/>
    </xf>
  </cellStyleXfs>
  <cellXfs count="181">
    <xf numFmtId="0" fontId="0" fillId="0" borderId="0" xfId="0"/>
    <xf numFmtId="0" fontId="7" fillId="0" borderId="0" xfId="0" applyFont="1"/>
    <xf numFmtId="0" fontId="0" fillId="0" borderId="0" xfId="0" applyAlignment="1">
      <alignment vertical="center"/>
    </xf>
    <xf numFmtId="165" fontId="0" fillId="0" borderId="0" xfId="0" applyNumberFormat="1"/>
    <xf numFmtId="165" fontId="0" fillId="0" borderId="0" xfId="0" applyNumberFormat="1" applyAlignment="1">
      <alignment vertical="center"/>
    </xf>
    <xf numFmtId="0" fontId="4" fillId="0" borderId="0" xfId="0" applyFont="1"/>
    <xf numFmtId="165" fontId="4" fillId="0" borderId="0" xfId="0" applyNumberFormat="1" applyFont="1"/>
    <xf numFmtId="0" fontId="8" fillId="0" borderId="0" xfId="0" applyFont="1"/>
    <xf numFmtId="165" fontId="8" fillId="0" borderId="0" xfId="0" applyNumberFormat="1" applyFont="1"/>
    <xf numFmtId="0" fontId="11" fillId="0" borderId="0" xfId="0" applyFont="1" applyAlignment="1">
      <alignment horizontal="left" indent="3"/>
    </xf>
    <xf numFmtId="165" fontId="9" fillId="0" borderId="2" xfId="0" applyNumberFormat="1" applyFont="1" applyBorder="1" applyAlignment="1">
      <alignment vertical="center"/>
    </xf>
    <xf numFmtId="0" fontId="9" fillId="3" borderId="1" xfId="0" applyFont="1" applyFill="1" applyBorder="1" applyAlignment="1">
      <alignment vertical="center" wrapText="1"/>
    </xf>
    <xf numFmtId="0" fontId="2" fillId="0" borderId="0" xfId="0" applyFont="1"/>
    <xf numFmtId="0" fontId="9" fillId="3" borderId="1" xfId="0" applyFont="1" applyFill="1" applyBorder="1" applyAlignment="1">
      <alignment horizontal="center" vertical="center" wrapText="1"/>
    </xf>
    <xf numFmtId="164" fontId="0" fillId="0" borderId="0" xfId="0" applyNumberFormat="1" applyAlignment="1">
      <alignment vertical="center"/>
    </xf>
    <xf numFmtId="43" fontId="0" fillId="0" borderId="0" xfId="0" applyNumberFormat="1" applyAlignment="1">
      <alignment vertical="center"/>
    </xf>
    <xf numFmtId="0" fontId="15" fillId="3" borderId="0" xfId="0" applyFont="1" applyFill="1" applyAlignment="1">
      <alignment vertical="center"/>
    </xf>
    <xf numFmtId="0" fontId="16" fillId="3" borderId="0" xfId="0" applyFont="1" applyFill="1" applyAlignment="1">
      <alignment horizontal="left" vertical="center" indent="1"/>
    </xf>
    <xf numFmtId="0" fontId="2" fillId="0" borderId="0" xfId="0" applyFont="1" applyAlignment="1">
      <alignment horizontal="left" vertical="center" indent="1"/>
    </xf>
    <xf numFmtId="0" fontId="0" fillId="5" borderId="0" xfId="0" applyFill="1" applyAlignment="1">
      <alignment vertical="center"/>
    </xf>
    <xf numFmtId="0" fontId="0" fillId="5" borderId="0" xfId="0" applyFill="1"/>
    <xf numFmtId="0" fontId="16" fillId="6" borderId="0" xfId="0" applyFont="1" applyFill="1" applyAlignment="1">
      <alignment horizontal="left" vertical="center" indent="1"/>
    </xf>
    <xf numFmtId="0" fontId="0" fillId="5" borderId="0" xfId="0" applyFill="1" applyAlignment="1">
      <alignment horizontal="left" vertical="center" indent="1"/>
    </xf>
    <xf numFmtId="164" fontId="0" fillId="5" borderId="0" xfId="0" applyNumberFormat="1" applyFill="1" applyAlignment="1">
      <alignment vertical="center"/>
    </xf>
    <xf numFmtId="0" fontId="2" fillId="5" borderId="0" xfId="0" applyFont="1" applyFill="1" applyAlignment="1">
      <alignment horizontal="left" vertical="center" indent="1"/>
    </xf>
    <xf numFmtId="0" fontId="0" fillId="0" borderId="3" xfId="0" applyBorder="1" applyAlignment="1">
      <alignment horizontal="center" vertical="center"/>
    </xf>
    <xf numFmtId="0" fontId="0" fillId="0" borderId="0" xfId="0" applyAlignment="1">
      <alignment horizontal="right" vertical="top"/>
    </xf>
    <xf numFmtId="0" fontId="19" fillId="3" borderId="0" xfId="0" applyFont="1" applyFill="1" applyAlignment="1">
      <alignment vertical="center"/>
    </xf>
    <xf numFmtId="0" fontId="15" fillId="3" borderId="0" xfId="0" applyFont="1" applyFill="1"/>
    <xf numFmtId="0" fontId="2" fillId="0" borderId="0" xfId="0" applyFont="1" applyAlignment="1">
      <alignment horizontal="left"/>
    </xf>
    <xf numFmtId="0" fontId="20" fillId="4" borderId="0" xfId="0" applyFont="1" applyFill="1" applyAlignment="1">
      <alignment vertical="center"/>
    </xf>
    <xf numFmtId="0" fontId="21" fillId="4" borderId="0" xfId="0" applyFont="1" applyFill="1" applyAlignment="1">
      <alignment vertical="center"/>
    </xf>
    <xf numFmtId="0" fontId="21" fillId="4" borderId="0" xfId="0" applyFont="1" applyFill="1"/>
    <xf numFmtId="0" fontId="21" fillId="4" borderId="0" xfId="0" applyFont="1" applyFill="1" applyAlignment="1">
      <alignment horizontal="right" vertical="top"/>
    </xf>
    <xf numFmtId="0" fontId="22" fillId="0" borderId="0" xfId="0" applyFont="1" applyAlignment="1">
      <alignment horizontal="left" vertical="center"/>
    </xf>
    <xf numFmtId="0" fontId="23" fillId="0" borderId="0" xfId="0" applyFont="1" applyAlignment="1">
      <alignment horizontal="left"/>
    </xf>
    <xf numFmtId="0" fontId="24" fillId="0" borderId="0" xfId="0" applyFont="1" applyAlignment="1">
      <alignment vertical="center"/>
    </xf>
    <xf numFmtId="0" fontId="0" fillId="3" borderId="0" xfId="0" applyFill="1" applyAlignment="1">
      <alignment vertical="center"/>
    </xf>
    <xf numFmtId="0" fontId="0" fillId="3" borderId="0" xfId="0" applyFill="1"/>
    <xf numFmtId="0" fontId="15" fillId="6" borderId="0" xfId="0" applyFont="1" applyFill="1"/>
    <xf numFmtId="0" fontId="6" fillId="0" borderId="0" xfId="1" applyFill="1" applyBorder="1" applyAlignment="1" applyProtection="1">
      <alignment vertical="center"/>
    </xf>
    <xf numFmtId="0" fontId="0" fillId="7" borderId="0" xfId="0" applyFill="1"/>
    <xf numFmtId="0" fontId="4" fillId="5" borderId="0" xfId="0" applyFont="1" applyFill="1" applyAlignment="1">
      <alignment horizontal="left" vertical="center" indent="1"/>
    </xf>
    <xf numFmtId="164" fontId="2" fillId="0" borderId="3" xfId="0" applyNumberFormat="1" applyFont="1" applyBorder="1" applyAlignment="1">
      <alignment vertical="center"/>
    </xf>
    <xf numFmtId="0" fontId="0" fillId="7" borderId="0" xfId="0" applyFill="1" applyAlignment="1">
      <alignment horizontal="left" vertical="center" indent="1"/>
    </xf>
    <xf numFmtId="164" fontId="0" fillId="7" borderId="0" xfId="0" applyNumberFormat="1" applyFill="1" applyAlignment="1">
      <alignment vertical="center"/>
    </xf>
    <xf numFmtId="0" fontId="2" fillId="7" borderId="0" xfId="0" applyFont="1" applyFill="1" applyAlignment="1">
      <alignment horizontal="left" vertical="center" indent="1"/>
    </xf>
    <xf numFmtId="164" fontId="0" fillId="7" borderId="0" xfId="0" applyNumberFormat="1" applyFill="1" applyAlignment="1">
      <alignment horizontal="center" vertical="center"/>
    </xf>
    <xf numFmtId="0" fontId="0" fillId="5" borderId="0" xfId="0" applyFill="1" applyAlignment="1">
      <alignment horizontal="left" indent="1"/>
    </xf>
    <xf numFmtId="0" fontId="2" fillId="0" borderId="3" xfId="0" applyFont="1" applyBorder="1" applyAlignment="1">
      <alignment horizontal="center" vertical="center"/>
    </xf>
    <xf numFmtId="164" fontId="0" fillId="0" borderId="3" xfId="0" applyNumberFormat="1" applyBorder="1" applyAlignment="1">
      <alignment vertical="center"/>
    </xf>
    <xf numFmtId="0" fontId="25" fillId="4" borderId="0" xfId="0" applyFont="1" applyFill="1" applyAlignment="1">
      <alignment horizontal="left" vertical="center" indent="1"/>
    </xf>
    <xf numFmtId="0" fontId="25" fillId="4" borderId="0" xfId="0" applyFont="1" applyFill="1" applyAlignment="1">
      <alignment vertical="center"/>
    </xf>
    <xf numFmtId="0" fontId="25" fillId="4" borderId="0" xfId="0" applyFont="1" applyFill="1"/>
    <xf numFmtId="0" fontId="4" fillId="0" borderId="4" xfId="0" applyFont="1" applyBorder="1" applyAlignment="1">
      <alignment vertical="center"/>
    </xf>
    <xf numFmtId="0" fontId="0" fillId="0" borderId="3" xfId="0" applyBorder="1" applyAlignment="1">
      <alignment horizontal="right" vertical="center" indent="1"/>
    </xf>
    <xf numFmtId="0" fontId="6" fillId="0" borderId="0" xfId="1" applyFill="1" applyBorder="1" applyAlignment="1" applyProtection="1">
      <alignment vertical="center"/>
      <protection hidden="1"/>
    </xf>
    <xf numFmtId="0" fontId="8" fillId="7" borderId="0" xfId="0" applyFont="1" applyFill="1" applyAlignment="1">
      <alignment horizontal="left" vertical="center" indent="1"/>
    </xf>
    <xf numFmtId="164" fontId="8" fillId="7" borderId="0" xfId="0" applyNumberFormat="1" applyFont="1" applyFill="1" applyAlignment="1">
      <alignment vertical="center"/>
    </xf>
    <xf numFmtId="0" fontId="26" fillId="0" borderId="0" xfId="1" applyFont="1" applyFill="1" applyBorder="1" applyAlignment="1" applyProtection="1">
      <alignment vertical="center"/>
      <protection hidden="1"/>
    </xf>
    <xf numFmtId="10" fontId="0" fillId="0" borderId="3" xfId="0" applyNumberFormat="1" applyBorder="1" applyAlignment="1">
      <alignment vertical="center"/>
    </xf>
    <xf numFmtId="0" fontId="0" fillId="5" borderId="5" xfId="0" applyFill="1" applyBorder="1" applyAlignment="1">
      <alignment vertical="center"/>
    </xf>
    <xf numFmtId="0" fontId="4" fillId="0" borderId="0" xfId="0" applyFont="1" applyAlignment="1">
      <alignment horizontal="left" vertical="center"/>
    </xf>
    <xf numFmtId="164" fontId="2" fillId="0" borderId="0" xfId="0" applyNumberFormat="1" applyFont="1" applyAlignment="1">
      <alignment vertical="center"/>
    </xf>
    <xf numFmtId="0" fontId="2" fillId="0" borderId="0" xfId="0" applyFont="1" applyAlignment="1">
      <alignment horizontal="left" vertical="center"/>
    </xf>
    <xf numFmtId="0" fontId="2" fillId="0" borderId="0" xfId="0" applyFont="1" applyAlignment="1">
      <alignment vertical="center"/>
    </xf>
    <xf numFmtId="0" fontId="28" fillId="8" borderId="0" xfId="0" applyFont="1" applyFill="1" applyAlignment="1">
      <alignment horizontal="left" vertical="center" indent="1"/>
    </xf>
    <xf numFmtId="164" fontId="29" fillId="8" borderId="0" xfId="0" applyNumberFormat="1" applyFont="1" applyFill="1" applyAlignment="1">
      <alignment vertical="center"/>
    </xf>
    <xf numFmtId="0" fontId="29" fillId="8" borderId="0" xfId="0" applyFont="1" applyFill="1"/>
    <xf numFmtId="0" fontId="30" fillId="9" borderId="0" xfId="0" applyFont="1" applyFill="1" applyAlignment="1">
      <alignment horizontal="left" vertical="center" indent="1"/>
    </xf>
    <xf numFmtId="0" fontId="29" fillId="9" borderId="0" xfId="0" applyFont="1" applyFill="1" applyAlignment="1">
      <alignment vertical="center"/>
    </xf>
    <xf numFmtId="0" fontId="0" fillId="0" borderId="0" xfId="0" applyAlignment="1">
      <alignment horizontal="left" indent="1"/>
    </xf>
    <xf numFmtId="0" fontId="0" fillId="8" borderId="0" xfId="0" applyFill="1" applyAlignment="1">
      <alignment vertical="center"/>
    </xf>
    <xf numFmtId="0" fontId="0" fillId="8" borderId="0" xfId="0" applyFill="1"/>
    <xf numFmtId="0" fontId="6" fillId="9" borderId="0" xfId="1" applyFill="1" applyAlignment="1" applyProtection="1">
      <alignment horizontal="left" vertical="center" indent="1"/>
    </xf>
    <xf numFmtId="0" fontId="0" fillId="9" borderId="0" xfId="0" applyFill="1" applyAlignment="1">
      <alignment vertical="center"/>
    </xf>
    <xf numFmtId="0" fontId="0" fillId="9" borderId="0" xfId="0" applyFill="1"/>
    <xf numFmtId="0" fontId="6" fillId="9" borderId="0" xfId="1" applyFill="1" applyAlignment="1" applyProtection="1">
      <alignment horizontal="left" indent="1"/>
    </xf>
    <xf numFmtId="0" fontId="8" fillId="0" borderId="0" xfId="0" applyFont="1" applyAlignment="1">
      <alignment vertical="center"/>
    </xf>
    <xf numFmtId="165" fontId="8" fillId="0" borderId="0" xfId="0" applyNumberFormat="1" applyFont="1" applyAlignment="1">
      <alignment vertical="center"/>
    </xf>
    <xf numFmtId="0" fontId="10" fillId="0" borderId="0" xfId="0" applyFont="1" applyAlignment="1">
      <alignment vertical="top"/>
    </xf>
    <xf numFmtId="0" fontId="5" fillId="0" borderId="0" xfId="0" applyFont="1" applyAlignment="1">
      <alignment vertical="center"/>
    </xf>
    <xf numFmtId="0" fontId="4" fillId="0" borderId="0" xfId="0" applyFont="1" applyAlignment="1">
      <alignment horizontal="center" vertical="center"/>
    </xf>
    <xf numFmtId="0" fontId="33" fillId="0" borderId="0" xfId="0" applyFont="1" applyAlignment="1">
      <alignment horizontal="left" vertical="center"/>
    </xf>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10" fillId="0" borderId="0" xfId="0" applyFont="1" applyAlignment="1">
      <alignment vertical="center"/>
    </xf>
    <xf numFmtId="164" fontId="0" fillId="0" borderId="8" xfId="0" applyNumberFormat="1" applyBorder="1" applyAlignment="1">
      <alignment vertical="center"/>
    </xf>
    <xf numFmtId="0" fontId="12" fillId="0" borderId="8" xfId="0" applyFont="1" applyBorder="1" applyAlignment="1">
      <alignment horizontal="left" vertical="center"/>
    </xf>
    <xf numFmtId="0" fontId="10" fillId="0" borderId="0" xfId="0" applyFont="1" applyAlignment="1">
      <alignment vertical="center" wrapText="1"/>
    </xf>
    <xf numFmtId="0" fontId="11" fillId="0" borderId="0" xfId="0" applyFont="1" applyAlignment="1">
      <alignment horizontal="left" vertical="center"/>
    </xf>
    <xf numFmtId="0" fontId="2" fillId="0" borderId="8" xfId="0" applyFont="1" applyBorder="1" applyAlignment="1">
      <alignment vertical="center"/>
    </xf>
    <xf numFmtId="164" fontId="4" fillId="0" borderId="0" xfId="0" applyNumberFormat="1" applyFont="1" applyAlignment="1">
      <alignment vertical="center"/>
    </xf>
    <xf numFmtId="43" fontId="8" fillId="0" borderId="0" xfId="0" applyNumberFormat="1" applyFont="1"/>
    <xf numFmtId="0" fontId="11" fillId="0" borderId="0" xfId="0" applyFont="1" applyAlignment="1">
      <alignment vertical="center"/>
    </xf>
    <xf numFmtId="0" fontId="4" fillId="0" borderId="0" xfId="0" applyFont="1" applyAlignment="1">
      <alignment vertical="center"/>
    </xf>
    <xf numFmtId="165" fontId="4" fillId="0" borderId="0" xfId="0" applyNumberFormat="1" applyFont="1" applyAlignment="1">
      <alignment vertical="center"/>
    </xf>
    <xf numFmtId="10" fontId="2" fillId="0" borderId="0" xfId="0" applyNumberFormat="1" applyFont="1" applyAlignment="1">
      <alignment vertical="center"/>
    </xf>
    <xf numFmtId="164" fontId="0" fillId="0" borderId="1" xfId="0" applyNumberFormat="1" applyBorder="1" applyAlignment="1">
      <alignment vertical="center"/>
    </xf>
    <xf numFmtId="165" fontId="0" fillId="0" borderId="1" xfId="0" applyNumberFormat="1" applyBorder="1" applyAlignment="1">
      <alignment vertical="center"/>
    </xf>
    <xf numFmtId="165" fontId="0" fillId="0" borderId="2" xfId="0" applyNumberFormat="1" applyBorder="1" applyAlignment="1">
      <alignment vertical="center"/>
    </xf>
    <xf numFmtId="0" fontId="0" fillId="0" borderId="0" xfId="0" applyAlignment="1">
      <alignment horizontal="left" vertical="center"/>
    </xf>
    <xf numFmtId="0" fontId="9" fillId="0" borderId="0" xfId="0" applyFont="1" applyAlignment="1">
      <alignment vertical="center" wrapText="1"/>
    </xf>
    <xf numFmtId="164" fontId="0" fillId="8" borderId="1" xfId="0" applyNumberFormat="1" applyFill="1" applyBorder="1" applyAlignment="1">
      <alignment vertical="center"/>
    </xf>
    <xf numFmtId="2" fontId="0" fillId="0" borderId="0" xfId="0" applyNumberFormat="1" applyAlignment="1">
      <alignment vertical="center"/>
    </xf>
    <xf numFmtId="0" fontId="34" fillId="3" borderId="0" xfId="0" applyFont="1" applyFill="1" applyAlignment="1">
      <alignment horizontal="left" vertical="center"/>
    </xf>
    <xf numFmtId="0" fontId="35" fillId="3"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indent="1"/>
    </xf>
    <xf numFmtId="0" fontId="36" fillId="0" borderId="0" xfId="0" applyFont="1" applyAlignment="1">
      <alignment vertical="center"/>
    </xf>
    <xf numFmtId="0" fontId="6" fillId="0" borderId="0" xfId="1" applyAlignment="1" applyProtection="1">
      <alignment vertical="center"/>
    </xf>
    <xf numFmtId="0" fontId="37" fillId="0" borderId="0" xfId="0" applyFont="1" applyAlignment="1">
      <alignment vertical="center"/>
    </xf>
    <xf numFmtId="0" fontId="38" fillId="0" borderId="0" xfId="0" applyFont="1" applyAlignment="1">
      <alignment horizontal="left" vertical="center" indent="1"/>
    </xf>
    <xf numFmtId="0" fontId="38" fillId="0" borderId="0" xfId="0" applyFont="1" applyAlignment="1">
      <alignment vertical="center" wrapText="1"/>
    </xf>
    <xf numFmtId="0" fontId="38" fillId="0" borderId="0" xfId="0" applyFont="1" applyAlignment="1">
      <alignment horizontal="left" vertical="center" wrapText="1" indent="1"/>
    </xf>
    <xf numFmtId="0" fontId="38" fillId="0" borderId="0" xfId="0" applyFont="1" applyAlignment="1">
      <alignment vertical="center"/>
    </xf>
    <xf numFmtId="0" fontId="38" fillId="0" borderId="0" xfId="0" applyFont="1" applyAlignment="1" applyProtection="1">
      <alignment vertical="center" wrapText="1"/>
      <protection hidden="1"/>
    </xf>
    <xf numFmtId="0" fontId="38" fillId="0" borderId="0" xfId="0" applyFont="1" applyAlignment="1" applyProtection="1">
      <alignment horizontal="left" vertical="center" wrapText="1" indent="1"/>
      <protection hidden="1"/>
    </xf>
    <xf numFmtId="0" fontId="1" fillId="0" borderId="0" xfId="0" applyFont="1" applyAlignment="1" applyProtection="1">
      <alignment horizontal="left" vertical="center" wrapText="1" indent="1"/>
      <protection hidden="1"/>
    </xf>
    <xf numFmtId="0" fontId="38" fillId="0" borderId="0" xfId="0" applyFont="1" applyAlignment="1" applyProtection="1">
      <alignment vertical="center"/>
      <protection hidden="1"/>
    </xf>
    <xf numFmtId="0" fontId="38" fillId="0" borderId="0" xfId="0" applyFont="1" applyAlignment="1" applyProtection="1">
      <alignment horizontal="left" vertical="center" indent="1"/>
      <protection hidden="1"/>
    </xf>
    <xf numFmtId="0" fontId="1" fillId="0" borderId="0" xfId="0" applyFont="1" applyAlignment="1" applyProtection="1">
      <alignment horizontal="left" vertical="center" indent="1"/>
      <protection hidden="1"/>
    </xf>
    <xf numFmtId="0" fontId="39" fillId="0" borderId="0" xfId="0" applyFont="1" applyAlignment="1">
      <alignment vertical="center"/>
    </xf>
    <xf numFmtId="0" fontId="40" fillId="0" borderId="0" xfId="1" applyFont="1" applyAlignment="1" applyProtection="1">
      <alignment horizontal="left" vertical="center" indent="1"/>
    </xf>
    <xf numFmtId="0" fontId="0" fillId="0" borderId="0" xfId="0" applyProtection="1">
      <protection hidden="1"/>
    </xf>
    <xf numFmtId="0" fontId="0" fillId="0" borderId="0" xfId="0" applyAlignment="1" applyProtection="1">
      <alignment horizontal="left"/>
      <protection hidden="1"/>
    </xf>
    <xf numFmtId="0" fontId="0" fillId="0" borderId="0" xfId="0" applyAlignment="1" applyProtection="1">
      <alignment vertical="center"/>
      <protection hidden="1"/>
    </xf>
    <xf numFmtId="0" fontId="5" fillId="0" borderId="0" xfId="0" applyFont="1" applyAlignment="1" applyProtection="1">
      <alignment vertical="center"/>
      <protection hidden="1"/>
    </xf>
    <xf numFmtId="0" fontId="41" fillId="0" borderId="0" xfId="0" applyFont="1" applyAlignment="1" applyProtection="1">
      <alignment horizontal="left"/>
      <protection hidden="1"/>
    </xf>
    <xf numFmtId="0" fontId="42" fillId="0" borderId="0" xfId="0" applyFont="1" applyProtection="1">
      <protection hidden="1"/>
    </xf>
    <xf numFmtId="0" fontId="42" fillId="0" borderId="0" xfId="0" applyFont="1" applyAlignment="1" applyProtection="1">
      <alignment horizontal="left"/>
      <protection hidden="1"/>
    </xf>
    <xf numFmtId="0" fontId="0" fillId="0" borderId="0" xfId="0" applyAlignment="1" applyProtection="1">
      <alignment wrapText="1"/>
      <protection hidden="1"/>
    </xf>
    <xf numFmtId="0" fontId="14" fillId="0" borderId="0" xfId="0" applyFont="1" applyProtection="1">
      <protection hidden="1"/>
    </xf>
    <xf numFmtId="0" fontId="13" fillId="0" borderId="0" xfId="0" applyFont="1" applyProtection="1">
      <protection hidden="1"/>
    </xf>
    <xf numFmtId="0" fontId="14" fillId="0" borderId="0" xfId="0" applyFont="1" applyAlignment="1" applyProtection="1">
      <alignment horizontal="left"/>
      <protection hidden="1"/>
    </xf>
    <xf numFmtId="0" fontId="10" fillId="0" borderId="0" xfId="0" applyFont="1" applyAlignment="1">
      <alignment vertical="top" wrapText="1"/>
    </xf>
    <xf numFmtId="0" fontId="10" fillId="0" borderId="0" xfId="0" applyFont="1" applyAlignment="1">
      <alignment horizontal="left" vertical="center"/>
    </xf>
    <xf numFmtId="0" fontId="9" fillId="3" borderId="1" xfId="0" applyFont="1" applyFill="1" applyBorder="1" applyAlignment="1">
      <alignment vertical="center"/>
    </xf>
    <xf numFmtId="165" fontId="9" fillId="3" borderId="1" xfId="0" applyNumberFormat="1" applyFont="1" applyFill="1" applyBorder="1" applyAlignment="1">
      <alignment vertical="center" wrapText="1"/>
    </xf>
    <xf numFmtId="166" fontId="0" fillId="0" borderId="1" xfId="0" applyNumberFormat="1" applyBorder="1" applyAlignment="1">
      <alignment vertical="center"/>
    </xf>
    <xf numFmtId="166" fontId="0" fillId="8" borderId="1" xfId="0" applyNumberFormat="1" applyFill="1" applyBorder="1" applyAlignment="1">
      <alignment vertical="center"/>
    </xf>
    <xf numFmtId="164" fontId="0" fillId="2" borderId="8" xfId="0" applyNumberFormat="1" applyFill="1" applyBorder="1" applyAlignment="1">
      <alignment vertical="center"/>
    </xf>
    <xf numFmtId="0" fontId="9" fillId="3" borderId="8" xfId="0" applyFont="1" applyFill="1" applyBorder="1" applyAlignment="1">
      <alignment vertical="center" wrapText="1"/>
    </xf>
    <xf numFmtId="0" fontId="9" fillId="3" borderId="8" xfId="0" applyFont="1" applyFill="1" applyBorder="1" applyAlignment="1">
      <alignment horizontal="center" vertical="center" wrapText="1"/>
    </xf>
    <xf numFmtId="0" fontId="0" fillId="0" borderId="8" xfId="0" applyBorder="1" applyAlignment="1">
      <alignment horizontal="center" vertical="center"/>
    </xf>
    <xf numFmtId="0" fontId="0" fillId="0" borderId="8" xfId="0" applyBorder="1" applyAlignment="1">
      <alignment vertical="center"/>
    </xf>
    <xf numFmtId="0" fontId="15" fillId="3" borderId="8" xfId="0" applyFont="1" applyFill="1" applyBorder="1" applyAlignment="1">
      <alignment vertical="center"/>
    </xf>
    <xf numFmtId="165" fontId="0" fillId="2" borderId="8" xfId="0" applyNumberFormat="1" applyFill="1" applyBorder="1" applyAlignment="1">
      <alignment vertical="center"/>
    </xf>
    <xf numFmtId="0" fontId="9" fillId="3" borderId="8" xfId="0" applyFont="1" applyFill="1" applyBorder="1" applyAlignment="1">
      <alignment vertical="center"/>
    </xf>
    <xf numFmtId="165" fontId="9" fillId="3" borderId="8" xfId="0" applyNumberFormat="1" applyFont="1" applyFill="1" applyBorder="1" applyAlignment="1">
      <alignment vertical="center"/>
    </xf>
    <xf numFmtId="164" fontId="0" fillId="0" borderId="8" xfId="0" applyNumberFormat="1" applyBorder="1"/>
    <xf numFmtId="164" fontId="0" fillId="2" borderId="8" xfId="0" applyNumberFormat="1" applyFill="1" applyBorder="1"/>
    <xf numFmtId="10" fontId="0" fillId="0" borderId="8" xfId="0" applyNumberFormat="1" applyBorder="1"/>
    <xf numFmtId="165" fontId="0" fillId="0" borderId="8" xfId="0" applyNumberFormat="1" applyBorder="1"/>
    <xf numFmtId="0" fontId="43" fillId="0" borderId="0" xfId="0" applyFont="1"/>
    <xf numFmtId="0" fontId="9" fillId="0" borderId="0" xfId="0" applyFont="1" applyAlignment="1">
      <alignment horizontal="center" vertical="center" wrapText="1"/>
    </xf>
    <xf numFmtId="165" fontId="9" fillId="0" borderId="0" xfId="0" applyNumberFormat="1" applyFont="1" applyAlignment="1">
      <alignment vertical="center"/>
    </xf>
    <xf numFmtId="0" fontId="2" fillId="0" borderId="8" xfId="0" applyFont="1" applyBorder="1"/>
    <xf numFmtId="164" fontId="2" fillId="0" borderId="8" xfId="0" applyNumberFormat="1" applyFont="1" applyBorder="1"/>
    <xf numFmtId="0" fontId="0" fillId="0" borderId="8" xfId="0" applyBorder="1"/>
    <xf numFmtId="166" fontId="0" fillId="0" borderId="8" xfId="0" applyNumberFormat="1" applyBorder="1"/>
    <xf numFmtId="167" fontId="8" fillId="0" borderId="0" xfId="0" applyNumberFormat="1" applyFont="1"/>
    <xf numFmtId="0" fontId="27" fillId="7" borderId="0" xfId="0" applyFont="1" applyFill="1" applyAlignment="1">
      <alignment horizontal="center"/>
    </xf>
    <xf numFmtId="4" fontId="17" fillId="7" borderId="0" xfId="0" applyNumberFormat="1" applyFont="1" applyFill="1" applyAlignment="1">
      <alignment horizontal="center" vertical="center"/>
    </xf>
    <xf numFmtId="0" fontId="6" fillId="0" borderId="9" xfId="1" applyBorder="1" applyAlignment="1" applyProtection="1">
      <alignment vertical="center"/>
    </xf>
    <xf numFmtId="0" fontId="6" fillId="0" borderId="0" xfId="1" applyBorder="1" applyAlignment="1" applyProtection="1">
      <alignment vertical="center"/>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8" fillId="0" borderId="0" xfId="0" applyFont="1" applyAlignment="1">
      <alignment horizontal="left" vertical="center"/>
    </xf>
    <xf numFmtId="0" fontId="2" fillId="0" borderId="0" xfId="0" applyFont="1" applyAlignment="1">
      <alignment horizontal="left" vertical="center" wrapText="1"/>
    </xf>
    <xf numFmtId="0" fontId="2" fillId="0" borderId="8" xfId="0" applyFont="1" applyBorder="1" applyAlignment="1">
      <alignment horizontal="left" vertical="center" indent="1"/>
    </xf>
    <xf numFmtId="0" fontId="6" fillId="0" borderId="0" xfId="1" applyAlignment="1" applyProtection="1">
      <alignment vertical="center"/>
    </xf>
    <xf numFmtId="0" fontId="15" fillId="3" borderId="10"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1" xfId="0" applyFont="1" applyFill="1" applyBorder="1" applyAlignment="1">
      <alignment horizontal="center" vertical="center"/>
    </xf>
    <xf numFmtId="0" fontId="15" fillId="3" borderId="12" xfId="0" applyFont="1" applyFill="1" applyBorder="1" applyAlignment="1">
      <alignment horizontal="center" vertical="center"/>
    </xf>
    <xf numFmtId="0" fontId="6" fillId="0" borderId="0" xfId="1" applyFill="1" applyAlignment="1" applyProtection="1">
      <alignment horizontal="left" vertical="center" wrapText="1"/>
    </xf>
    <xf numFmtId="0" fontId="10" fillId="0" borderId="0" xfId="0" applyFont="1" applyAlignment="1">
      <alignment horizontal="left" vertical="center" wrapText="1"/>
    </xf>
  </cellXfs>
  <cellStyles count="2">
    <cellStyle name="Hyperlink" xfId="1" builtinId="8"/>
    <cellStyle name="Normal" xfId="0" builtinId="0"/>
  </cellStyles>
  <dxfs count="2">
    <dxf>
      <fill>
        <patternFill patternType="gray125"/>
      </fill>
    </dxf>
    <dxf>
      <fill>
        <patternFill patternType="gray125"/>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B8E84"/>
      <rgbColor rgb="00D9EDC1"/>
      <rgbColor rgb="00336887"/>
      <rgbColor rgb="00FFF3B9"/>
      <rgbColor rgb="00EFB6B1"/>
      <rgbColor rgb="00ACD8F1"/>
      <rgbColor rgb="00B3122D"/>
      <rgbColor rgb="007FA516"/>
      <rgbColor rgb="00004269"/>
      <rgbColor rgb="00FFE14F"/>
      <rgbColor rgb="00C2ADC4"/>
      <rgbColor rgb="0059B1E2"/>
      <rgbColor rgb="00E6E6E6"/>
      <rgbColor rgb="00808080"/>
      <rgbColor rgb="00309DDB"/>
      <rgbColor rgb="00B3DB84"/>
      <rgbColor rgb="00DB8E84"/>
      <rgbColor rgb="0099779D"/>
      <rgbColor rgb="00FFE14F"/>
      <rgbColor rgb="00D9C293"/>
      <rgbColor rgb="00004269"/>
      <rgbColor rgb="00597A7B"/>
      <rgbColor rgb="00004269"/>
      <rgbColor rgb="00587F03"/>
      <rgbColor rgb="00B3122D"/>
      <rgbColor rgb="0057445A"/>
      <rgbColor rgb="00EFA143"/>
      <rgbColor rgb="006D4129"/>
      <rgbColor rgb="00309DDB"/>
      <rgbColor rgb="00DDDDDD"/>
      <rgbColor rgb="0099B3C3"/>
      <rgbColor rgb="00D6EBF8"/>
      <rgbColor rgb="00F0F8E6"/>
      <rgbColor rgb="00FFF9DC"/>
      <rgbColor rgb="00CCD9E1"/>
      <rgbColor rgb="00F8E8E6"/>
      <rgbColor rgb="00EBE4EB"/>
      <rgbColor rgb="00EED6AD"/>
      <rgbColor rgb="00668EA5"/>
      <rgbColor rgb="0083C4E9"/>
      <rgbColor rgb="00FFE772"/>
      <rgbColor rgb="00F4C80F"/>
      <rgbColor rgb="00CDAF71"/>
      <rgbColor rgb="00EFA143"/>
      <rgbColor rgb="0099779D"/>
      <rgbColor rgb="00B2B2B2"/>
      <rgbColor rgb="00309DDB"/>
      <rgbColor rgb="00B3DB84"/>
      <rgbColor rgb="00587F03"/>
      <rgbColor rgb="006D4129"/>
      <rgbColor rgb="00597A7B"/>
      <rgbColor rgb="00D6C9D8"/>
      <rgbColor rgb="0057445A"/>
      <rgbColor rgb="004D4D4D"/>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2700">
              <a:noFill/>
            </a:ln>
            <a:effectLst/>
          </c:spPr>
          <c:invertIfNegative val="0"/>
          <c:dLbls>
            <c:spPr>
              <a:noFill/>
              <a:ln>
                <a:noFill/>
              </a:ln>
              <a:effectLst/>
            </c:spPr>
            <c:txPr>
              <a:bodyPr rot="-5400000" spcFirstLastPara="1" vertOverflow="overflow" horzOverflow="overflow" vert="horz" wrap="none" lIns="108000" tIns="46800" rIns="108000" bIns="4680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cat>
            <c:strRef>
              <c:f>'Paycheck Calculator'!$A$54:$A$66</c:f>
              <c:strCache>
                <c:ptCount val="13"/>
                <c:pt idx="0">
                  <c:v>Net Paycheck</c:v>
                </c:pt>
                <c:pt idx="1">
                  <c:v>FICA Social Security (6.2%)</c:v>
                </c:pt>
                <c:pt idx="2">
                  <c:v>FICA Medicare 1.45%</c:v>
                </c:pt>
                <c:pt idx="3">
                  <c:v>Tax Deferral Plan (401k)</c:v>
                </c:pt>
                <c:pt idx="4">
                  <c:v>Other Pre-Tax withholdings</c:v>
                </c:pt>
                <c:pt idx="5">
                  <c:v>Health Insurance Premiums</c:v>
                </c:pt>
                <c:pt idx="6">
                  <c:v>Federal Tax</c:v>
                </c:pt>
                <c:pt idx="7">
                  <c:v>State Tax</c:v>
                </c:pt>
                <c:pt idx="8">
                  <c:v>(SDI) State Disability Insurance</c:v>
                </c:pt>
                <c:pt idx="9">
                  <c:v>Local Tax</c:v>
                </c:pt>
                <c:pt idx="10">
                  <c:v>Insurance</c:v>
                </c:pt>
                <c:pt idx="11">
                  <c:v>Other Post-Tax deductions</c:v>
                </c:pt>
                <c:pt idx="12">
                  <c:v>Post-Tax Reimbursements</c:v>
                </c:pt>
              </c:strCache>
            </c:strRef>
          </c:cat>
          <c:val>
            <c:numRef>
              <c:f>'Paycheck Calculator'!$B$54:$B$66</c:f>
              <c:numCache>
                <c:formatCode>_("$"* #,##0.00_);_("$"* \(#,##0.00\);_("$"* "-"??_);_(@_)</c:formatCode>
                <c:ptCount val="13"/>
                <c:pt idx="0">
                  <c:v>2870.7166666666667</c:v>
                </c:pt>
                <c:pt idx="1">
                  <c:v>217</c:v>
                </c:pt>
                <c:pt idx="2">
                  <c:v>50.75</c:v>
                </c:pt>
                <c:pt idx="3">
                  <c:v>140</c:v>
                </c:pt>
                <c:pt idx="4">
                  <c:v>0</c:v>
                </c:pt>
                <c:pt idx="5">
                  <c:v>0</c:v>
                </c:pt>
                <c:pt idx="6">
                  <c:v>221.5333333333333</c:v>
                </c:pt>
                <c:pt idx="7">
                  <c:v>0</c:v>
                </c:pt>
                <c:pt idx="8">
                  <c:v>45.5</c:v>
                </c:pt>
                <c:pt idx="9">
                  <c:v>0</c:v>
                </c:pt>
                <c:pt idx="10">
                  <c:v>0</c:v>
                </c:pt>
                <c:pt idx="11">
                  <c:v>0</c:v>
                </c:pt>
                <c:pt idx="12">
                  <c:v>0</c:v>
                </c:pt>
              </c:numCache>
            </c:numRef>
          </c:val>
          <c:extLst>
            <c:ext xmlns:c16="http://schemas.microsoft.com/office/drawing/2014/chart" uri="{C3380CC4-5D6E-409C-BE32-E72D297353CC}">
              <c16:uniqueId val="{00000000-7C1B-44A6-8955-62FADE520C77}"/>
            </c:ext>
          </c:extLst>
        </c:ser>
        <c:dLbls>
          <c:dLblPos val="outEnd"/>
          <c:showLegendKey val="0"/>
          <c:showVal val="1"/>
          <c:showCatName val="0"/>
          <c:showSerName val="0"/>
          <c:showPercent val="0"/>
          <c:showBubbleSize val="0"/>
        </c:dLbls>
        <c:gapWidth val="20"/>
        <c:axId val="566499976"/>
        <c:axId val="566500368"/>
      </c:barChart>
      <c:catAx>
        <c:axId val="566499976"/>
        <c:scaling>
          <c:orientation val="minMax"/>
        </c:scaling>
        <c:delete val="0"/>
        <c:axPos val="b"/>
        <c:numFmt formatCode="General" sourceLinked="1"/>
        <c:majorTickMark val="out"/>
        <c:minorTickMark val="none"/>
        <c:tickLblPos val="none"/>
        <c:spPr>
          <a:solidFill>
            <a:schemeClr val="accent1"/>
          </a:solidFill>
          <a:ln w="28575" cap="flat" cmpd="sng" algn="ctr">
            <a:solidFill>
              <a:schemeClr val="accent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500368"/>
        <c:crosses val="autoZero"/>
        <c:auto val="1"/>
        <c:lblAlgn val="ctr"/>
        <c:lblOffset val="100"/>
        <c:noMultiLvlLbl val="0"/>
      </c:catAx>
      <c:valAx>
        <c:axId val="566500368"/>
        <c:scaling>
          <c:orientation val="minMax"/>
        </c:scaling>
        <c:delete val="0"/>
        <c:axPos val="l"/>
        <c:numFmt formatCode="#,##0_);\(#,##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499976"/>
        <c:crosses val="autoZero"/>
        <c:crossBetween val="between"/>
      </c:valAx>
      <c:spPr>
        <a:noFill/>
        <a:ln>
          <a:noFill/>
        </a:ln>
        <a:effectLst/>
      </c:spPr>
    </c:plotArea>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en-US"/>
    </a:p>
  </c:txPr>
  <c:printSettings>
    <c:headerFooter/>
    <c:pageMargins b="0.75" l="0.7" r="0.7" t="0.75" header="0.3" footer="0.3"/>
    <c:pageSetup paperSize="9" orientation="landscape" horizontalDpi="1200" verticalDpi="12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333333333333329E-2"/>
          <c:y val="0.14212180722065323"/>
          <c:w val="0.84166666666666667"/>
          <c:h val="0.6397466349960411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70C-4824-B55C-0B0E323989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70C-4824-B55C-0B0E323989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70C-4824-B55C-0B0E323989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70C-4824-B55C-0B0E323989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70C-4824-B55C-0B0E3239893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70C-4824-B55C-0B0E3239893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70C-4824-B55C-0B0E3239893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770C-4824-B55C-0B0E3239893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70C-4824-B55C-0B0E3239893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770C-4824-B55C-0B0E3239893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770C-4824-B55C-0B0E3239893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770C-4824-B55C-0B0E3239893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97A2-4930-B97B-361E4B42B1B6}"/>
              </c:ext>
            </c:extLst>
          </c:dPt>
          <c:cat>
            <c:strRef>
              <c:f>'Paycheck Calculator'!$A$54:$A$66</c:f>
              <c:strCache>
                <c:ptCount val="13"/>
                <c:pt idx="0">
                  <c:v>Net Paycheck</c:v>
                </c:pt>
                <c:pt idx="1">
                  <c:v>FICA Social Security (6.2%)</c:v>
                </c:pt>
                <c:pt idx="2">
                  <c:v>FICA Medicare 1.45%</c:v>
                </c:pt>
                <c:pt idx="3">
                  <c:v>Tax Deferral Plan (401k)</c:v>
                </c:pt>
                <c:pt idx="4">
                  <c:v>Other Pre-Tax withholdings</c:v>
                </c:pt>
                <c:pt idx="5">
                  <c:v>Health Insurance Premiums</c:v>
                </c:pt>
                <c:pt idx="6">
                  <c:v>Federal Tax</c:v>
                </c:pt>
                <c:pt idx="7">
                  <c:v>State Tax</c:v>
                </c:pt>
                <c:pt idx="8">
                  <c:v>(SDI) State Disability Insurance</c:v>
                </c:pt>
                <c:pt idx="9">
                  <c:v>Local Tax</c:v>
                </c:pt>
                <c:pt idx="10">
                  <c:v>Insurance</c:v>
                </c:pt>
                <c:pt idx="11">
                  <c:v>Other Post-Tax deductions</c:v>
                </c:pt>
                <c:pt idx="12">
                  <c:v>Post-Tax Reimbursements</c:v>
                </c:pt>
              </c:strCache>
            </c:strRef>
          </c:cat>
          <c:val>
            <c:numRef>
              <c:f>'Paycheck Calculator'!$B$54:$B$66</c:f>
              <c:numCache>
                <c:formatCode>_("$"* #,##0.00_);_("$"* \(#,##0.00\);_("$"* "-"??_);_(@_)</c:formatCode>
                <c:ptCount val="13"/>
                <c:pt idx="0">
                  <c:v>2870.7166666666667</c:v>
                </c:pt>
                <c:pt idx="1">
                  <c:v>217</c:v>
                </c:pt>
                <c:pt idx="2">
                  <c:v>50.75</c:v>
                </c:pt>
                <c:pt idx="3">
                  <c:v>140</c:v>
                </c:pt>
                <c:pt idx="4">
                  <c:v>0</c:v>
                </c:pt>
                <c:pt idx="5">
                  <c:v>0</c:v>
                </c:pt>
                <c:pt idx="6">
                  <c:v>221.5333333333333</c:v>
                </c:pt>
                <c:pt idx="7">
                  <c:v>0</c:v>
                </c:pt>
                <c:pt idx="8">
                  <c:v>45.5</c:v>
                </c:pt>
                <c:pt idx="9">
                  <c:v>0</c:v>
                </c:pt>
                <c:pt idx="10">
                  <c:v>0</c:v>
                </c:pt>
                <c:pt idx="11">
                  <c:v>0</c:v>
                </c:pt>
                <c:pt idx="12">
                  <c:v>0</c:v>
                </c:pt>
              </c:numCache>
            </c:numRef>
          </c:val>
          <c:extLst>
            <c:ext xmlns:c16="http://schemas.microsoft.com/office/drawing/2014/chart" uri="{C3380CC4-5D6E-409C-BE32-E72D297353CC}">
              <c16:uniqueId val="{00000018-770C-4824-B55C-0B0E3239893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4127296587926512E-3"/>
          <c:y val="0.79538057742782153"/>
          <c:w val="0.99100754593175866"/>
          <c:h val="0.2046194225721784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spreadsheet123.com/calculators/net-paycheck-calculator?utm_source=paycheck-calculator-CA&amp;utm_medium=logo&amp;utm_campaign=templates"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https://www.spreadsheet123.com/calculators/net-paycheck-calculator?utm_source=paycheck-calculator-CA&amp;utm_medium=social-prompt&amp;utm_campaign=templates" TargetMode="Externa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19050</xdr:colOff>
      <xdr:row>53</xdr:row>
      <xdr:rowOff>9525</xdr:rowOff>
    </xdr:from>
    <xdr:to>
      <xdr:col>7</xdr:col>
      <xdr:colOff>0</xdr:colOff>
      <xdr:row>66</xdr:row>
      <xdr:rowOff>0</xdr:rowOff>
    </xdr:to>
    <xdr:graphicFrame macro="">
      <xdr:nvGraphicFramePr>
        <xdr:cNvPr id="2" name="Chart 1">
          <a:extLst>
            <a:ext uri="{FF2B5EF4-FFF2-40B4-BE49-F238E27FC236}">
              <a16:creationId xmlns:a16="http://schemas.microsoft.com/office/drawing/2014/main" id="{08CAEB7C-68A0-484E-8755-2E9FB508E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57150</xdr:rowOff>
    </xdr:from>
    <xdr:to>
      <xdr:col>7</xdr:col>
      <xdr:colOff>0</xdr:colOff>
      <xdr:row>52</xdr:row>
      <xdr:rowOff>0</xdr:rowOff>
    </xdr:to>
    <xdr:graphicFrame macro="">
      <xdr:nvGraphicFramePr>
        <xdr:cNvPr id="3" name="Chart 2">
          <a:extLst>
            <a:ext uri="{FF2B5EF4-FFF2-40B4-BE49-F238E27FC236}">
              <a16:creationId xmlns:a16="http://schemas.microsoft.com/office/drawing/2014/main" id="{94A72A3B-DA27-4AFF-9982-E6A2BA4E9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0</xdr:row>
      <xdr:rowOff>0</xdr:rowOff>
    </xdr:from>
    <xdr:to>
      <xdr:col>8</xdr:col>
      <xdr:colOff>2017951</xdr:colOff>
      <xdr:row>0</xdr:row>
      <xdr:rowOff>469433</xdr:rowOff>
    </xdr:to>
    <xdr:pic>
      <xdr:nvPicPr>
        <xdr:cNvPr id="4" name="Picture 92">
          <a:hlinkClick xmlns:r="http://schemas.openxmlformats.org/officeDocument/2006/relationships" r:id="rId3" tooltip="Spreadsheet123.com"/>
          <a:extLst>
            <a:ext uri="{FF2B5EF4-FFF2-40B4-BE49-F238E27FC236}">
              <a16:creationId xmlns:a16="http://schemas.microsoft.com/office/drawing/2014/main" id="{C5DB9DD1-FFC3-4162-A1F2-23C8B7527D7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916305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xdr:row>
      <xdr:rowOff>0</xdr:rowOff>
    </xdr:from>
    <xdr:to>
      <xdr:col>10</xdr:col>
      <xdr:colOff>552450</xdr:colOff>
      <xdr:row>12</xdr:row>
      <xdr:rowOff>114300</xdr:rowOff>
    </xdr:to>
    <xdr:pic>
      <xdr:nvPicPr>
        <xdr:cNvPr id="5" name="Picture 2">
          <a:hlinkClick xmlns:r="http://schemas.openxmlformats.org/officeDocument/2006/relationships" r:id="rId5" tooltip="Share your opinion on social media"/>
          <a:extLst>
            <a:ext uri="{FF2B5EF4-FFF2-40B4-BE49-F238E27FC236}">
              <a16:creationId xmlns:a16="http://schemas.microsoft.com/office/drawing/2014/main" id="{B754FC51-58B6-46E7-996F-6FCE62EC69F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163050" y="10763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55</xdr:row>
      <xdr:rowOff>47625</xdr:rowOff>
    </xdr:from>
    <xdr:to>
      <xdr:col>10</xdr:col>
      <xdr:colOff>76200</xdr:colOff>
      <xdr:row>56</xdr:row>
      <xdr:rowOff>19050</xdr:rowOff>
    </xdr:to>
    <xdr:sp macro="" textlink="">
      <xdr:nvSpPr>
        <xdr:cNvPr id="2" name="Text Box 11">
          <a:extLst>
            <a:ext uri="{FF2B5EF4-FFF2-40B4-BE49-F238E27FC236}">
              <a16:creationId xmlns:a16="http://schemas.microsoft.com/office/drawing/2014/main" id="{5DF88751-F52A-4FB9-B339-D7ABAA3922D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 name="Text Box 11">
          <a:extLst>
            <a:ext uri="{FF2B5EF4-FFF2-40B4-BE49-F238E27FC236}">
              <a16:creationId xmlns:a16="http://schemas.microsoft.com/office/drawing/2014/main" id="{0910A2B0-9197-4058-BE89-0074FCA5C9B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 name="Text Box 11">
          <a:extLst>
            <a:ext uri="{FF2B5EF4-FFF2-40B4-BE49-F238E27FC236}">
              <a16:creationId xmlns:a16="http://schemas.microsoft.com/office/drawing/2014/main" id="{A0B047E0-D7B5-4B5C-8417-15AF98F6A4E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 name="Text Box 11">
          <a:extLst>
            <a:ext uri="{FF2B5EF4-FFF2-40B4-BE49-F238E27FC236}">
              <a16:creationId xmlns:a16="http://schemas.microsoft.com/office/drawing/2014/main" id="{2E96B88A-7A34-4115-9CFF-95C8DCEF8C2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 name="Text Box 11">
          <a:extLst>
            <a:ext uri="{FF2B5EF4-FFF2-40B4-BE49-F238E27FC236}">
              <a16:creationId xmlns:a16="http://schemas.microsoft.com/office/drawing/2014/main" id="{E5BB0FFF-0D3C-485D-9A14-D7A6D7179A1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 name="Text Box 11">
          <a:extLst>
            <a:ext uri="{FF2B5EF4-FFF2-40B4-BE49-F238E27FC236}">
              <a16:creationId xmlns:a16="http://schemas.microsoft.com/office/drawing/2014/main" id="{F0F58D27-C839-420E-AEB3-1CF2D7E1EB2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 name="Text Box 11">
          <a:extLst>
            <a:ext uri="{FF2B5EF4-FFF2-40B4-BE49-F238E27FC236}">
              <a16:creationId xmlns:a16="http://schemas.microsoft.com/office/drawing/2014/main" id="{658CCB7B-C70A-4527-BA0A-5C811240A27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 name="Text Box 11">
          <a:extLst>
            <a:ext uri="{FF2B5EF4-FFF2-40B4-BE49-F238E27FC236}">
              <a16:creationId xmlns:a16="http://schemas.microsoft.com/office/drawing/2014/main" id="{BA363E53-806D-46E7-999A-F7E89ADF23A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 name="Text Box 11">
          <a:extLst>
            <a:ext uri="{FF2B5EF4-FFF2-40B4-BE49-F238E27FC236}">
              <a16:creationId xmlns:a16="http://schemas.microsoft.com/office/drawing/2014/main" id="{D1C0CFDB-7CA2-4BCE-B60B-03FAC8E7DC9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 name="Text Box 11">
          <a:extLst>
            <a:ext uri="{FF2B5EF4-FFF2-40B4-BE49-F238E27FC236}">
              <a16:creationId xmlns:a16="http://schemas.microsoft.com/office/drawing/2014/main" id="{8DBFF59D-15DA-4150-8494-8A3E2F303169}"/>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2" name="Text Box 11">
          <a:extLst>
            <a:ext uri="{FF2B5EF4-FFF2-40B4-BE49-F238E27FC236}">
              <a16:creationId xmlns:a16="http://schemas.microsoft.com/office/drawing/2014/main" id="{3133CF5E-8E62-4C8B-87B3-C1B50F3A015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 name="Text Box 11">
          <a:extLst>
            <a:ext uri="{FF2B5EF4-FFF2-40B4-BE49-F238E27FC236}">
              <a16:creationId xmlns:a16="http://schemas.microsoft.com/office/drawing/2014/main" id="{87C9EC28-54DC-485C-A7E1-07B2C5233C3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 name="Text Box 11">
          <a:extLst>
            <a:ext uri="{FF2B5EF4-FFF2-40B4-BE49-F238E27FC236}">
              <a16:creationId xmlns:a16="http://schemas.microsoft.com/office/drawing/2014/main" id="{4A07ADA4-F056-4986-9412-8DF39531046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 name="Text Box 11">
          <a:extLst>
            <a:ext uri="{FF2B5EF4-FFF2-40B4-BE49-F238E27FC236}">
              <a16:creationId xmlns:a16="http://schemas.microsoft.com/office/drawing/2014/main" id="{9D7CF172-A615-4059-A63E-937A6ED723F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 name="Text Box 11">
          <a:extLst>
            <a:ext uri="{FF2B5EF4-FFF2-40B4-BE49-F238E27FC236}">
              <a16:creationId xmlns:a16="http://schemas.microsoft.com/office/drawing/2014/main" id="{EA6C9946-08D8-4644-9268-7A55D7FB2D1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 name="Text Box 11">
          <a:extLst>
            <a:ext uri="{FF2B5EF4-FFF2-40B4-BE49-F238E27FC236}">
              <a16:creationId xmlns:a16="http://schemas.microsoft.com/office/drawing/2014/main" id="{16E039F8-5E7A-4EF5-BF29-9046FC1295A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 name="Text Box 11">
          <a:extLst>
            <a:ext uri="{FF2B5EF4-FFF2-40B4-BE49-F238E27FC236}">
              <a16:creationId xmlns:a16="http://schemas.microsoft.com/office/drawing/2014/main" id="{991A028C-6507-4BC6-A8BA-E1CC274BB64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 name="Text Box 11">
          <a:extLst>
            <a:ext uri="{FF2B5EF4-FFF2-40B4-BE49-F238E27FC236}">
              <a16:creationId xmlns:a16="http://schemas.microsoft.com/office/drawing/2014/main" id="{F4697982-3250-4FF4-BE07-D14248C88E6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0" name="Text Box 11">
          <a:extLst>
            <a:ext uri="{FF2B5EF4-FFF2-40B4-BE49-F238E27FC236}">
              <a16:creationId xmlns:a16="http://schemas.microsoft.com/office/drawing/2014/main" id="{7C14C1E9-BFA4-450F-96FC-996B40A4987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1" name="Text Box 11">
          <a:extLst>
            <a:ext uri="{FF2B5EF4-FFF2-40B4-BE49-F238E27FC236}">
              <a16:creationId xmlns:a16="http://schemas.microsoft.com/office/drawing/2014/main" id="{E959288D-209F-41F6-B885-9C06AB13287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2" name="Text Box 11">
          <a:extLst>
            <a:ext uri="{FF2B5EF4-FFF2-40B4-BE49-F238E27FC236}">
              <a16:creationId xmlns:a16="http://schemas.microsoft.com/office/drawing/2014/main" id="{D01F2D2B-81B3-477B-814B-11740F5FC8B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3" name="Text Box 11">
          <a:extLst>
            <a:ext uri="{FF2B5EF4-FFF2-40B4-BE49-F238E27FC236}">
              <a16:creationId xmlns:a16="http://schemas.microsoft.com/office/drawing/2014/main" id="{4F26DDDA-58BB-4C5F-949E-C0AB520DB72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4" name="Text Box 11">
          <a:extLst>
            <a:ext uri="{FF2B5EF4-FFF2-40B4-BE49-F238E27FC236}">
              <a16:creationId xmlns:a16="http://schemas.microsoft.com/office/drawing/2014/main" id="{D6761F6E-485A-4DC7-B7D1-EE37C5156CF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5" name="Text Box 11">
          <a:extLst>
            <a:ext uri="{FF2B5EF4-FFF2-40B4-BE49-F238E27FC236}">
              <a16:creationId xmlns:a16="http://schemas.microsoft.com/office/drawing/2014/main" id="{8DC3007A-F6EC-4CCC-8549-43997110275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6" name="Text Box 11">
          <a:extLst>
            <a:ext uri="{FF2B5EF4-FFF2-40B4-BE49-F238E27FC236}">
              <a16:creationId xmlns:a16="http://schemas.microsoft.com/office/drawing/2014/main" id="{76470455-E5BC-4997-948F-80E8EEA90B6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7" name="Text Box 11">
          <a:extLst>
            <a:ext uri="{FF2B5EF4-FFF2-40B4-BE49-F238E27FC236}">
              <a16:creationId xmlns:a16="http://schemas.microsoft.com/office/drawing/2014/main" id="{3A101FCA-9146-4945-B879-D5A4678CD56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8" name="Text Box 11">
          <a:extLst>
            <a:ext uri="{FF2B5EF4-FFF2-40B4-BE49-F238E27FC236}">
              <a16:creationId xmlns:a16="http://schemas.microsoft.com/office/drawing/2014/main" id="{9710D6B0-FA11-43F7-9833-B935D0349CC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9" name="Text Box 11">
          <a:extLst>
            <a:ext uri="{FF2B5EF4-FFF2-40B4-BE49-F238E27FC236}">
              <a16:creationId xmlns:a16="http://schemas.microsoft.com/office/drawing/2014/main" id="{2C0396BD-F408-40A1-9CF0-DF77C4BFBFC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0" name="Text Box 11">
          <a:extLst>
            <a:ext uri="{FF2B5EF4-FFF2-40B4-BE49-F238E27FC236}">
              <a16:creationId xmlns:a16="http://schemas.microsoft.com/office/drawing/2014/main" id="{D5EC7E92-C576-4EA0-B14C-4C35A7762DB9}"/>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1" name="Text Box 11">
          <a:extLst>
            <a:ext uri="{FF2B5EF4-FFF2-40B4-BE49-F238E27FC236}">
              <a16:creationId xmlns:a16="http://schemas.microsoft.com/office/drawing/2014/main" id="{504531CA-3719-4CD7-9FCF-E9F3BFDBC19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2" name="Text Box 11">
          <a:extLst>
            <a:ext uri="{FF2B5EF4-FFF2-40B4-BE49-F238E27FC236}">
              <a16:creationId xmlns:a16="http://schemas.microsoft.com/office/drawing/2014/main" id="{65FB314E-2FE9-469B-BF3F-954F9A41A5F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3" name="Text Box 11">
          <a:extLst>
            <a:ext uri="{FF2B5EF4-FFF2-40B4-BE49-F238E27FC236}">
              <a16:creationId xmlns:a16="http://schemas.microsoft.com/office/drawing/2014/main" id="{0B18E389-70CF-45E5-A995-2BEA09627D1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4" name="Text Box 11">
          <a:extLst>
            <a:ext uri="{FF2B5EF4-FFF2-40B4-BE49-F238E27FC236}">
              <a16:creationId xmlns:a16="http://schemas.microsoft.com/office/drawing/2014/main" id="{FCBD5487-17CB-4608-BC9C-E0E8960F468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5" name="Text Box 11">
          <a:extLst>
            <a:ext uri="{FF2B5EF4-FFF2-40B4-BE49-F238E27FC236}">
              <a16:creationId xmlns:a16="http://schemas.microsoft.com/office/drawing/2014/main" id="{DBCF3EBE-8988-4123-B6D2-2669932EDD1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6" name="Text Box 11">
          <a:extLst>
            <a:ext uri="{FF2B5EF4-FFF2-40B4-BE49-F238E27FC236}">
              <a16:creationId xmlns:a16="http://schemas.microsoft.com/office/drawing/2014/main" id="{BF0504DD-2D28-4D66-BA10-E87ACD6EC30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7" name="Text Box 11">
          <a:extLst>
            <a:ext uri="{FF2B5EF4-FFF2-40B4-BE49-F238E27FC236}">
              <a16:creationId xmlns:a16="http://schemas.microsoft.com/office/drawing/2014/main" id="{D25BBA1B-4FE5-41DF-BE78-05B6BE07DB2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8" name="Text Box 11">
          <a:extLst>
            <a:ext uri="{FF2B5EF4-FFF2-40B4-BE49-F238E27FC236}">
              <a16:creationId xmlns:a16="http://schemas.microsoft.com/office/drawing/2014/main" id="{F8CB728E-BB69-4596-AADF-DF81D84DA26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9" name="Text Box 11">
          <a:extLst>
            <a:ext uri="{FF2B5EF4-FFF2-40B4-BE49-F238E27FC236}">
              <a16:creationId xmlns:a16="http://schemas.microsoft.com/office/drawing/2014/main" id="{4C031B76-0A07-4F19-ADE0-974C497098A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0" name="Text Box 11">
          <a:extLst>
            <a:ext uri="{FF2B5EF4-FFF2-40B4-BE49-F238E27FC236}">
              <a16:creationId xmlns:a16="http://schemas.microsoft.com/office/drawing/2014/main" id="{E8198443-6463-439D-8BEB-BC749CEEE46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1" name="Text Box 11">
          <a:extLst>
            <a:ext uri="{FF2B5EF4-FFF2-40B4-BE49-F238E27FC236}">
              <a16:creationId xmlns:a16="http://schemas.microsoft.com/office/drawing/2014/main" id="{DF12E0AC-F445-4B98-9733-CF3FEA26CF54}"/>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2" name="Text Box 11">
          <a:extLst>
            <a:ext uri="{FF2B5EF4-FFF2-40B4-BE49-F238E27FC236}">
              <a16:creationId xmlns:a16="http://schemas.microsoft.com/office/drawing/2014/main" id="{6B44E032-1D69-40F6-AE74-CE7FA8F21EA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3" name="Text Box 11">
          <a:extLst>
            <a:ext uri="{FF2B5EF4-FFF2-40B4-BE49-F238E27FC236}">
              <a16:creationId xmlns:a16="http://schemas.microsoft.com/office/drawing/2014/main" id="{91126723-C5A2-4352-A9B9-317202F947C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4" name="Text Box 11">
          <a:extLst>
            <a:ext uri="{FF2B5EF4-FFF2-40B4-BE49-F238E27FC236}">
              <a16:creationId xmlns:a16="http://schemas.microsoft.com/office/drawing/2014/main" id="{46A1CFA6-A800-4325-9B87-3D1A0F6A8CE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5" name="Text Box 11">
          <a:extLst>
            <a:ext uri="{FF2B5EF4-FFF2-40B4-BE49-F238E27FC236}">
              <a16:creationId xmlns:a16="http://schemas.microsoft.com/office/drawing/2014/main" id="{A3EBCF54-4AD0-40EB-9A38-CE664604145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6" name="Text Box 11">
          <a:extLst>
            <a:ext uri="{FF2B5EF4-FFF2-40B4-BE49-F238E27FC236}">
              <a16:creationId xmlns:a16="http://schemas.microsoft.com/office/drawing/2014/main" id="{5B8C6E7E-3DB8-4014-9738-D23EF427EFF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7" name="Text Box 11">
          <a:extLst>
            <a:ext uri="{FF2B5EF4-FFF2-40B4-BE49-F238E27FC236}">
              <a16:creationId xmlns:a16="http://schemas.microsoft.com/office/drawing/2014/main" id="{EC830CAB-FB13-484F-BA12-AFE65528FD5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8" name="Text Box 11">
          <a:extLst>
            <a:ext uri="{FF2B5EF4-FFF2-40B4-BE49-F238E27FC236}">
              <a16:creationId xmlns:a16="http://schemas.microsoft.com/office/drawing/2014/main" id="{2628192D-640A-4BD9-BCA0-9C5F2781299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9" name="Text Box 11">
          <a:extLst>
            <a:ext uri="{FF2B5EF4-FFF2-40B4-BE49-F238E27FC236}">
              <a16:creationId xmlns:a16="http://schemas.microsoft.com/office/drawing/2014/main" id="{A8F653CC-2D3A-4B93-9C20-B17945C6A2F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0" name="Text Box 11">
          <a:extLst>
            <a:ext uri="{FF2B5EF4-FFF2-40B4-BE49-F238E27FC236}">
              <a16:creationId xmlns:a16="http://schemas.microsoft.com/office/drawing/2014/main" id="{9EE7C863-AB3B-4B7C-AF2A-BADF94DDA44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1" name="Text Box 11">
          <a:extLst>
            <a:ext uri="{FF2B5EF4-FFF2-40B4-BE49-F238E27FC236}">
              <a16:creationId xmlns:a16="http://schemas.microsoft.com/office/drawing/2014/main" id="{BB545C0C-0056-41BB-A1F1-E8BDF758F9FF}"/>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2" name="Text Box 11">
          <a:extLst>
            <a:ext uri="{FF2B5EF4-FFF2-40B4-BE49-F238E27FC236}">
              <a16:creationId xmlns:a16="http://schemas.microsoft.com/office/drawing/2014/main" id="{26096C6A-5743-4F33-BC0B-3220CACBBE0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3" name="Text Box 11">
          <a:extLst>
            <a:ext uri="{FF2B5EF4-FFF2-40B4-BE49-F238E27FC236}">
              <a16:creationId xmlns:a16="http://schemas.microsoft.com/office/drawing/2014/main" id="{6DB4D971-2B72-4517-BF3B-7D992509BE2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4" name="Text Box 11">
          <a:extLst>
            <a:ext uri="{FF2B5EF4-FFF2-40B4-BE49-F238E27FC236}">
              <a16:creationId xmlns:a16="http://schemas.microsoft.com/office/drawing/2014/main" id="{660B56C6-72B5-4368-91B2-13F8F220543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5" name="Text Box 11">
          <a:extLst>
            <a:ext uri="{FF2B5EF4-FFF2-40B4-BE49-F238E27FC236}">
              <a16:creationId xmlns:a16="http://schemas.microsoft.com/office/drawing/2014/main" id="{295016F7-2DA9-42C3-93D6-ED3C031B3C6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6" name="Text Box 11">
          <a:extLst>
            <a:ext uri="{FF2B5EF4-FFF2-40B4-BE49-F238E27FC236}">
              <a16:creationId xmlns:a16="http://schemas.microsoft.com/office/drawing/2014/main" id="{D394CE31-2823-478F-ACDE-1EC8EF7653D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7" name="Text Box 11">
          <a:extLst>
            <a:ext uri="{FF2B5EF4-FFF2-40B4-BE49-F238E27FC236}">
              <a16:creationId xmlns:a16="http://schemas.microsoft.com/office/drawing/2014/main" id="{AE8AD6F3-7AEB-4E5B-A951-E04FC55D42E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8" name="Text Box 11">
          <a:extLst>
            <a:ext uri="{FF2B5EF4-FFF2-40B4-BE49-F238E27FC236}">
              <a16:creationId xmlns:a16="http://schemas.microsoft.com/office/drawing/2014/main" id="{25D95C42-410D-41B1-89DD-082E758CB89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9" name="Text Box 11">
          <a:extLst>
            <a:ext uri="{FF2B5EF4-FFF2-40B4-BE49-F238E27FC236}">
              <a16:creationId xmlns:a16="http://schemas.microsoft.com/office/drawing/2014/main" id="{0F19F5A3-3FEA-4380-ADCE-56C8AC563BB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0" name="Text Box 11">
          <a:extLst>
            <a:ext uri="{FF2B5EF4-FFF2-40B4-BE49-F238E27FC236}">
              <a16:creationId xmlns:a16="http://schemas.microsoft.com/office/drawing/2014/main" id="{15F448CB-967F-4CF3-BDB4-5733DB69000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1" name="Text Box 11">
          <a:extLst>
            <a:ext uri="{FF2B5EF4-FFF2-40B4-BE49-F238E27FC236}">
              <a16:creationId xmlns:a16="http://schemas.microsoft.com/office/drawing/2014/main" id="{D07A50F9-256E-42B4-957D-A10FDCAA017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2" name="Text Box 11">
          <a:extLst>
            <a:ext uri="{FF2B5EF4-FFF2-40B4-BE49-F238E27FC236}">
              <a16:creationId xmlns:a16="http://schemas.microsoft.com/office/drawing/2014/main" id="{7D74A0BA-8A23-47E2-8BB6-3E60D80F458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3" name="Text Box 11">
          <a:extLst>
            <a:ext uri="{FF2B5EF4-FFF2-40B4-BE49-F238E27FC236}">
              <a16:creationId xmlns:a16="http://schemas.microsoft.com/office/drawing/2014/main" id="{7123ED27-1CFE-40B2-8300-A957E0EB8A2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4" name="Text Box 11">
          <a:extLst>
            <a:ext uri="{FF2B5EF4-FFF2-40B4-BE49-F238E27FC236}">
              <a16:creationId xmlns:a16="http://schemas.microsoft.com/office/drawing/2014/main" id="{D439820B-79C1-42A1-9085-B5F5F7805D9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5" name="Text Box 11">
          <a:extLst>
            <a:ext uri="{FF2B5EF4-FFF2-40B4-BE49-F238E27FC236}">
              <a16:creationId xmlns:a16="http://schemas.microsoft.com/office/drawing/2014/main" id="{4201B40F-E2F2-4819-8A52-E67B97A7290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6" name="Text Box 11">
          <a:extLst>
            <a:ext uri="{FF2B5EF4-FFF2-40B4-BE49-F238E27FC236}">
              <a16:creationId xmlns:a16="http://schemas.microsoft.com/office/drawing/2014/main" id="{DB322241-B96C-4BA5-A6F4-A98FA560B6F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7" name="Text Box 11">
          <a:extLst>
            <a:ext uri="{FF2B5EF4-FFF2-40B4-BE49-F238E27FC236}">
              <a16:creationId xmlns:a16="http://schemas.microsoft.com/office/drawing/2014/main" id="{581B8A66-1A1C-48B7-9D2B-41DFD34D722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8" name="Text Box 11">
          <a:extLst>
            <a:ext uri="{FF2B5EF4-FFF2-40B4-BE49-F238E27FC236}">
              <a16:creationId xmlns:a16="http://schemas.microsoft.com/office/drawing/2014/main" id="{42D74C55-04F4-4FA5-B8C1-971B134171E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9" name="Text Box 11">
          <a:extLst>
            <a:ext uri="{FF2B5EF4-FFF2-40B4-BE49-F238E27FC236}">
              <a16:creationId xmlns:a16="http://schemas.microsoft.com/office/drawing/2014/main" id="{72A8D228-94C2-4CA6-B558-003E8E2AE6A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70" name="Text Box 11">
          <a:extLst>
            <a:ext uri="{FF2B5EF4-FFF2-40B4-BE49-F238E27FC236}">
              <a16:creationId xmlns:a16="http://schemas.microsoft.com/office/drawing/2014/main" id="{90D8DFDC-1B9A-4BD3-949C-24D1147DEA1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71" name="Text Box 11">
          <a:extLst>
            <a:ext uri="{FF2B5EF4-FFF2-40B4-BE49-F238E27FC236}">
              <a16:creationId xmlns:a16="http://schemas.microsoft.com/office/drawing/2014/main" id="{2D5E2C16-862D-49DC-BBCE-DB358ECD8D78}"/>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2" name="Text Box 11">
          <a:extLst>
            <a:ext uri="{FF2B5EF4-FFF2-40B4-BE49-F238E27FC236}">
              <a16:creationId xmlns:a16="http://schemas.microsoft.com/office/drawing/2014/main" id="{56C82815-FEA1-42A3-9C8B-7106C6401BC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3" name="Text Box 11">
          <a:extLst>
            <a:ext uri="{FF2B5EF4-FFF2-40B4-BE49-F238E27FC236}">
              <a16:creationId xmlns:a16="http://schemas.microsoft.com/office/drawing/2014/main" id="{1E11E4D1-FFE6-4D65-9592-9EDD33DAB9E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4" name="Text Box 11">
          <a:extLst>
            <a:ext uri="{FF2B5EF4-FFF2-40B4-BE49-F238E27FC236}">
              <a16:creationId xmlns:a16="http://schemas.microsoft.com/office/drawing/2014/main" id="{C340666D-9B0B-46A7-AB13-9B9932208DF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5" name="Text Box 11">
          <a:extLst>
            <a:ext uri="{FF2B5EF4-FFF2-40B4-BE49-F238E27FC236}">
              <a16:creationId xmlns:a16="http://schemas.microsoft.com/office/drawing/2014/main" id="{0DC7BC6B-8CBB-4DB5-821D-E44E9CF9018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6" name="Text Box 11">
          <a:extLst>
            <a:ext uri="{FF2B5EF4-FFF2-40B4-BE49-F238E27FC236}">
              <a16:creationId xmlns:a16="http://schemas.microsoft.com/office/drawing/2014/main" id="{54B91F22-85EF-40AC-A951-71C677A751C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7" name="Text Box 11">
          <a:extLst>
            <a:ext uri="{FF2B5EF4-FFF2-40B4-BE49-F238E27FC236}">
              <a16:creationId xmlns:a16="http://schemas.microsoft.com/office/drawing/2014/main" id="{FB4191E4-2430-4860-AD49-E643F1B3E13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8" name="Text Box 11">
          <a:extLst>
            <a:ext uri="{FF2B5EF4-FFF2-40B4-BE49-F238E27FC236}">
              <a16:creationId xmlns:a16="http://schemas.microsoft.com/office/drawing/2014/main" id="{411A9955-8702-421A-875C-67AC4547A66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39" name="Text Box 11">
          <a:extLst>
            <a:ext uri="{FF2B5EF4-FFF2-40B4-BE49-F238E27FC236}">
              <a16:creationId xmlns:a16="http://schemas.microsoft.com/office/drawing/2014/main" id="{4DEAE23A-4264-4688-B126-FF47AAC9F62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0" name="Text Box 11">
          <a:extLst>
            <a:ext uri="{FF2B5EF4-FFF2-40B4-BE49-F238E27FC236}">
              <a16:creationId xmlns:a16="http://schemas.microsoft.com/office/drawing/2014/main" id="{7145A810-A4B3-4802-A96A-861B65B0D2B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1" name="Text Box 11">
          <a:extLst>
            <a:ext uri="{FF2B5EF4-FFF2-40B4-BE49-F238E27FC236}">
              <a16:creationId xmlns:a16="http://schemas.microsoft.com/office/drawing/2014/main" id="{F18A2789-D3D4-4BF6-803E-B210BDE2803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2" name="Text Box 11">
          <a:extLst>
            <a:ext uri="{FF2B5EF4-FFF2-40B4-BE49-F238E27FC236}">
              <a16:creationId xmlns:a16="http://schemas.microsoft.com/office/drawing/2014/main" id="{038B7CE4-5060-4A65-BCE2-2EB001197A4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3" name="Text Box 11">
          <a:extLst>
            <a:ext uri="{FF2B5EF4-FFF2-40B4-BE49-F238E27FC236}">
              <a16:creationId xmlns:a16="http://schemas.microsoft.com/office/drawing/2014/main" id="{5E499B58-05F5-4685-88C3-4294B79971C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4" name="Text Box 11">
          <a:extLst>
            <a:ext uri="{FF2B5EF4-FFF2-40B4-BE49-F238E27FC236}">
              <a16:creationId xmlns:a16="http://schemas.microsoft.com/office/drawing/2014/main" id="{9C5B6173-EAF6-4C3C-A420-B694C762E70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5" name="Text Box 11">
          <a:extLst>
            <a:ext uri="{FF2B5EF4-FFF2-40B4-BE49-F238E27FC236}">
              <a16:creationId xmlns:a16="http://schemas.microsoft.com/office/drawing/2014/main" id="{1D0043C9-6519-40E8-B2E5-D40F50887C9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6" name="Text Box 11">
          <a:extLst>
            <a:ext uri="{FF2B5EF4-FFF2-40B4-BE49-F238E27FC236}">
              <a16:creationId xmlns:a16="http://schemas.microsoft.com/office/drawing/2014/main" id="{2272F4DC-3F4E-4DA1-A728-6C45E1E8123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7" name="Text Box 11">
          <a:extLst>
            <a:ext uri="{FF2B5EF4-FFF2-40B4-BE49-F238E27FC236}">
              <a16:creationId xmlns:a16="http://schemas.microsoft.com/office/drawing/2014/main" id="{A0A3E567-C34D-4BBA-AFD1-1A9CBC60A07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8" name="Text Box 11">
          <a:extLst>
            <a:ext uri="{FF2B5EF4-FFF2-40B4-BE49-F238E27FC236}">
              <a16:creationId xmlns:a16="http://schemas.microsoft.com/office/drawing/2014/main" id="{BAEB5693-419F-4EC6-B649-C7026356CFC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9" name="Text Box 11">
          <a:extLst>
            <a:ext uri="{FF2B5EF4-FFF2-40B4-BE49-F238E27FC236}">
              <a16:creationId xmlns:a16="http://schemas.microsoft.com/office/drawing/2014/main" id="{A97BC078-43E2-4739-AE12-37260090BFB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0" name="Text Box 11">
          <a:extLst>
            <a:ext uri="{FF2B5EF4-FFF2-40B4-BE49-F238E27FC236}">
              <a16:creationId xmlns:a16="http://schemas.microsoft.com/office/drawing/2014/main" id="{08EC05F7-3637-4456-92D7-1936E4F460C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1" name="Text Box 11">
          <a:extLst>
            <a:ext uri="{FF2B5EF4-FFF2-40B4-BE49-F238E27FC236}">
              <a16:creationId xmlns:a16="http://schemas.microsoft.com/office/drawing/2014/main" id="{BC4803B9-3C4B-438D-AF10-5B34246F96A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2" name="Text Box 11">
          <a:extLst>
            <a:ext uri="{FF2B5EF4-FFF2-40B4-BE49-F238E27FC236}">
              <a16:creationId xmlns:a16="http://schemas.microsoft.com/office/drawing/2014/main" id="{78FBAE87-F9FA-451A-897C-CFD072542F4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3" name="Text Box 11">
          <a:extLst>
            <a:ext uri="{FF2B5EF4-FFF2-40B4-BE49-F238E27FC236}">
              <a16:creationId xmlns:a16="http://schemas.microsoft.com/office/drawing/2014/main" id="{0F5F343D-6D0F-4DBF-959F-32CBF359E85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4" name="Text Box 11">
          <a:extLst>
            <a:ext uri="{FF2B5EF4-FFF2-40B4-BE49-F238E27FC236}">
              <a16:creationId xmlns:a16="http://schemas.microsoft.com/office/drawing/2014/main" id="{CAE198EE-EB96-4076-9283-5F16A9A14BA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5" name="Text Box 11">
          <a:extLst>
            <a:ext uri="{FF2B5EF4-FFF2-40B4-BE49-F238E27FC236}">
              <a16:creationId xmlns:a16="http://schemas.microsoft.com/office/drawing/2014/main" id="{3F420698-E5CF-47B5-BA6F-FD4AF3EC7BF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6" name="Text Box 11">
          <a:extLst>
            <a:ext uri="{FF2B5EF4-FFF2-40B4-BE49-F238E27FC236}">
              <a16:creationId xmlns:a16="http://schemas.microsoft.com/office/drawing/2014/main" id="{8D8EF0C7-8BD8-409A-BBD1-922C744E938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7" name="Text Box 11">
          <a:extLst>
            <a:ext uri="{FF2B5EF4-FFF2-40B4-BE49-F238E27FC236}">
              <a16:creationId xmlns:a16="http://schemas.microsoft.com/office/drawing/2014/main" id="{1D83E2CC-35E2-4DFD-959C-38D95628397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8" name="Text Box 11">
          <a:extLst>
            <a:ext uri="{FF2B5EF4-FFF2-40B4-BE49-F238E27FC236}">
              <a16:creationId xmlns:a16="http://schemas.microsoft.com/office/drawing/2014/main" id="{AB15B935-ED3A-45CB-9861-D181FA8A28E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9" name="Text Box 11">
          <a:extLst>
            <a:ext uri="{FF2B5EF4-FFF2-40B4-BE49-F238E27FC236}">
              <a16:creationId xmlns:a16="http://schemas.microsoft.com/office/drawing/2014/main" id="{6B66135A-66C2-4708-BA83-850EEEA0331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0" name="Text Box 11">
          <a:extLst>
            <a:ext uri="{FF2B5EF4-FFF2-40B4-BE49-F238E27FC236}">
              <a16:creationId xmlns:a16="http://schemas.microsoft.com/office/drawing/2014/main" id="{03EA3CB9-6702-4F65-A50C-EB68404DBD1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1" name="Text Box 11">
          <a:extLst>
            <a:ext uri="{FF2B5EF4-FFF2-40B4-BE49-F238E27FC236}">
              <a16:creationId xmlns:a16="http://schemas.microsoft.com/office/drawing/2014/main" id="{5E7BD9AE-647D-432E-970E-34A4D23395F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2" name="Text Box 11">
          <a:extLst>
            <a:ext uri="{FF2B5EF4-FFF2-40B4-BE49-F238E27FC236}">
              <a16:creationId xmlns:a16="http://schemas.microsoft.com/office/drawing/2014/main" id="{B344B112-1FF6-40BC-A5C3-CD8E6CA4A3D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3" name="Text Box 11">
          <a:extLst>
            <a:ext uri="{FF2B5EF4-FFF2-40B4-BE49-F238E27FC236}">
              <a16:creationId xmlns:a16="http://schemas.microsoft.com/office/drawing/2014/main" id="{4F7D378D-9000-4A3F-AD93-1FE08642A1A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4" name="Text Box 11">
          <a:extLst>
            <a:ext uri="{FF2B5EF4-FFF2-40B4-BE49-F238E27FC236}">
              <a16:creationId xmlns:a16="http://schemas.microsoft.com/office/drawing/2014/main" id="{DC8C05D5-D08F-46A8-B31D-B530B8955C4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5" name="Text Box 11">
          <a:extLst>
            <a:ext uri="{FF2B5EF4-FFF2-40B4-BE49-F238E27FC236}">
              <a16:creationId xmlns:a16="http://schemas.microsoft.com/office/drawing/2014/main" id="{E93F8102-6F22-444E-802A-4AD1BAD7AAE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6" name="Text Box 11">
          <a:extLst>
            <a:ext uri="{FF2B5EF4-FFF2-40B4-BE49-F238E27FC236}">
              <a16:creationId xmlns:a16="http://schemas.microsoft.com/office/drawing/2014/main" id="{0247D2BD-B3B8-40ED-A097-C9B7F578B22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7" name="Text Box 11">
          <a:extLst>
            <a:ext uri="{FF2B5EF4-FFF2-40B4-BE49-F238E27FC236}">
              <a16:creationId xmlns:a16="http://schemas.microsoft.com/office/drawing/2014/main" id="{C258A41E-9A80-4C44-BE34-BE220FD99AA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8" name="Text Box 11">
          <a:extLst>
            <a:ext uri="{FF2B5EF4-FFF2-40B4-BE49-F238E27FC236}">
              <a16:creationId xmlns:a16="http://schemas.microsoft.com/office/drawing/2014/main" id="{0A7AE2A4-5EB9-4F82-9F09-D23077498F2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9" name="Text Box 11">
          <a:extLst>
            <a:ext uri="{FF2B5EF4-FFF2-40B4-BE49-F238E27FC236}">
              <a16:creationId xmlns:a16="http://schemas.microsoft.com/office/drawing/2014/main" id="{B2A0645F-8AFD-4789-B644-1E53F02D1E4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0" name="Text Box 11">
          <a:extLst>
            <a:ext uri="{FF2B5EF4-FFF2-40B4-BE49-F238E27FC236}">
              <a16:creationId xmlns:a16="http://schemas.microsoft.com/office/drawing/2014/main" id="{24FD4C6B-7C30-4C01-AD51-AD9178F50B6F}"/>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1" name="Text Box 11">
          <a:extLst>
            <a:ext uri="{FF2B5EF4-FFF2-40B4-BE49-F238E27FC236}">
              <a16:creationId xmlns:a16="http://schemas.microsoft.com/office/drawing/2014/main" id="{B17A462A-8DBD-426C-8BCA-A5E00A927B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2" name="Text Box 11">
          <a:extLst>
            <a:ext uri="{FF2B5EF4-FFF2-40B4-BE49-F238E27FC236}">
              <a16:creationId xmlns:a16="http://schemas.microsoft.com/office/drawing/2014/main" id="{8E556A00-8E4D-4B22-8088-BD93FADB6B1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3" name="Text Box 11">
          <a:extLst>
            <a:ext uri="{FF2B5EF4-FFF2-40B4-BE49-F238E27FC236}">
              <a16:creationId xmlns:a16="http://schemas.microsoft.com/office/drawing/2014/main" id="{89D77C5C-E65B-4C26-89B6-F23E3E72520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4" name="Text Box 11">
          <a:extLst>
            <a:ext uri="{FF2B5EF4-FFF2-40B4-BE49-F238E27FC236}">
              <a16:creationId xmlns:a16="http://schemas.microsoft.com/office/drawing/2014/main" id="{1143D51C-C8D6-4377-AE47-D61C56A9A0D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5" name="Text Box 11">
          <a:extLst>
            <a:ext uri="{FF2B5EF4-FFF2-40B4-BE49-F238E27FC236}">
              <a16:creationId xmlns:a16="http://schemas.microsoft.com/office/drawing/2014/main" id="{6AF657BD-D419-4805-9D72-F68D21DC447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6" name="Text Box 11">
          <a:extLst>
            <a:ext uri="{FF2B5EF4-FFF2-40B4-BE49-F238E27FC236}">
              <a16:creationId xmlns:a16="http://schemas.microsoft.com/office/drawing/2014/main" id="{A9315843-4005-4D02-AF88-5DA210A8833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7" name="Text Box 11">
          <a:extLst>
            <a:ext uri="{FF2B5EF4-FFF2-40B4-BE49-F238E27FC236}">
              <a16:creationId xmlns:a16="http://schemas.microsoft.com/office/drawing/2014/main" id="{1E80E9B3-2C58-45F5-A9BE-72DABEE4B0B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8" name="Text Box 11">
          <a:extLst>
            <a:ext uri="{FF2B5EF4-FFF2-40B4-BE49-F238E27FC236}">
              <a16:creationId xmlns:a16="http://schemas.microsoft.com/office/drawing/2014/main" id="{5A499CEF-2F8E-4C1E-A36C-C835597DBDE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9" name="Text Box 11">
          <a:extLst>
            <a:ext uri="{FF2B5EF4-FFF2-40B4-BE49-F238E27FC236}">
              <a16:creationId xmlns:a16="http://schemas.microsoft.com/office/drawing/2014/main" id="{D5A3580E-C2AB-4369-925C-553F76A3401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0" name="Text Box 11">
          <a:extLst>
            <a:ext uri="{FF2B5EF4-FFF2-40B4-BE49-F238E27FC236}">
              <a16:creationId xmlns:a16="http://schemas.microsoft.com/office/drawing/2014/main" id="{D0576C00-5524-4E10-97C6-0C432CBE1AF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1" name="Text Box 11">
          <a:extLst>
            <a:ext uri="{FF2B5EF4-FFF2-40B4-BE49-F238E27FC236}">
              <a16:creationId xmlns:a16="http://schemas.microsoft.com/office/drawing/2014/main" id="{42D00B38-D998-4AB1-9E8F-EE8E2EA8D71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2" name="Text Box 11">
          <a:extLst>
            <a:ext uri="{FF2B5EF4-FFF2-40B4-BE49-F238E27FC236}">
              <a16:creationId xmlns:a16="http://schemas.microsoft.com/office/drawing/2014/main" id="{E2414472-AFFA-4BC9-83F7-DAC487C4F93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3" name="Text Box 11">
          <a:extLst>
            <a:ext uri="{FF2B5EF4-FFF2-40B4-BE49-F238E27FC236}">
              <a16:creationId xmlns:a16="http://schemas.microsoft.com/office/drawing/2014/main" id="{2067126C-878D-4C99-B8DA-E3214324AFD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4" name="Text Box 11">
          <a:extLst>
            <a:ext uri="{FF2B5EF4-FFF2-40B4-BE49-F238E27FC236}">
              <a16:creationId xmlns:a16="http://schemas.microsoft.com/office/drawing/2014/main" id="{55A2B53A-8E43-4570-B7A3-23FD1935311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5" name="Text Box 11">
          <a:extLst>
            <a:ext uri="{FF2B5EF4-FFF2-40B4-BE49-F238E27FC236}">
              <a16:creationId xmlns:a16="http://schemas.microsoft.com/office/drawing/2014/main" id="{D4240B08-10A3-4E3B-8190-AC0C1503BF2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6" name="Text Box 11">
          <a:extLst>
            <a:ext uri="{FF2B5EF4-FFF2-40B4-BE49-F238E27FC236}">
              <a16:creationId xmlns:a16="http://schemas.microsoft.com/office/drawing/2014/main" id="{EA5F5991-04A4-4447-BDF4-952AB061B7E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7" name="Text Box 11">
          <a:extLst>
            <a:ext uri="{FF2B5EF4-FFF2-40B4-BE49-F238E27FC236}">
              <a16:creationId xmlns:a16="http://schemas.microsoft.com/office/drawing/2014/main" id="{7BDDC991-1F9C-43D5-9E37-BA1A7235D58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8" name="Text Box 11">
          <a:extLst>
            <a:ext uri="{FF2B5EF4-FFF2-40B4-BE49-F238E27FC236}">
              <a16:creationId xmlns:a16="http://schemas.microsoft.com/office/drawing/2014/main" id="{B06C6313-0E13-4A23-BFA6-415476C05FC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9" name="Text Box 11">
          <a:extLst>
            <a:ext uri="{FF2B5EF4-FFF2-40B4-BE49-F238E27FC236}">
              <a16:creationId xmlns:a16="http://schemas.microsoft.com/office/drawing/2014/main" id="{A657DA38-7855-413A-A639-562BFF10EDB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0" name="Text Box 11">
          <a:extLst>
            <a:ext uri="{FF2B5EF4-FFF2-40B4-BE49-F238E27FC236}">
              <a16:creationId xmlns:a16="http://schemas.microsoft.com/office/drawing/2014/main" id="{3A6D6CB6-EE43-4A7B-9B94-125FD760F13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1" name="Text Box 11">
          <a:extLst>
            <a:ext uri="{FF2B5EF4-FFF2-40B4-BE49-F238E27FC236}">
              <a16:creationId xmlns:a16="http://schemas.microsoft.com/office/drawing/2014/main" id="{A2DAD075-D564-4EF4-9651-3361FD2E7A5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2" name="Text Box 11">
          <a:extLst>
            <a:ext uri="{FF2B5EF4-FFF2-40B4-BE49-F238E27FC236}">
              <a16:creationId xmlns:a16="http://schemas.microsoft.com/office/drawing/2014/main" id="{5B21DF7C-AE18-4CD6-8ADF-C81333F2FAD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3" name="Text Box 11">
          <a:extLst>
            <a:ext uri="{FF2B5EF4-FFF2-40B4-BE49-F238E27FC236}">
              <a16:creationId xmlns:a16="http://schemas.microsoft.com/office/drawing/2014/main" id="{C6042128-0380-4ECF-9557-E9CE4A3E083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4" name="Text Box 11">
          <a:extLst>
            <a:ext uri="{FF2B5EF4-FFF2-40B4-BE49-F238E27FC236}">
              <a16:creationId xmlns:a16="http://schemas.microsoft.com/office/drawing/2014/main" id="{D490063B-C583-4249-97F8-C1DED126BD4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5" name="Text Box 11">
          <a:extLst>
            <a:ext uri="{FF2B5EF4-FFF2-40B4-BE49-F238E27FC236}">
              <a16:creationId xmlns:a16="http://schemas.microsoft.com/office/drawing/2014/main" id="{A41BF9BB-0595-4654-8E5D-C274A9A6F75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6" name="Text Box 11">
          <a:extLst>
            <a:ext uri="{FF2B5EF4-FFF2-40B4-BE49-F238E27FC236}">
              <a16:creationId xmlns:a16="http://schemas.microsoft.com/office/drawing/2014/main" id="{3B030E1C-681F-4C31-A7E2-C1F76C51527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7" name="Text Box 11">
          <a:extLst>
            <a:ext uri="{FF2B5EF4-FFF2-40B4-BE49-F238E27FC236}">
              <a16:creationId xmlns:a16="http://schemas.microsoft.com/office/drawing/2014/main" id="{451A3C3B-DDAA-42D4-B877-68038FD0562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8" name="Text Box 11">
          <a:extLst>
            <a:ext uri="{FF2B5EF4-FFF2-40B4-BE49-F238E27FC236}">
              <a16:creationId xmlns:a16="http://schemas.microsoft.com/office/drawing/2014/main" id="{C38C9E14-36EB-4265-85D2-71602340FC2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79" name="Text Box 11">
          <a:extLst>
            <a:ext uri="{FF2B5EF4-FFF2-40B4-BE49-F238E27FC236}">
              <a16:creationId xmlns:a16="http://schemas.microsoft.com/office/drawing/2014/main" id="{9F8D755B-B61E-45A8-A925-3CA090C8A73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80" name="Text Box 11">
          <a:extLst>
            <a:ext uri="{FF2B5EF4-FFF2-40B4-BE49-F238E27FC236}">
              <a16:creationId xmlns:a16="http://schemas.microsoft.com/office/drawing/2014/main" id="{225D2608-2079-48DD-B2C9-35985EED380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81" name="Text Box 11">
          <a:extLst>
            <a:ext uri="{FF2B5EF4-FFF2-40B4-BE49-F238E27FC236}">
              <a16:creationId xmlns:a16="http://schemas.microsoft.com/office/drawing/2014/main" id="{F4AD19DD-80BE-4A12-BE2D-FC27975C0478}"/>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2" name="Text Box 11">
          <a:extLst>
            <a:ext uri="{FF2B5EF4-FFF2-40B4-BE49-F238E27FC236}">
              <a16:creationId xmlns:a16="http://schemas.microsoft.com/office/drawing/2014/main" id="{DBDF07E9-5C3B-4723-AD9E-9984C776559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3" name="Text Box 11">
          <a:extLst>
            <a:ext uri="{FF2B5EF4-FFF2-40B4-BE49-F238E27FC236}">
              <a16:creationId xmlns:a16="http://schemas.microsoft.com/office/drawing/2014/main" id="{7D6557CC-9F83-4561-B172-24F4221C683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4" name="Text Box 11">
          <a:extLst>
            <a:ext uri="{FF2B5EF4-FFF2-40B4-BE49-F238E27FC236}">
              <a16:creationId xmlns:a16="http://schemas.microsoft.com/office/drawing/2014/main" id="{F9A3007C-B8D7-448B-8A6F-0BB8EDB0021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5" name="Text Box 11">
          <a:extLst>
            <a:ext uri="{FF2B5EF4-FFF2-40B4-BE49-F238E27FC236}">
              <a16:creationId xmlns:a16="http://schemas.microsoft.com/office/drawing/2014/main" id="{B185693E-C2E4-44F6-84B1-909F9CA67B1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6" name="Text Box 11">
          <a:extLst>
            <a:ext uri="{FF2B5EF4-FFF2-40B4-BE49-F238E27FC236}">
              <a16:creationId xmlns:a16="http://schemas.microsoft.com/office/drawing/2014/main" id="{728287F2-A507-4727-B2AF-5772E3000F7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7" name="Text Box 11">
          <a:extLst>
            <a:ext uri="{FF2B5EF4-FFF2-40B4-BE49-F238E27FC236}">
              <a16:creationId xmlns:a16="http://schemas.microsoft.com/office/drawing/2014/main" id="{5AB3057C-38D8-4E66-8428-A1E8CFB9727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8" name="Text Box 11">
          <a:extLst>
            <a:ext uri="{FF2B5EF4-FFF2-40B4-BE49-F238E27FC236}">
              <a16:creationId xmlns:a16="http://schemas.microsoft.com/office/drawing/2014/main" id="{98A99955-7ADC-4BD7-B405-1E062AB2245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89" name="Text Box 11">
          <a:extLst>
            <a:ext uri="{FF2B5EF4-FFF2-40B4-BE49-F238E27FC236}">
              <a16:creationId xmlns:a16="http://schemas.microsoft.com/office/drawing/2014/main" id="{8623043A-0B47-4361-BEBB-C39A9E6C7E94}"/>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0" name="Text Box 11">
          <a:extLst>
            <a:ext uri="{FF2B5EF4-FFF2-40B4-BE49-F238E27FC236}">
              <a16:creationId xmlns:a16="http://schemas.microsoft.com/office/drawing/2014/main" id="{C5A3D413-8886-473D-A251-B5602E7A6854}"/>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1" name="Text Box 11">
          <a:extLst>
            <a:ext uri="{FF2B5EF4-FFF2-40B4-BE49-F238E27FC236}">
              <a16:creationId xmlns:a16="http://schemas.microsoft.com/office/drawing/2014/main" id="{F54C06CA-4D02-4EB8-9D1D-8D7A145B5CD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2" name="Text Box 11">
          <a:extLst>
            <a:ext uri="{FF2B5EF4-FFF2-40B4-BE49-F238E27FC236}">
              <a16:creationId xmlns:a16="http://schemas.microsoft.com/office/drawing/2014/main" id="{3CC7215D-10EB-4D42-AE29-381C64A4AD0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3" name="Text Box 11">
          <a:extLst>
            <a:ext uri="{FF2B5EF4-FFF2-40B4-BE49-F238E27FC236}">
              <a16:creationId xmlns:a16="http://schemas.microsoft.com/office/drawing/2014/main" id="{90528FE7-F2A1-410C-957F-3764B7D90D2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4" name="Text Box 11">
          <a:extLst>
            <a:ext uri="{FF2B5EF4-FFF2-40B4-BE49-F238E27FC236}">
              <a16:creationId xmlns:a16="http://schemas.microsoft.com/office/drawing/2014/main" id="{4718169E-93AC-4E06-8F72-DD624615785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5" name="Text Box 11">
          <a:extLst>
            <a:ext uri="{FF2B5EF4-FFF2-40B4-BE49-F238E27FC236}">
              <a16:creationId xmlns:a16="http://schemas.microsoft.com/office/drawing/2014/main" id="{CE525081-FF70-4324-AE3E-51D82BB0E56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6" name="Text Box 11">
          <a:extLst>
            <a:ext uri="{FF2B5EF4-FFF2-40B4-BE49-F238E27FC236}">
              <a16:creationId xmlns:a16="http://schemas.microsoft.com/office/drawing/2014/main" id="{2DD2C9F5-0F58-47E1-9758-97566663EB3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7" name="Text Box 11">
          <a:extLst>
            <a:ext uri="{FF2B5EF4-FFF2-40B4-BE49-F238E27FC236}">
              <a16:creationId xmlns:a16="http://schemas.microsoft.com/office/drawing/2014/main" id="{ADD19970-EF59-4E10-AB5C-85BECDC9A06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98" name="Text Box 11">
          <a:extLst>
            <a:ext uri="{FF2B5EF4-FFF2-40B4-BE49-F238E27FC236}">
              <a16:creationId xmlns:a16="http://schemas.microsoft.com/office/drawing/2014/main" id="{9C1A1F34-0AA9-43CB-B722-4CB82EE90CB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9" name="Text Box 11">
          <a:extLst>
            <a:ext uri="{FF2B5EF4-FFF2-40B4-BE49-F238E27FC236}">
              <a16:creationId xmlns:a16="http://schemas.microsoft.com/office/drawing/2014/main" id="{84792D0E-A5D5-431A-B083-85347887BF5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0" name="Text Box 11">
          <a:extLst>
            <a:ext uri="{FF2B5EF4-FFF2-40B4-BE49-F238E27FC236}">
              <a16:creationId xmlns:a16="http://schemas.microsoft.com/office/drawing/2014/main" id="{007471D8-30B1-4080-B913-89E942777277}"/>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1" name="Text Box 11">
          <a:extLst>
            <a:ext uri="{FF2B5EF4-FFF2-40B4-BE49-F238E27FC236}">
              <a16:creationId xmlns:a16="http://schemas.microsoft.com/office/drawing/2014/main" id="{143986E0-B213-4FFB-8D97-E06123F3EEA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2" name="Text Box 11">
          <a:extLst>
            <a:ext uri="{FF2B5EF4-FFF2-40B4-BE49-F238E27FC236}">
              <a16:creationId xmlns:a16="http://schemas.microsoft.com/office/drawing/2014/main" id="{03C63668-5E7A-4EFF-ACE9-AD717841870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3" name="Text Box 11">
          <a:extLst>
            <a:ext uri="{FF2B5EF4-FFF2-40B4-BE49-F238E27FC236}">
              <a16:creationId xmlns:a16="http://schemas.microsoft.com/office/drawing/2014/main" id="{DF8339DC-D487-49B8-A90A-C70A7B6074B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4" name="Text Box 11">
          <a:extLst>
            <a:ext uri="{FF2B5EF4-FFF2-40B4-BE49-F238E27FC236}">
              <a16:creationId xmlns:a16="http://schemas.microsoft.com/office/drawing/2014/main" id="{F1B60982-733F-43EE-B266-4E78D2C0BF4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5" name="Text Box 11">
          <a:extLst>
            <a:ext uri="{FF2B5EF4-FFF2-40B4-BE49-F238E27FC236}">
              <a16:creationId xmlns:a16="http://schemas.microsoft.com/office/drawing/2014/main" id="{D1615F1D-76B6-4777-AE61-743EBC36EFD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6" name="Text Box 11">
          <a:extLst>
            <a:ext uri="{FF2B5EF4-FFF2-40B4-BE49-F238E27FC236}">
              <a16:creationId xmlns:a16="http://schemas.microsoft.com/office/drawing/2014/main" id="{EA7AE0C0-9AF8-4EF2-A82B-F178A829836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7" name="Text Box 11">
          <a:extLst>
            <a:ext uri="{FF2B5EF4-FFF2-40B4-BE49-F238E27FC236}">
              <a16:creationId xmlns:a16="http://schemas.microsoft.com/office/drawing/2014/main" id="{CA68CB42-7F94-4343-A25C-25DE5C3FB6D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08" name="Text Box 11">
          <a:extLst>
            <a:ext uri="{FF2B5EF4-FFF2-40B4-BE49-F238E27FC236}">
              <a16:creationId xmlns:a16="http://schemas.microsoft.com/office/drawing/2014/main" id="{4D64D0A3-D5F6-4FA9-9F2A-E16E77EDF94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9" name="Text Box 11">
          <a:extLst>
            <a:ext uri="{FF2B5EF4-FFF2-40B4-BE49-F238E27FC236}">
              <a16:creationId xmlns:a16="http://schemas.microsoft.com/office/drawing/2014/main" id="{D390694A-7E70-4ACA-953B-8577C4FB340E}"/>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0" name="Text Box 11">
          <a:extLst>
            <a:ext uri="{FF2B5EF4-FFF2-40B4-BE49-F238E27FC236}">
              <a16:creationId xmlns:a16="http://schemas.microsoft.com/office/drawing/2014/main" id="{AD43ABB2-8282-4CDA-AC4A-1633548420D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1" name="Text Box 11">
          <a:extLst>
            <a:ext uri="{FF2B5EF4-FFF2-40B4-BE49-F238E27FC236}">
              <a16:creationId xmlns:a16="http://schemas.microsoft.com/office/drawing/2014/main" id="{7FA55059-D8B6-4ED7-A49A-4FD7A6F7B0B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4562487</xdr:colOff>
      <xdr:row>0</xdr:row>
      <xdr:rowOff>28575</xdr:rowOff>
    </xdr:from>
    <xdr:to>
      <xdr:col>2</xdr:col>
      <xdr:colOff>1054655</xdr:colOff>
      <xdr:row>0</xdr:row>
      <xdr:rowOff>352575</xdr:rowOff>
    </xdr:to>
    <xdr:pic>
      <xdr:nvPicPr>
        <xdr:cNvPr id="3" name="Picture 3">
          <a:extLst>
            <a:ext uri="{FF2B5EF4-FFF2-40B4-BE49-F238E27FC236}">
              <a16:creationId xmlns:a16="http://schemas.microsoft.com/office/drawing/2014/main" id="{5DB73688-03D0-4858-A1A6-C02B1C766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43462" y="28575"/>
          <a:ext cx="1454693" cy="324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edd.ca.gov/pdf_pub_ctr/de4.pdf" TargetMode="External"/><Relationship Id="rId13" Type="http://schemas.openxmlformats.org/officeDocument/2006/relationships/vmlDrawing" Target="../drawings/vmlDrawing1.vml"/><Relationship Id="rId3" Type="http://schemas.openxmlformats.org/officeDocument/2006/relationships/hyperlink" Target="https://www.spreadsheet123.com/calculators/net-paycheck-calculator?utm_source=paycheck-calculator-CA&amp;utm_medium=title&amp;utm_campaign=templates" TargetMode="External"/><Relationship Id="rId7" Type="http://schemas.openxmlformats.org/officeDocument/2006/relationships/hyperlink" Target="https://www.spreadsheet123.com/ExcelTemplates/work-shift-schedule?utm_source=paycheck-calculator-CA&amp;utm_medium=related&amp;utm_campaign=templates" TargetMode="External"/><Relationship Id="rId12" Type="http://schemas.openxmlformats.org/officeDocument/2006/relationships/drawing" Target="../drawings/drawing1.xm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6" Type="http://schemas.openxmlformats.org/officeDocument/2006/relationships/hyperlink" Target="https://www.spreadsheet123.com/ExcelTemplates/staff-rotation-schedule?utm_source=paycheck-calculator-CA&amp;utm_medium=related&amp;utm_campaign=templates" TargetMode="External"/><Relationship Id="rId11" Type="http://schemas.openxmlformats.org/officeDocument/2006/relationships/printerSettings" Target="../printerSettings/printerSettings1.bin"/><Relationship Id="rId5" Type="http://schemas.openxmlformats.org/officeDocument/2006/relationships/hyperlink" Target="https://www.spreadsheet123.com/calculators/payroll-calculator?utm_source=paycheck-calculator-CA&amp;utm_medium=related&amp;utm_campaign=templates" TargetMode="External"/><Relationship Id="rId10" Type="http://schemas.openxmlformats.org/officeDocument/2006/relationships/hyperlink" Target="https://www.irs.gov/newsroom/new-downloadable-assistant-helps-small-businesses-withhold-the-right-amount-of-income-tax" TargetMode="External"/><Relationship Id="rId4" Type="http://schemas.openxmlformats.org/officeDocument/2006/relationships/hyperlink" Target="https://www.spreadsheet123.com/ExcelTemplates/timesheets?utm_source=paycheck-calculator-CA&amp;utm_medium=related&amp;utm_campaign=templates" TargetMode="External"/><Relationship Id="rId9" Type="http://schemas.openxmlformats.org/officeDocument/2006/relationships/hyperlink" Target="https://edd.ca.gov/siteassets/files/pdf_pub_ctr/26methb.pdf" TargetMode="Externa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irs.gov/pub/irs-pdf/fw4.pdf" TargetMode="Externa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edd.ca.gov/en/Payroll_Taxes/Rates_and_Withholding" TargetMode="External"/><Relationship Id="rId2" Type="http://schemas.openxmlformats.org/officeDocument/2006/relationships/hyperlink" Target="https://edd.ca.gov/siteassets/files/pdf_pub_ctr/26methb.pdf" TargetMode="External"/><Relationship Id="rId1" Type="http://schemas.openxmlformats.org/officeDocument/2006/relationships/hyperlink" Target="https://www.edd.ca.gov/pdf_pub_ctr/21methb.pdf" TargetMode="External"/><Relationship Id="rId5" Type="http://schemas.openxmlformats.org/officeDocument/2006/relationships/printerSettings" Target="../printerSettings/printerSettings2.bin"/><Relationship Id="rId4" Type="http://schemas.openxmlformats.org/officeDocument/2006/relationships/hyperlink" Target="https://edd.ca.gov/siteassets/files/pdf_pub_ctr/26methb.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preadsheet123.com/calculators/net-paycheck-calculator.html" TargetMode="External"/><Relationship Id="rId1" Type="http://schemas.openxmlformats.org/officeDocument/2006/relationships/hyperlink" Target="https://www.spreadsheet123.com/EULA/privateuse-EULA.html"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C1A5-FE14-4188-BEEC-C37160089B00}">
  <sheetPr>
    <pageSetUpPr fitToPage="1"/>
  </sheetPr>
  <dimension ref="A1:U92"/>
  <sheetViews>
    <sheetView showGridLines="0" tabSelected="1" workbookViewId="0">
      <selection activeCell="W25" sqref="W25"/>
    </sheetView>
  </sheetViews>
  <sheetFormatPr defaultRowHeight="12.75" x14ac:dyDescent="0.2"/>
  <cols>
    <col min="1" max="1" width="40.42578125" customWidth="1"/>
    <col min="2" max="2" width="28.5703125" style="2" customWidth="1"/>
    <col min="3" max="3" width="2.28515625" customWidth="1"/>
    <col min="4" max="4" width="0.85546875" customWidth="1"/>
    <col min="5" max="5" width="40.42578125" customWidth="1"/>
    <col min="6" max="6" width="28.5703125" customWidth="1"/>
    <col min="7" max="7" width="2.28515625" customWidth="1"/>
    <col min="9" max="9" width="31" style="12" customWidth="1"/>
    <col min="10" max="11" width="9.140625" style="12"/>
    <col min="15" max="15" width="29.85546875" hidden="1" customWidth="1"/>
    <col min="16" max="20" width="23.42578125" hidden="1" customWidth="1"/>
    <col min="21" max="21" width="0" hidden="1" customWidth="1"/>
  </cols>
  <sheetData>
    <row r="1" spans="1:21" ht="39.950000000000003" customHeight="1" x14ac:dyDescent="0.2">
      <c r="A1" s="27" t="s">
        <v>128</v>
      </c>
      <c r="B1" s="16"/>
      <c r="C1" s="28"/>
      <c r="D1" s="28"/>
      <c r="E1" s="28"/>
      <c r="F1" s="28"/>
      <c r="G1" s="28"/>
      <c r="I1" s="29"/>
      <c r="J1" s="29"/>
      <c r="K1" s="29"/>
    </row>
    <row r="2" spans="1:21" ht="18" customHeight="1" x14ac:dyDescent="0.2">
      <c r="A2" s="30" t="s">
        <v>155</v>
      </c>
      <c r="B2" s="31"/>
      <c r="C2" s="32"/>
      <c r="D2" s="32"/>
      <c r="E2" s="32"/>
      <c r="F2" s="32"/>
      <c r="G2" s="33"/>
      <c r="I2" s="34" t="str">
        <f ca="1">"© 2013-"&amp;YEAR(TODAY())&amp;" Spreadsheet123 LTD"</f>
        <v>© 2013-2025 Spreadsheet123 LTD</v>
      </c>
      <c r="J2" s="35"/>
      <c r="K2" s="35"/>
    </row>
    <row r="3" spans="1:21" ht="5.0999999999999996" customHeight="1" x14ac:dyDescent="0.2">
      <c r="A3" s="36"/>
      <c r="G3" s="26"/>
      <c r="I3" s="34"/>
      <c r="J3" s="35"/>
      <c r="K3" s="35"/>
      <c r="O3" s="78"/>
      <c r="P3" s="78"/>
      <c r="Q3" s="78"/>
      <c r="R3" s="78"/>
      <c r="S3" s="78"/>
      <c r="T3" s="78"/>
      <c r="U3" s="78"/>
    </row>
    <row r="4" spans="1:21" ht="18" customHeight="1" x14ac:dyDescent="0.2">
      <c r="A4" s="17" t="s">
        <v>0</v>
      </c>
      <c r="B4" s="37"/>
      <c r="C4" s="38"/>
      <c r="E4" s="21" t="s">
        <v>37</v>
      </c>
      <c r="F4" s="39"/>
      <c r="G4" s="39"/>
      <c r="I4" s="40" t="s">
        <v>36</v>
      </c>
      <c r="J4" s="35"/>
      <c r="K4" s="35"/>
    </row>
    <row r="5" spans="1:21" ht="5.0999999999999996" customHeight="1" x14ac:dyDescent="0.2">
      <c r="A5" s="20"/>
      <c r="B5" s="19"/>
      <c r="C5" s="20"/>
      <c r="E5" s="41"/>
      <c r="F5" s="41"/>
      <c r="G5" s="41"/>
      <c r="I5" s="35"/>
      <c r="J5" s="35"/>
      <c r="K5" s="35"/>
    </row>
    <row r="6" spans="1:21" ht="18" customHeight="1" x14ac:dyDescent="0.2">
      <c r="A6" s="42" t="s">
        <v>0</v>
      </c>
      <c r="B6" s="43">
        <v>3500</v>
      </c>
      <c r="C6" s="20"/>
      <c r="E6" s="44" t="s">
        <v>30</v>
      </c>
      <c r="F6" s="45">
        <f>B6*INDEX('Federal Tax Tables New'!$B$5:$B$9,MATCH($B$7,'Federal Tax Tables New'!$A$5:$A$9,0))</f>
        <v>42000</v>
      </c>
      <c r="G6" s="41"/>
      <c r="I6" s="35"/>
      <c r="J6" s="35"/>
      <c r="K6" s="35"/>
    </row>
    <row r="7" spans="1:21" ht="18" customHeight="1" x14ac:dyDescent="0.2">
      <c r="A7" s="42" t="s">
        <v>29</v>
      </c>
      <c r="B7" s="25" t="s">
        <v>4</v>
      </c>
      <c r="C7" s="20"/>
      <c r="E7" s="46" t="s">
        <v>16</v>
      </c>
      <c r="F7" s="47">
        <f>B6-F12-F13-F14</f>
        <v>3360</v>
      </c>
      <c r="G7" s="41"/>
      <c r="I7" s="35"/>
      <c r="J7" s="35"/>
      <c r="K7" s="35"/>
    </row>
    <row r="8" spans="1:21" ht="18" customHeight="1" x14ac:dyDescent="0.2">
      <c r="A8" s="42" t="s">
        <v>38</v>
      </c>
      <c r="B8" s="25" t="s">
        <v>39</v>
      </c>
      <c r="C8" s="20"/>
      <c r="E8" s="46" t="s">
        <v>40</v>
      </c>
      <c r="F8" s="47">
        <f>(B6-F14)*6.2%</f>
        <v>217</v>
      </c>
      <c r="G8" s="41"/>
      <c r="I8" s="35"/>
      <c r="J8" s="35"/>
      <c r="K8" s="35"/>
    </row>
    <row r="9" spans="1:21" ht="5.0999999999999996" customHeight="1" x14ac:dyDescent="0.2">
      <c r="A9" s="48"/>
      <c r="B9" s="19"/>
      <c r="C9" s="20"/>
      <c r="E9" s="44"/>
      <c r="F9" s="47"/>
      <c r="G9" s="41"/>
      <c r="I9" s="35"/>
      <c r="J9" s="35"/>
      <c r="K9" s="35"/>
    </row>
    <row r="10" spans="1:21" ht="18" customHeight="1" x14ac:dyDescent="0.2">
      <c r="A10" s="17" t="s">
        <v>41</v>
      </c>
      <c r="B10" s="16"/>
      <c r="C10" s="28"/>
      <c r="E10" s="46" t="s">
        <v>42</v>
      </c>
      <c r="F10" s="45">
        <f>(B6-F14)*1.45%</f>
        <v>50.75</v>
      </c>
      <c r="G10" s="41"/>
      <c r="I10" s="35"/>
      <c r="J10" s="35"/>
      <c r="K10" s="35"/>
    </row>
    <row r="11" spans="1:21" ht="5.0999999999999996" customHeight="1" x14ac:dyDescent="0.2">
      <c r="A11" s="24"/>
      <c r="B11" s="19"/>
      <c r="C11" s="20"/>
      <c r="E11" s="44"/>
      <c r="F11" s="47"/>
      <c r="G11" s="41"/>
      <c r="I11" s="35"/>
      <c r="J11" s="35"/>
      <c r="K11" s="35"/>
    </row>
    <row r="12" spans="1:21" ht="18" customHeight="1" x14ac:dyDescent="0.2">
      <c r="A12" s="22" t="s">
        <v>24</v>
      </c>
      <c r="B12" s="49" t="s">
        <v>43</v>
      </c>
      <c r="C12" s="20"/>
      <c r="E12" s="46" t="s">
        <v>44</v>
      </c>
      <c r="F12" s="45">
        <f>B6*B31</f>
        <v>140</v>
      </c>
      <c r="G12" s="41"/>
      <c r="I12" s="35"/>
      <c r="J12" s="35"/>
      <c r="K12" s="35"/>
    </row>
    <row r="13" spans="1:21" ht="18" customHeight="1" x14ac:dyDescent="0.2">
      <c r="A13" s="22" t="s">
        <v>31</v>
      </c>
      <c r="B13" s="25"/>
      <c r="C13" s="20"/>
      <c r="E13" s="46" t="s">
        <v>45</v>
      </c>
      <c r="F13" s="47">
        <f>$B$32</f>
        <v>0</v>
      </c>
      <c r="G13" s="41"/>
    </row>
    <row r="14" spans="1:21" ht="18" customHeight="1" x14ac:dyDescent="0.2">
      <c r="A14" s="24" t="s">
        <v>46</v>
      </c>
      <c r="B14" s="50">
        <v>0</v>
      </c>
      <c r="C14" s="20"/>
      <c r="E14" s="44" t="s">
        <v>47</v>
      </c>
      <c r="F14" s="47">
        <f>$B$33</f>
        <v>0</v>
      </c>
      <c r="G14" s="41"/>
    </row>
    <row r="15" spans="1:21" ht="5.0999999999999996" customHeight="1" x14ac:dyDescent="0.2">
      <c r="A15" s="48"/>
      <c r="B15" s="19"/>
      <c r="C15" s="20"/>
      <c r="E15" s="46"/>
      <c r="F15" s="47"/>
      <c r="G15" s="41"/>
    </row>
    <row r="16" spans="1:21" ht="18" customHeight="1" x14ac:dyDescent="0.2">
      <c r="A16" s="17" t="s">
        <v>48</v>
      </c>
      <c r="B16" s="16"/>
      <c r="C16" s="28"/>
      <c r="E16" s="46" t="s">
        <v>13</v>
      </c>
      <c r="F16" s="45">
        <f>IF('Paycheck Calculator'!$Q$60=1,IF($B$22="No",'Paycheck Calculator'!$P$76,'Paycheck Calculator'!$Q$76),'Paycheck Calculator'!$R$76)</f>
        <v>221.5333333333333</v>
      </c>
      <c r="G16" s="41"/>
    </row>
    <row r="17" spans="1:9" ht="5.0999999999999996" customHeight="1" x14ac:dyDescent="0.2">
      <c r="A17" s="24"/>
      <c r="B17" s="19"/>
      <c r="C17" s="20"/>
      <c r="E17" s="46"/>
      <c r="F17" s="47"/>
      <c r="G17" s="41"/>
    </row>
    <row r="18" spans="1:9" ht="18" customHeight="1" x14ac:dyDescent="0.2">
      <c r="A18" s="22" t="s">
        <v>24</v>
      </c>
      <c r="B18" s="49" t="s">
        <v>43</v>
      </c>
      <c r="C18" s="20"/>
      <c r="E18" s="46" t="s">
        <v>49</v>
      </c>
      <c r="F18" s="47">
        <f>'Paycheck Calculator'!$P$91</f>
        <v>0</v>
      </c>
      <c r="G18" s="41"/>
    </row>
    <row r="19" spans="1:9" ht="5.0999999999999996" customHeight="1" x14ac:dyDescent="0.2">
      <c r="A19" s="48"/>
      <c r="B19" s="19"/>
      <c r="C19" s="20"/>
      <c r="E19" s="46"/>
      <c r="F19" s="45"/>
      <c r="G19" s="41"/>
    </row>
    <row r="20" spans="1:9" ht="18" customHeight="1" x14ac:dyDescent="0.2">
      <c r="A20" s="51" t="s">
        <v>50</v>
      </c>
      <c r="B20" s="52"/>
      <c r="C20" s="53"/>
      <c r="E20" s="46" t="s">
        <v>127</v>
      </c>
      <c r="F20" s="47">
        <f>'Paycheck Calculator'!$P$92</f>
        <v>45.5</v>
      </c>
      <c r="G20" s="41"/>
    </row>
    <row r="21" spans="1:9" ht="5.0999999999999996" customHeight="1" x14ac:dyDescent="0.2">
      <c r="A21" s="24"/>
      <c r="B21" s="19"/>
      <c r="C21" s="20"/>
      <c r="E21" s="46"/>
      <c r="F21" s="45"/>
      <c r="G21" s="41"/>
    </row>
    <row r="22" spans="1:9" ht="18" customHeight="1" thickBot="1" x14ac:dyDescent="0.25">
      <c r="A22" s="22" t="s">
        <v>51</v>
      </c>
      <c r="B22" s="25" t="s">
        <v>52</v>
      </c>
      <c r="C22" s="20"/>
      <c r="E22" s="46" t="s">
        <v>19</v>
      </c>
      <c r="F22" s="47">
        <f>$F$7*$B$42</f>
        <v>0</v>
      </c>
      <c r="G22" s="41"/>
      <c r="I22" s="54" t="s">
        <v>53</v>
      </c>
    </row>
    <row r="23" spans="1:9" ht="18" customHeight="1" x14ac:dyDescent="0.2">
      <c r="A23" s="24" t="s">
        <v>54</v>
      </c>
      <c r="B23" s="55"/>
      <c r="C23" s="20"/>
      <c r="E23" s="46" t="s">
        <v>15</v>
      </c>
      <c r="F23" s="45">
        <f>$B$46</f>
        <v>0</v>
      </c>
      <c r="G23" s="41"/>
      <c r="I23" s="56" t="s">
        <v>56</v>
      </c>
    </row>
    <row r="24" spans="1:9" ht="18" customHeight="1" x14ac:dyDescent="0.2">
      <c r="A24" s="24" t="s">
        <v>57</v>
      </c>
      <c r="B24" s="55"/>
      <c r="C24" s="20"/>
      <c r="E24" s="46" t="s">
        <v>55</v>
      </c>
      <c r="F24" s="47">
        <f>$B$47</f>
        <v>0</v>
      </c>
      <c r="G24" s="41"/>
      <c r="I24" s="56" t="s">
        <v>58</v>
      </c>
    </row>
    <row r="25" spans="1:9" ht="18" customHeight="1" x14ac:dyDescent="0.2">
      <c r="A25" s="22" t="s">
        <v>59</v>
      </c>
      <c r="B25" s="50">
        <v>0</v>
      </c>
      <c r="C25" s="20"/>
      <c r="E25" s="46" t="s">
        <v>34</v>
      </c>
      <c r="F25" s="47">
        <f>$B$51</f>
        <v>0</v>
      </c>
      <c r="G25" s="41"/>
      <c r="I25" s="56" t="s">
        <v>60</v>
      </c>
    </row>
    <row r="26" spans="1:9" ht="18" customHeight="1" x14ac:dyDescent="0.2">
      <c r="A26" s="22" t="s">
        <v>61</v>
      </c>
      <c r="B26" s="50">
        <v>0</v>
      </c>
      <c r="C26" s="20"/>
      <c r="E26" s="41"/>
      <c r="F26" s="41"/>
      <c r="G26" s="41"/>
      <c r="I26" s="56" t="s">
        <v>62</v>
      </c>
    </row>
    <row r="27" spans="1:9" ht="18" customHeight="1" x14ac:dyDescent="0.2">
      <c r="A27" s="22" t="s">
        <v>63</v>
      </c>
      <c r="B27" s="50">
        <v>0</v>
      </c>
      <c r="C27" s="20"/>
      <c r="E27" s="57" t="s">
        <v>35</v>
      </c>
      <c r="F27" s="58">
        <f>$B$6-$F$8-$F$10-$F$12-$F$13-$F$14-$F$16-$F$18-$F$20-$F$22-$F$23-$F$24+$F$25</f>
        <v>2825.2166666666667</v>
      </c>
      <c r="G27" s="41"/>
      <c r="I27" s="59"/>
    </row>
    <row r="28" spans="1:9" ht="5.0999999999999996" customHeight="1" x14ac:dyDescent="0.2">
      <c r="A28" s="48"/>
      <c r="B28" s="19"/>
      <c r="C28" s="20"/>
      <c r="E28" s="41"/>
      <c r="F28" s="41"/>
      <c r="G28" s="41"/>
      <c r="I28" s="59"/>
    </row>
    <row r="29" spans="1:9" ht="18" customHeight="1" x14ac:dyDescent="0.2">
      <c r="A29" s="51" t="s">
        <v>64</v>
      </c>
      <c r="B29" s="52"/>
      <c r="C29" s="53"/>
      <c r="E29" s="41"/>
      <c r="F29" s="41"/>
      <c r="G29" s="41"/>
    </row>
    <row r="30" spans="1:9" ht="5.0999999999999996" customHeight="1" x14ac:dyDescent="0.2">
      <c r="A30" s="24"/>
      <c r="B30" s="19"/>
      <c r="C30" s="20"/>
      <c r="E30" s="41"/>
      <c r="F30" s="41"/>
      <c r="G30" s="41"/>
    </row>
    <row r="31" spans="1:9" ht="18" customHeight="1" x14ac:dyDescent="0.2">
      <c r="A31" s="24" t="s">
        <v>44</v>
      </c>
      <c r="B31" s="60">
        <v>0.04</v>
      </c>
      <c r="C31" s="20"/>
      <c r="E31" s="41"/>
      <c r="F31" s="41"/>
      <c r="G31" s="41"/>
    </row>
    <row r="32" spans="1:9" ht="18" customHeight="1" x14ac:dyDescent="0.2">
      <c r="A32" s="22" t="s">
        <v>45</v>
      </c>
      <c r="B32" s="50">
        <v>0</v>
      </c>
      <c r="C32" s="20"/>
      <c r="E32" s="41"/>
      <c r="F32" s="41"/>
      <c r="G32" s="41"/>
    </row>
    <row r="33" spans="1:21" ht="18" customHeight="1" x14ac:dyDescent="0.2">
      <c r="A33" s="24" t="s">
        <v>47</v>
      </c>
      <c r="B33" s="50">
        <v>0</v>
      </c>
      <c r="C33" s="20"/>
      <c r="E33" s="41"/>
      <c r="F33" s="41"/>
      <c r="G33" s="41"/>
    </row>
    <row r="34" spans="1:21" ht="5.0999999999999996" customHeight="1" x14ac:dyDescent="0.2">
      <c r="A34" s="48"/>
      <c r="B34" s="19"/>
      <c r="C34" s="20"/>
      <c r="E34" s="41"/>
      <c r="F34" s="41"/>
      <c r="G34" s="41"/>
    </row>
    <row r="35" spans="1:21" ht="18" customHeight="1" x14ac:dyDescent="0.2">
      <c r="A35" s="51" t="s">
        <v>65</v>
      </c>
      <c r="B35" s="52"/>
      <c r="C35" s="53"/>
      <c r="E35" s="41"/>
      <c r="F35" s="41"/>
      <c r="G35" s="41"/>
    </row>
    <row r="36" spans="1:21" ht="5.0999999999999996" customHeight="1" x14ac:dyDescent="0.2">
      <c r="A36" s="24"/>
      <c r="B36" s="19"/>
      <c r="C36" s="20"/>
      <c r="E36" s="41"/>
      <c r="F36" s="41"/>
      <c r="G36" s="41"/>
    </row>
    <row r="37" spans="1:21" ht="18" customHeight="1" x14ac:dyDescent="0.2">
      <c r="A37" s="24" t="s">
        <v>24</v>
      </c>
      <c r="B37" s="25" t="s">
        <v>83</v>
      </c>
      <c r="C37" s="20"/>
      <c r="E37" s="41"/>
      <c r="F37" s="41"/>
      <c r="G37" s="41"/>
    </row>
    <row r="38" spans="1:21" ht="18" customHeight="1" x14ac:dyDescent="0.2">
      <c r="A38" s="24" t="s">
        <v>119</v>
      </c>
      <c r="B38" s="25">
        <v>3</v>
      </c>
      <c r="C38" s="20"/>
      <c r="E38" s="41"/>
      <c r="F38" s="41"/>
      <c r="G38" s="41"/>
    </row>
    <row r="39" spans="1:21" ht="18" customHeight="1" x14ac:dyDescent="0.2">
      <c r="A39" s="24" t="s">
        <v>25</v>
      </c>
      <c r="B39" s="25"/>
      <c r="C39" s="20"/>
      <c r="E39" s="41"/>
      <c r="F39" s="41"/>
      <c r="G39" s="41"/>
    </row>
    <row r="40" spans="1:21" ht="18" customHeight="1" x14ac:dyDescent="0.2">
      <c r="A40" s="24" t="s">
        <v>46</v>
      </c>
      <c r="B40" s="50"/>
      <c r="C40" s="20"/>
      <c r="E40" s="41"/>
      <c r="F40" s="41"/>
      <c r="G40" s="41"/>
    </row>
    <row r="41" spans="1:21" ht="18" customHeight="1" x14ac:dyDescent="0.2">
      <c r="A41" s="24" t="s">
        <v>125</v>
      </c>
      <c r="B41" s="25" t="s">
        <v>116</v>
      </c>
      <c r="C41" s="20"/>
      <c r="E41" s="41"/>
      <c r="F41" s="41"/>
      <c r="G41" s="41"/>
    </row>
    <row r="42" spans="1:21" ht="18" customHeight="1" x14ac:dyDescent="0.2">
      <c r="A42" s="24" t="s">
        <v>66</v>
      </c>
      <c r="B42" s="60">
        <v>0</v>
      </c>
      <c r="C42" s="20"/>
      <c r="E42" s="41"/>
      <c r="F42" s="41"/>
      <c r="G42" s="41"/>
      <c r="O42" s="2"/>
      <c r="P42" s="2"/>
      <c r="Q42" s="2"/>
      <c r="R42" s="2"/>
      <c r="S42" s="2"/>
      <c r="T42" s="2"/>
      <c r="U42" s="2"/>
    </row>
    <row r="43" spans="1:21" ht="5.0999999999999996" customHeight="1" x14ac:dyDescent="0.2">
      <c r="A43" s="48"/>
      <c r="B43" s="19"/>
      <c r="C43" s="20"/>
      <c r="E43" s="41"/>
      <c r="F43" s="41"/>
      <c r="G43" s="41"/>
      <c r="O43" s="2"/>
      <c r="P43" s="2"/>
      <c r="Q43" s="2"/>
      <c r="R43" s="2"/>
      <c r="S43" s="2"/>
      <c r="T43" s="2"/>
      <c r="U43" s="2"/>
    </row>
    <row r="44" spans="1:21" ht="18" customHeight="1" x14ac:dyDescent="0.2">
      <c r="A44" s="51" t="s">
        <v>17</v>
      </c>
      <c r="B44" s="52"/>
      <c r="C44" s="53"/>
      <c r="E44" s="165"/>
      <c r="F44" s="165"/>
      <c r="G44" s="165"/>
      <c r="O44" s="2"/>
      <c r="P44" s="2"/>
      <c r="Q44" s="2"/>
      <c r="R44" s="2"/>
      <c r="S44" s="2"/>
      <c r="T44" s="2"/>
      <c r="U44" s="2"/>
    </row>
    <row r="45" spans="1:21" ht="5.0999999999999996" customHeight="1" x14ac:dyDescent="0.2">
      <c r="A45" s="22"/>
      <c r="B45" s="61"/>
      <c r="C45" s="20"/>
      <c r="E45" s="165"/>
      <c r="F45" s="165"/>
      <c r="G45" s="165"/>
      <c r="O45" s="2"/>
      <c r="P45" s="2"/>
      <c r="Q45" s="2"/>
      <c r="R45" s="2"/>
      <c r="S45" s="2"/>
      <c r="T45" s="2"/>
      <c r="U45" s="2"/>
    </row>
    <row r="46" spans="1:21" ht="18" customHeight="1" x14ac:dyDescent="0.2">
      <c r="A46" s="22" t="s">
        <v>15</v>
      </c>
      <c r="B46" s="50">
        <v>0</v>
      </c>
      <c r="C46" s="20"/>
      <c r="E46" s="165"/>
      <c r="F46" s="165"/>
      <c r="G46" s="165"/>
      <c r="O46" s="2"/>
      <c r="P46" s="2"/>
      <c r="Q46" s="2"/>
      <c r="R46" s="2"/>
      <c r="S46" s="2"/>
      <c r="T46" s="2"/>
      <c r="U46" s="2"/>
    </row>
    <row r="47" spans="1:21" ht="18" customHeight="1" x14ac:dyDescent="0.2">
      <c r="A47" s="22" t="s">
        <v>33</v>
      </c>
      <c r="B47" s="50">
        <v>0</v>
      </c>
      <c r="C47" s="20"/>
      <c r="E47" s="166"/>
      <c r="F47" s="166"/>
      <c r="G47" s="166"/>
      <c r="O47" s="2"/>
      <c r="P47" s="2"/>
      <c r="Q47" s="2"/>
      <c r="R47" s="2"/>
      <c r="S47" s="2"/>
      <c r="T47" s="2"/>
      <c r="U47" s="2"/>
    </row>
    <row r="48" spans="1:21" ht="5.0999999999999996" customHeight="1" x14ac:dyDescent="0.2">
      <c r="A48" s="48"/>
      <c r="B48" s="19"/>
      <c r="C48" s="20"/>
      <c r="E48" s="166"/>
      <c r="F48" s="166"/>
      <c r="G48" s="166"/>
      <c r="O48" s="2"/>
      <c r="P48" s="2"/>
      <c r="Q48" s="2"/>
      <c r="R48" s="2"/>
      <c r="S48" s="2"/>
      <c r="T48" s="2"/>
      <c r="U48" s="2"/>
    </row>
    <row r="49" spans="1:21" ht="18" customHeight="1" x14ac:dyDescent="0.2">
      <c r="A49" s="51" t="s">
        <v>67</v>
      </c>
      <c r="B49" s="52"/>
      <c r="C49" s="53"/>
      <c r="E49" s="166"/>
      <c r="F49" s="166"/>
      <c r="G49" s="166"/>
      <c r="O49" s="2"/>
      <c r="P49" s="2"/>
      <c r="Q49" s="2"/>
      <c r="R49" s="2"/>
      <c r="S49" s="2"/>
      <c r="T49" s="2"/>
      <c r="U49" s="2"/>
    </row>
    <row r="50" spans="1:21" ht="5.0999999999999996" customHeight="1" x14ac:dyDescent="0.2">
      <c r="A50" s="22"/>
      <c r="B50" s="61"/>
      <c r="C50" s="20"/>
      <c r="E50" s="166"/>
      <c r="F50" s="166"/>
      <c r="G50" s="166"/>
      <c r="O50" s="2"/>
      <c r="P50" s="2"/>
      <c r="Q50" s="2"/>
      <c r="R50" s="2"/>
      <c r="S50" s="2"/>
      <c r="T50" s="2"/>
      <c r="U50" s="2"/>
    </row>
    <row r="51" spans="1:21" ht="18" customHeight="1" x14ac:dyDescent="0.2">
      <c r="A51" s="22" t="s">
        <v>34</v>
      </c>
      <c r="B51" s="50">
        <v>0</v>
      </c>
      <c r="C51" s="20"/>
      <c r="E51" s="41"/>
      <c r="F51" s="41"/>
      <c r="G51" s="41"/>
      <c r="O51" s="2"/>
      <c r="P51" s="2"/>
      <c r="Q51" s="2"/>
      <c r="R51" s="2"/>
      <c r="S51" s="2"/>
      <c r="T51" s="2"/>
      <c r="U51" s="2"/>
    </row>
    <row r="52" spans="1:21" ht="6.95" customHeight="1" x14ac:dyDescent="0.2">
      <c r="A52" s="22"/>
      <c r="B52" s="23"/>
      <c r="C52" s="20"/>
      <c r="E52" s="41"/>
      <c r="F52" s="41"/>
      <c r="G52" s="41"/>
    </row>
    <row r="53" spans="1:21" ht="5.0999999999999996" customHeight="1" x14ac:dyDescent="0.2"/>
    <row r="54" spans="1:21" ht="18" customHeight="1" x14ac:dyDescent="0.2">
      <c r="A54" s="62" t="s">
        <v>35</v>
      </c>
      <c r="B54" s="63">
        <f>$B$6-$F$8-$F$10-$F$12-$F$13-$F$14-$F$16-$F$18-$F$22-$F$23-$F$24+$F$25</f>
        <v>2870.7166666666667</v>
      </c>
    </row>
    <row r="55" spans="1:21" ht="18" customHeight="1" x14ac:dyDescent="0.2">
      <c r="A55" s="64" t="str">
        <f>E8</f>
        <v>FICA Social Security (6.2%)</v>
      </c>
      <c r="B55" s="14">
        <f>F8</f>
        <v>217</v>
      </c>
      <c r="O55" s="2"/>
      <c r="P55" s="81" t="s">
        <v>78</v>
      </c>
      <c r="Q55" s="82">
        <f>IF($Q$60=1,MATCH('Paycheck Calculator'!$B$18,$P$56:$P$58,0),MATCH('Paycheck Calculator'!$B$12,$R$56:$R$58,0))</f>
        <v>1</v>
      </c>
      <c r="R55" s="83" t="s">
        <v>79</v>
      </c>
      <c r="S55" s="2"/>
      <c r="T55" s="83" t="s">
        <v>117</v>
      </c>
      <c r="U55" s="82">
        <f>MATCH('Paycheck Calculator'!$B$37,$T$56:$T$58,0)</f>
        <v>2</v>
      </c>
    </row>
    <row r="56" spans="1:21" ht="18" customHeight="1" x14ac:dyDescent="0.2">
      <c r="A56" s="64" t="str">
        <f>E10</f>
        <v>FICA Medicare 1.45%</v>
      </c>
      <c r="B56" s="14">
        <f>F10</f>
        <v>50.75</v>
      </c>
      <c r="O56" s="2"/>
      <c r="P56" s="89" t="s">
        <v>43</v>
      </c>
      <c r="Q56" s="2"/>
      <c r="R56" s="89" t="s">
        <v>43</v>
      </c>
      <c r="S56" s="2"/>
      <c r="T56" s="89" t="s">
        <v>43</v>
      </c>
      <c r="U56" s="2"/>
    </row>
    <row r="57" spans="1:21" ht="18" customHeight="1" x14ac:dyDescent="0.2">
      <c r="A57" s="64" t="str">
        <f t="shared" ref="A57:B59" si="0">E12</f>
        <v>Tax Deferral Plan (401k)</v>
      </c>
      <c r="B57" s="14">
        <f t="shared" si="0"/>
        <v>140</v>
      </c>
      <c r="O57" s="2"/>
      <c r="P57" s="89" t="s">
        <v>82</v>
      </c>
      <c r="Q57" s="2"/>
      <c r="R57" s="89" t="s">
        <v>83</v>
      </c>
      <c r="S57" s="2"/>
      <c r="T57" s="89" t="s">
        <v>83</v>
      </c>
      <c r="U57" s="2"/>
    </row>
    <row r="58" spans="1:21" ht="18" customHeight="1" x14ac:dyDescent="0.2">
      <c r="A58" s="64" t="str">
        <f t="shared" si="0"/>
        <v>Other Pre-Tax withholdings</v>
      </c>
      <c r="B58" s="14">
        <f t="shared" si="0"/>
        <v>0</v>
      </c>
      <c r="O58" s="2"/>
      <c r="P58" s="89" t="s">
        <v>84</v>
      </c>
      <c r="Q58" s="2"/>
      <c r="R58" s="89" t="s">
        <v>85</v>
      </c>
      <c r="S58" s="2"/>
      <c r="T58" s="89" t="s">
        <v>84</v>
      </c>
      <c r="U58" s="2"/>
    </row>
    <row r="59" spans="1:21" ht="18" customHeight="1" x14ac:dyDescent="0.2">
      <c r="A59" s="64" t="str">
        <f t="shared" si="0"/>
        <v>Health Insurance Premiums</v>
      </c>
      <c r="B59" s="14">
        <f t="shared" si="0"/>
        <v>0</v>
      </c>
      <c r="O59" s="2"/>
      <c r="Q59" s="2"/>
      <c r="R59" s="2"/>
      <c r="S59" s="2"/>
      <c r="T59" s="2"/>
      <c r="U59" s="2"/>
    </row>
    <row r="60" spans="1:21" ht="18" customHeight="1" x14ac:dyDescent="0.2">
      <c r="A60" s="64" t="str">
        <f>E16</f>
        <v>Federal Tax</v>
      </c>
      <c r="B60" s="14">
        <f>F16</f>
        <v>221.5333333333333</v>
      </c>
      <c r="O60" s="2"/>
      <c r="P60" s="81" t="s">
        <v>38</v>
      </c>
      <c r="Q60" s="82">
        <f>MATCH('Paycheck Calculator'!$B$8,$P$61:$P$62,0)</f>
        <v>1</v>
      </c>
      <c r="R60" s="2"/>
      <c r="S60" s="2"/>
      <c r="T60" s="2"/>
      <c r="U60" s="2"/>
    </row>
    <row r="61" spans="1:21" ht="18" customHeight="1" x14ac:dyDescent="0.25">
      <c r="A61" s="64" t="str">
        <f>E18</f>
        <v>State Tax</v>
      </c>
      <c r="B61" s="14">
        <f>F18</f>
        <v>0</v>
      </c>
      <c r="O61" s="7"/>
      <c r="P61" s="92" t="s">
        <v>39</v>
      </c>
      <c r="Q61" s="7"/>
      <c r="R61" s="7"/>
      <c r="S61" s="7"/>
      <c r="T61" s="7"/>
      <c r="U61" s="7"/>
    </row>
    <row r="62" spans="1:21" ht="18" customHeight="1" x14ac:dyDescent="0.2">
      <c r="A62" s="64" t="str">
        <f>E20</f>
        <v>(SDI) State Disability Insurance</v>
      </c>
      <c r="B62" s="14">
        <f>F20</f>
        <v>45.5</v>
      </c>
      <c r="O62" s="78"/>
      <c r="P62" s="92" t="s">
        <v>89</v>
      </c>
      <c r="Q62" s="78"/>
      <c r="R62" s="78"/>
      <c r="S62" s="78"/>
      <c r="T62" s="78"/>
      <c r="U62" s="78"/>
    </row>
    <row r="63" spans="1:21" ht="18" customHeight="1" x14ac:dyDescent="0.2">
      <c r="A63" s="64" t="str">
        <f t="shared" ref="A63:B66" si="1">E22</f>
        <v>Local Tax</v>
      </c>
      <c r="B63" s="14">
        <f t="shared" si="1"/>
        <v>0</v>
      </c>
      <c r="O63" s="78"/>
      <c r="P63" s="78"/>
      <c r="Q63" s="78"/>
      <c r="R63" s="78"/>
      <c r="S63" s="78"/>
      <c r="T63" s="78"/>
      <c r="U63" s="78"/>
    </row>
    <row r="64" spans="1:21" ht="18" customHeight="1" x14ac:dyDescent="0.2">
      <c r="A64" s="64" t="str">
        <f t="shared" si="1"/>
        <v>Insurance</v>
      </c>
      <c r="B64" s="14">
        <f t="shared" si="1"/>
        <v>0</v>
      </c>
      <c r="O64" s="96" t="s">
        <v>137</v>
      </c>
      <c r="P64" s="78"/>
      <c r="Q64" s="78"/>
      <c r="R64" s="78"/>
      <c r="S64" s="78"/>
      <c r="T64" s="78"/>
      <c r="U64" s="78"/>
    </row>
    <row r="65" spans="1:21" ht="18" customHeight="1" x14ac:dyDescent="0.25">
      <c r="A65" s="64" t="str">
        <f t="shared" si="1"/>
        <v>Other Post-Tax deductions</v>
      </c>
      <c r="B65" s="14">
        <f t="shared" si="1"/>
        <v>0</v>
      </c>
      <c r="O65" s="64" t="s">
        <v>16</v>
      </c>
      <c r="P65" s="63">
        <f>IF($Q$60=1,'Paycheck Calculator'!$B$6-'Paycheck Calculator'!$F$12-'Paycheck Calculator'!$F$13-'Paycheck Calculator'!$F$14,0)</f>
        <v>3360</v>
      </c>
      <c r="Q65" s="93"/>
      <c r="R65" s="63">
        <f>IF($Q$60=2,'Paycheck Calculator'!$B$6-'Paycheck Calculator'!$F$12-'Paycheck Calculator'!$F$13-'Paycheck Calculator'!$F$14,0)</f>
        <v>0</v>
      </c>
      <c r="S65" s="94"/>
      <c r="T65" s="7"/>
      <c r="U65" s="7"/>
    </row>
    <row r="66" spans="1:21" ht="18" customHeight="1" x14ac:dyDescent="0.25">
      <c r="A66" s="64" t="str">
        <f t="shared" si="1"/>
        <v>Post-Tax Reimbursements</v>
      </c>
      <c r="B66" s="14">
        <f t="shared" si="1"/>
        <v>0</v>
      </c>
      <c r="O66" s="64" t="s">
        <v>91</v>
      </c>
      <c r="P66" s="63">
        <v>0</v>
      </c>
      <c r="Q66" s="63"/>
      <c r="R66" s="63">
        <f>'Paycheck Calculator'!B13</f>
        <v>0</v>
      </c>
      <c r="S66" s="7"/>
      <c r="T66" s="7"/>
      <c r="U66" s="7"/>
    </row>
    <row r="67" spans="1:21" ht="5.0999999999999996" customHeight="1" x14ac:dyDescent="0.2">
      <c r="A67" s="65"/>
      <c r="B67" s="14"/>
      <c r="O67" s="64" t="s">
        <v>92</v>
      </c>
      <c r="P67" s="63">
        <v>0</v>
      </c>
      <c r="Q67" s="63"/>
      <c r="R67" s="63">
        <f>R66*INDEX('Federal Tax Tables New'!$B$56:$B$63,MATCH('Paycheck Calculator'!B7,'Federal Tax Tables New'!$A$56:$A$63,0))</f>
        <v>0</v>
      </c>
    </row>
    <row r="68" spans="1:21" ht="15" customHeight="1" x14ac:dyDescent="0.25">
      <c r="A68" s="66" t="s">
        <v>68</v>
      </c>
      <c r="B68" s="67"/>
      <c r="C68" s="68"/>
      <c r="D68" s="68"/>
      <c r="E68" s="68"/>
      <c r="F68" s="68"/>
      <c r="G68" s="68"/>
      <c r="O68" s="64" t="s">
        <v>93</v>
      </c>
      <c r="P68" s="63">
        <f>MAX(P65-P67,0)</f>
        <v>3360</v>
      </c>
      <c r="Q68" s="63"/>
      <c r="R68" s="63">
        <f>MAX(R65-R67,0)</f>
        <v>0</v>
      </c>
      <c r="S68" s="7"/>
      <c r="T68" s="7"/>
      <c r="U68" s="7"/>
    </row>
    <row r="69" spans="1:21" s="2" customFormat="1" ht="12.75" customHeight="1" x14ac:dyDescent="0.25">
      <c r="A69" s="69" t="s">
        <v>69</v>
      </c>
      <c r="B69" s="70"/>
      <c r="C69" s="70"/>
      <c r="D69" s="70"/>
      <c r="E69" s="70"/>
      <c r="F69" s="70"/>
      <c r="G69" s="70"/>
      <c r="I69" s="12"/>
      <c r="J69" s="12"/>
      <c r="K69" s="12"/>
      <c r="O69" s="64" t="s">
        <v>97</v>
      </c>
      <c r="P69" s="63">
        <f>IF($Q$60=1,$P$68*INDEX('Federal Tax Tables New'!$B$5:$B$9,MATCH('Paycheck Calculator'!$B$7,'Federal Tax Tables New'!$A$5:$A$9,0))+'Paycheck Calculator'!$B$25-'Paycheck Calculator'!$B$26,0)</f>
        <v>40320</v>
      </c>
      <c r="Q69" s="93"/>
      <c r="R69" s="63">
        <f>IF($Q$60=2,$R$68*INDEX('Federal Tax Tables New'!$C$56:$C$63,MATCH('Paycheck Calculator'!B7,'Federal Tax Tables New'!$A$56:$A$63,0)),0)</f>
        <v>0</v>
      </c>
      <c r="S69" s="7"/>
      <c r="T69" s="7"/>
      <c r="U69" s="7"/>
    </row>
    <row r="70" spans="1:21" s="2" customFormat="1" ht="12.75" customHeight="1" x14ac:dyDescent="0.25">
      <c r="A70" s="69" t="s">
        <v>70</v>
      </c>
      <c r="B70" s="70"/>
      <c r="C70" s="70"/>
      <c r="D70" s="70"/>
      <c r="E70" s="70"/>
      <c r="F70" s="70"/>
      <c r="G70" s="70"/>
      <c r="I70" s="12"/>
      <c r="J70" s="12"/>
      <c r="K70" s="12"/>
      <c r="O70" s="64" t="s">
        <v>101</v>
      </c>
      <c r="P70" s="63">
        <f>IF($Q$60=1,IF($Q$55=1,INDEX('Federal Tax Tables New'!K33:N40,MATCH(P69,'Federal Tax Tables New'!K33:K40,1),1),IF($Q$55=2,INDEX('Federal Tax Tables New'!K22:N29,MATCH(P69,'Federal Tax Tables New'!K22:K29,1),1),INDEX('Federal Tax Tables New'!K44:N51,MATCH(P69,'Federal Tax Tables New'!K44:K51,1),1))),0)</f>
        <v>28500</v>
      </c>
      <c r="Q70" s="63">
        <f>IF($Q$60=1,IF($Q$55=1,INDEX('Federal Tax Tables New'!F33:I40,MATCH(P69,'Federal Tax Tables New'!F33:F40,1),1),IF($Q$55=2,INDEX('Federal Tax Tables New'!F22:I29,MATCH(P69,'Federal Tax Tables New'!F22:F29,1),1),INDEX('Federal Tax Tables New'!F44:I51,MATCH('Federal Tax Tables New'!F21,'Federal Tax Tables New'!F44:F51,1),1))),0)</f>
        <v>33250</v>
      </c>
      <c r="R70" s="63">
        <f>IF($Q$60=2,IF($Q$55=1,INDEX('Federal Tax Tables New'!A33:D40,MATCH(R69,'Federal Tax Tables New'!A33:A40,1),1),IF($Q$55=2,INDEX('Federal Tax Tables New'!A22:D29,MATCH(R69,'Federal Tax Tables New'!A22:A29,1),1),INDEX('Federal Tax Tables New'!A33:D40,MATCH(R69,'Federal Tax Tables New'!A33:A40,1),1))),0)</f>
        <v>0</v>
      </c>
      <c r="S70" s="7"/>
      <c r="T70" s="7"/>
      <c r="U70" s="7"/>
    </row>
    <row r="71" spans="1:21" s="2" customFormat="1" ht="12.75" customHeight="1" x14ac:dyDescent="0.2">
      <c r="A71" s="69" t="s">
        <v>71</v>
      </c>
      <c r="B71" s="70"/>
      <c r="C71" s="70"/>
      <c r="D71" s="70"/>
      <c r="E71" s="70"/>
      <c r="F71" s="70"/>
      <c r="G71" s="70"/>
      <c r="I71" s="12"/>
      <c r="J71" s="12"/>
      <c r="K71" s="12"/>
      <c r="O71" s="64" t="s">
        <v>103</v>
      </c>
      <c r="P71" s="63">
        <f>IF($Q$60=1,IF($Q$55=1,INDEX('Federal Tax Tables New'!K33:N40,MATCH(P69,'Federal Tax Tables New'!K33:K40,1),3),IF($Q$55=2,INDEX('Federal Tax Tables New'!K22:N29,MATCH(P69,'Federal Tax Tables New'!K22:K29,1),3),INDEX('Federal Tax Tables New'!K44:N51,MATCH(P69,'Federal Tax Tables New'!K44:K51,1),3))),0)</f>
        <v>1240</v>
      </c>
      <c r="Q71" s="63">
        <f>IF($Q$60=1,IF($Q$55=1,INDEX('Federal Tax Tables New'!F33:I40,MATCH(P69,'Federal Tax Tables New'!F33:F40,1),3),IF($Q$55=2,INDEX('Federal Tax Tables New'!F22:I29,MATCH(P69,'Federal Tax Tables New'!F22:F29,1),3),INDEX('Federal Tax Tables New'!F44:I51,MATCH('Federal Tax Tables New'!F21,'Federal Tax Tables New'!F44:F51,1),3))),0)</f>
        <v>2900</v>
      </c>
      <c r="R71" s="63">
        <f>IF($Q$60=2,IF($Q$55=1,INDEX('Federal Tax Tables New'!A33:D40,MATCH(R69,'Federal Tax Tables New'!A33:A40,1),3),IF($Q$55=2,INDEX('Federal Tax Tables New'!A22:D29,MATCH(R69,'Federal Tax Tables New'!A22:A29,1),3),INDEX('Federal Tax Tables New'!A33:D40,MATCH(R69,'Federal Tax Tables New'!A33:A40,1),3))),0)</f>
        <v>0</v>
      </c>
    </row>
    <row r="72" spans="1:21" ht="5.0999999999999996" customHeight="1" x14ac:dyDescent="0.2">
      <c r="A72" s="71"/>
      <c r="O72" s="64" t="s">
        <v>108</v>
      </c>
      <c r="P72" s="98">
        <f>IF($Q$60=1,IF($Q$55=1,INDEX('Federal Tax Tables New'!K33:N40,MATCH(P69,'Federal Tax Tables New'!K33:K40,1),4),IF($Q$55=2,INDEX('Federal Tax Tables New'!K22:N29,MATCH(P69,'Federal Tax Tables New'!K22:K29,1),4),INDEX('Federal Tax Tables New'!K44:N51,MATCH(P69,'Federal Tax Tables New'!K44:K51,1),4))),0)</f>
        <v>0.12</v>
      </c>
      <c r="Q72" s="98">
        <f>IF($Q$60=1,IF($Q$55=1,INDEX('Federal Tax Tables New'!F33:I40,MATCH(P69,'Federal Tax Tables New'!F33:F40,1),4),IF($Q$55=2,INDEX('Federal Tax Tables New'!F22:I29,MATCH(P69,'Federal Tax Tables New'!F22:F29,1),4),INDEX('Federal Tax Tables New'!F44:I51,MATCH('Federal Tax Tables New'!F21,'Federal Tax Tables New'!F44:F51,1),4))),0)</f>
        <v>0.22</v>
      </c>
      <c r="R72" s="98">
        <f>IF($Q$60=2,IF($Q$55=1,INDEX('Federal Tax Tables New'!A33:D40,MATCH(R69,'Federal Tax Tables New'!A33:A40,1),4),IF($Q$55=2,INDEX('Federal Tax Tables New'!A22:D29,MATCH(R69,'Federal Tax Tables New'!A22:A29,1),4),INDEX('Federal Tax Tables New'!A33:D40,MATCH(R69,'Federal Tax Tables New'!A33:A40,1),4))),0)</f>
        <v>0</v>
      </c>
      <c r="S72" s="2"/>
      <c r="T72" s="2"/>
      <c r="U72" s="2"/>
    </row>
    <row r="73" spans="1:21" x14ac:dyDescent="0.2">
      <c r="A73" s="66" t="s">
        <v>72</v>
      </c>
      <c r="B73" s="72"/>
      <c r="C73" s="73"/>
      <c r="D73" s="73"/>
      <c r="E73" s="73"/>
      <c r="F73" s="73"/>
      <c r="G73" s="73"/>
      <c r="O73" s="64" t="s">
        <v>109</v>
      </c>
      <c r="P73" s="63">
        <f>IF($Q$60=1,(P69-P70)*P72+P71,0)</f>
        <v>2658.3999999999996</v>
      </c>
      <c r="Q73" s="63">
        <f>IF($Q$60=1,(P69-Q70)*Q72+Q71,0)</f>
        <v>4455.3999999999996</v>
      </c>
      <c r="R73" s="63">
        <f>IF($Q$60=2,(R69-R70)*R72+R71,0)</f>
        <v>0</v>
      </c>
      <c r="S73" s="2"/>
      <c r="T73" s="2"/>
      <c r="U73" s="2"/>
    </row>
    <row r="74" spans="1:21" x14ac:dyDescent="0.2">
      <c r="A74" s="74" t="s">
        <v>156</v>
      </c>
      <c r="B74" s="75"/>
      <c r="C74" s="76"/>
      <c r="D74" s="76"/>
      <c r="E74" s="76"/>
      <c r="F74" s="76"/>
      <c r="G74" s="76"/>
      <c r="O74" s="102" t="s">
        <v>110</v>
      </c>
      <c r="P74" s="63">
        <f>IF($Q$60=1,'Paycheck Calculator'!$B$23*'Federal Tax Tables New'!$H$5+'Paycheck Calculator'!$B$24*'Federal Tax Tables New'!$H$6,0)</f>
        <v>0</v>
      </c>
      <c r="Q74" s="63">
        <f>IF($Q$60=1,'Paycheck Calculator'!$B$23*'Federal Tax Tables New'!$H$5+'Paycheck Calculator'!$B$24*'Federal Tax Tables New'!$H$6,0)</f>
        <v>0</v>
      </c>
      <c r="R74" s="63">
        <v>0</v>
      </c>
      <c r="S74" s="2"/>
      <c r="T74" s="2"/>
      <c r="U74" s="2"/>
    </row>
    <row r="75" spans="1:21" x14ac:dyDescent="0.2">
      <c r="A75" s="74" t="s">
        <v>145</v>
      </c>
      <c r="B75" s="75"/>
      <c r="C75" s="76"/>
      <c r="D75" s="76"/>
      <c r="E75" s="76"/>
      <c r="F75" s="76"/>
      <c r="G75" s="76"/>
      <c r="O75" s="64" t="s">
        <v>111</v>
      </c>
      <c r="P75" s="63">
        <f>IF($Q$60=1,MAX(P73-P74,0),0)</f>
        <v>2658.3999999999996</v>
      </c>
      <c r="Q75" s="63">
        <f>IF($Q$60=1,MAX(Q73-Q74,0),0)</f>
        <v>4455.3999999999996</v>
      </c>
      <c r="R75" s="63">
        <v>0</v>
      </c>
      <c r="S75" s="2"/>
      <c r="T75" s="2"/>
      <c r="U75" s="2"/>
    </row>
    <row r="76" spans="1:21" x14ac:dyDescent="0.2">
      <c r="A76" s="77" t="s">
        <v>73</v>
      </c>
      <c r="B76" s="75"/>
      <c r="C76" s="76"/>
      <c r="D76" s="76"/>
      <c r="E76" s="76"/>
      <c r="F76" s="76"/>
      <c r="G76" s="76"/>
      <c r="O76" s="64" t="s">
        <v>13</v>
      </c>
      <c r="P76" s="63">
        <f>IF($Q$60=1,P75/INDEX('Federal Tax Tables New'!$B$5:$B$9,MATCH('Paycheck Calculator'!$B$7,'Federal Tax Tables New'!$A$5:$A$9,0))+'Paycheck Calculator'!$B$27/INDEX('Federal Tax Tables New'!$B$5:$B$9,MATCH('Paycheck Calculator'!$B$7,'Federal Tax Tables New'!$A$5:$A$9,0)),0)</f>
        <v>221.5333333333333</v>
      </c>
      <c r="Q76" s="63">
        <f>IF($Q$60=1,Q75/INDEX('Federal Tax Tables New'!$B$5:$B$9,MATCH('Paycheck Calculator'!$B$7,'Federal Tax Tables New'!$A$5:$A$9,0))+'Paycheck Calculator'!$B$27/INDEX('Federal Tax Tables New'!$B$5:$B$9,MATCH('Paycheck Calculator'!$B$7,'Federal Tax Tables New'!$A$5:$A$9,0)),0)</f>
        <v>371.2833333333333</v>
      </c>
      <c r="R76" s="63">
        <f>IF($Q$60=2,R73/INDEX('Federal Tax Tables New'!$B$5:$B$9,MATCH('Paycheck Calculator'!$B$7,'Federal Tax Tables New'!$A$5:$A$9,0))+'Paycheck Calculator'!$B$14/INDEX('Federal Tax Tables New'!$B$5:$B$9,MATCH('Paycheck Calculator'!$B$7,'Federal Tax Tables New'!$A$5:$A$9,0)),0)</f>
        <v>0</v>
      </c>
      <c r="S76" s="2"/>
      <c r="T76" s="2"/>
      <c r="U76" s="2"/>
    </row>
    <row r="77" spans="1:21" x14ac:dyDescent="0.2">
      <c r="A77" s="77" t="s">
        <v>74</v>
      </c>
      <c r="B77" s="75"/>
      <c r="C77" s="76"/>
      <c r="D77" s="76"/>
      <c r="E77" s="76"/>
      <c r="F77" s="76"/>
      <c r="G77" s="76"/>
      <c r="O77" s="2"/>
      <c r="P77" s="2"/>
      <c r="Q77" s="2"/>
      <c r="R77" s="2"/>
      <c r="S77" s="2"/>
      <c r="T77" s="2"/>
      <c r="U77" s="2"/>
    </row>
    <row r="78" spans="1:21" x14ac:dyDescent="0.2">
      <c r="A78" s="77" t="s">
        <v>157</v>
      </c>
      <c r="B78" s="75"/>
      <c r="C78" s="76"/>
      <c r="D78" s="76"/>
      <c r="E78" s="76"/>
      <c r="F78" s="76"/>
      <c r="G78" s="76"/>
      <c r="O78" s="96" t="s">
        <v>118</v>
      </c>
      <c r="P78" s="2"/>
      <c r="Q78" s="2"/>
      <c r="R78" s="2"/>
      <c r="S78" s="2"/>
      <c r="T78" s="2"/>
      <c r="U78" s="2"/>
    </row>
    <row r="79" spans="1:21" x14ac:dyDescent="0.2">
      <c r="O79" s="65" t="s">
        <v>120</v>
      </c>
      <c r="P79" s="14">
        <f>IF(OR($U$55=1,AND(P80&lt;=1,$U$55=2)),INDEX('California Tax Tables'!B5:B12,MATCH('Paycheck Calculator'!B7,'California Tax Tables'!A5:A12,0),1),IF(OR(AND(P80&gt;=1,$U$55=2),$U$55=3),INDEX('California Tax Tables'!C5:C12,MATCH('Paycheck Calculator'!B7,'California Tax Tables'!A5:A12,0),1)))</f>
        <v>951</v>
      </c>
      <c r="Q79" s="2"/>
      <c r="R79" s="2"/>
      <c r="S79" s="2"/>
      <c r="T79" s="2"/>
      <c r="U79" s="2"/>
    </row>
    <row r="80" spans="1:21" x14ac:dyDescent="0.2">
      <c r="O80" s="65" t="s">
        <v>119</v>
      </c>
      <c r="P80" s="2">
        <f>'Paycheck Calculator'!B38</f>
        <v>3</v>
      </c>
      <c r="Q80" s="2"/>
      <c r="R80" s="2"/>
      <c r="S80" s="2"/>
      <c r="T80" s="2"/>
      <c r="U80" s="2"/>
    </row>
    <row r="81" spans="15:21" ht="15.75" x14ac:dyDescent="0.25">
      <c r="O81" s="65" t="s">
        <v>25</v>
      </c>
      <c r="P81" s="2">
        <f>'Paycheck Calculator'!B39</f>
        <v>0</v>
      </c>
      <c r="Q81" s="7"/>
      <c r="R81" s="7"/>
      <c r="S81" s="7"/>
      <c r="T81" s="7"/>
      <c r="U81" s="7"/>
    </row>
    <row r="82" spans="15:21" x14ac:dyDescent="0.2">
      <c r="O82" s="65" t="s">
        <v>126</v>
      </c>
      <c r="P82" s="14">
        <f>IF(P81,INDEX('California Tax Tables'!$H$43:$Q$50,MATCH('Paycheck Calculator'!$B$7,'California Tax Tables'!$G$43:$G$50,0),$P$81),0)</f>
        <v>0</v>
      </c>
      <c r="Q82" s="2"/>
      <c r="R82" s="2"/>
      <c r="S82" s="2"/>
      <c r="T82" s="2"/>
      <c r="U82" s="2"/>
    </row>
    <row r="83" spans="15:21" x14ac:dyDescent="0.2">
      <c r="O83" s="64" t="s">
        <v>93</v>
      </c>
      <c r="P83" s="63">
        <f>CHOOSE(Q60,MAX(P65-P79-P82,0),MAX(R65-P79-P82,0))</f>
        <v>2409</v>
      </c>
      <c r="Q83" s="2"/>
      <c r="R83" s="2"/>
      <c r="S83" s="2"/>
      <c r="T83" s="2"/>
      <c r="U83" s="2"/>
    </row>
    <row r="84" spans="15:21" x14ac:dyDescent="0.2">
      <c r="O84" s="65" t="s">
        <v>122</v>
      </c>
      <c r="P84" s="63">
        <f>$P$83*INDEX('Federal Tax Tables New'!$B$5:$B$9,MATCH('Paycheck Calculator'!$B$7,'Federal Tax Tables New'!$A$5:$A$9,0))</f>
        <v>28908</v>
      </c>
      <c r="Q84" s="15"/>
      <c r="R84" s="2"/>
      <c r="S84" s="2"/>
      <c r="T84" s="2"/>
      <c r="U84" s="2"/>
    </row>
    <row r="85" spans="15:21" x14ac:dyDescent="0.2">
      <c r="O85" s="65" t="s">
        <v>121</v>
      </c>
      <c r="P85" s="63">
        <f>IF($U$55=1,INDEX('California Tax Tables'!$A$28:$A$37,MATCH($P$84,'California Tax Tables'!$A$28:$A$37,1)),IF($U$55=2,INDEX('California Tax Tables'!$A$42:$A$51,MATCH($P$84,'California Tax Tables'!$A$42:$A$51,1),1),IF($U$55=3,INDEX('California Tax Tables'!$A$56:$A$65,MATCH($P$84,'California Tax Tables'!$A$56:$A$65,1)))))</f>
        <v>22158</v>
      </c>
      <c r="Q85" s="15"/>
      <c r="R85" s="15"/>
      <c r="S85" s="2"/>
      <c r="T85" s="2"/>
      <c r="U85" s="2"/>
    </row>
    <row r="86" spans="15:21" x14ac:dyDescent="0.2">
      <c r="O86" s="64" t="s">
        <v>103</v>
      </c>
      <c r="P86" s="63">
        <f>IF($U$55=1,INDEX('California Tax Tables'!$D$28:$D$37,MATCH($P$84,'California Tax Tables'!$A$28:$A$37,1)),IF($U$55=2,INDEX('California Tax Tables'!$D$42:$D$51,MATCH($P$84,'California Tax Tables'!$A$42:$A$51,1)),IF($U$55=3,INDEX('California Tax Tables'!$D$56:$D$65,MATCH($P$84,'California Tax Tables'!$A$56:$A$65,1)))))</f>
        <v>243.738</v>
      </c>
      <c r="Q86" s="15"/>
      <c r="R86" s="15"/>
      <c r="S86" s="2"/>
      <c r="T86" s="2"/>
      <c r="U86" s="2"/>
    </row>
    <row r="87" spans="15:21" x14ac:dyDescent="0.2">
      <c r="O87" s="64" t="s">
        <v>108</v>
      </c>
      <c r="P87" s="98">
        <f>IF($U$55=1,INDEX('California Tax Tables'!$C$28:$C$37,MATCH($P$84,'California Tax Tables'!$A$28:$A$37,1)),IF($U$55=2,INDEX('California Tax Tables'!$C$42:$C$51,MATCH($P$84,'California Tax Tables'!$A$42:$A$51,1)),IF($U$55=3,INDEX('California Tax Tables'!$C$56:$C$65,MATCH($P$84,'California Tax Tables'!$A$56:$A$65,1)))))</f>
        <v>2.1999999999999999E-2</v>
      </c>
      <c r="Q87" s="98"/>
      <c r="R87" s="15"/>
      <c r="S87" s="2"/>
      <c r="T87" s="2"/>
      <c r="U87" s="2"/>
    </row>
    <row r="88" spans="15:21" x14ac:dyDescent="0.2">
      <c r="O88" s="65" t="s">
        <v>123</v>
      </c>
      <c r="P88" s="63">
        <f>(P84-P85)*P87+P86</f>
        <v>392.238</v>
      </c>
      <c r="Q88" s="63"/>
      <c r="R88" s="2"/>
      <c r="S88" s="2"/>
      <c r="T88" s="2"/>
      <c r="U88" s="2"/>
    </row>
    <row r="89" spans="15:21" x14ac:dyDescent="0.2">
      <c r="O89" s="65" t="s">
        <v>146</v>
      </c>
      <c r="P89" s="63" cm="1">
        <f t="array" ref="P89">INDEX('California Tax Tables'!$H$29:$R$36,MATCH('Paycheck Calculator'!$B$7,'California Tax Tables'!$G$29:$G$36,0),1+$P$80)*INDEX('Federal Tax Tables New'!$B$5:$B$9,MATCH('Paycheck Calculator'!$B$7,'Federal Tax Tables New'!$A$5:$A$9,0))</f>
        <v>504.90000000000003</v>
      </c>
      <c r="Q89" s="15"/>
      <c r="R89" s="15"/>
      <c r="S89" s="2"/>
      <c r="T89" s="2"/>
      <c r="U89" s="2"/>
    </row>
    <row r="90" spans="15:21" x14ac:dyDescent="0.2">
      <c r="O90" s="65" t="s">
        <v>46</v>
      </c>
      <c r="P90" s="63">
        <f>'Paycheck Calculator'!B40</f>
        <v>0</v>
      </c>
      <c r="Q90" s="2"/>
      <c r="R90" s="15"/>
      <c r="S90" s="2"/>
      <c r="T90" s="2"/>
      <c r="U90" s="2"/>
    </row>
    <row r="91" spans="15:21" x14ac:dyDescent="0.2">
      <c r="O91" s="65" t="s">
        <v>49</v>
      </c>
      <c r="P91" s="63">
        <f>MAX((P88-P89)/INDEX('Federal Tax Tables New'!$B$5:$B$9,MATCH('Paycheck Calculator'!$B$7,'Federal Tax Tables New'!$A$5:$A$9,0)),0)+P90</f>
        <v>0</v>
      </c>
      <c r="Q91" s="63"/>
      <c r="R91" s="2"/>
      <c r="S91" s="2"/>
      <c r="T91" s="2"/>
      <c r="U91" s="2"/>
    </row>
    <row r="92" spans="15:21" ht="15.75" x14ac:dyDescent="0.25">
      <c r="O92" s="65" t="s">
        <v>32</v>
      </c>
      <c r="P92" s="63">
        <f>IF('Paycheck Calculator'!B41="No",0,MIN(('Paycheck Calculator'!$B$6*INDEX('Federal Tax Tables New'!$B$5:$B$9,MATCH('Paycheck Calculator'!$B$7,'Federal Tax Tables New'!$A$5:$A$9,0))*'California Tax Tables'!C17)/INDEX('Federal Tax Tables New'!$B$5:$B$9,MATCH('Paycheck Calculator'!$B$7,'Federal Tax Tables New'!$A$5:$A$9,0)),'California Tax Tables'!D17))</f>
        <v>45.5</v>
      </c>
      <c r="Q92" s="7"/>
      <c r="R92" s="7"/>
      <c r="S92" s="7"/>
      <c r="T92" s="7"/>
      <c r="U92" s="7"/>
    </row>
  </sheetData>
  <mergeCells count="2">
    <mergeCell ref="E44:G46"/>
    <mergeCell ref="E47:G50"/>
  </mergeCells>
  <conditionalFormatting sqref="A10:C15">
    <cfRule type="expression" dxfId="1" priority="10">
      <formula>$Q$60=1</formula>
    </cfRule>
  </conditionalFormatting>
  <conditionalFormatting sqref="A16:C28">
    <cfRule type="expression" dxfId="0" priority="11">
      <formula>$Q$60=2</formula>
    </cfRule>
  </conditionalFormatting>
  <dataValidations count="6">
    <dataValidation type="list" allowBlank="1" showInputMessage="1" showErrorMessage="1" sqref="B22" xr:uid="{C1C136F1-95BA-4CAE-9932-01997FE99DC1}">
      <formula1>"Yes, No"</formula1>
    </dataValidation>
    <dataValidation type="list" allowBlank="1" showInputMessage="1" showErrorMessage="1" sqref="B41" xr:uid="{539EA45D-7BE6-4DD8-9818-68157C5721CA}">
      <formula1>"Yes,No"</formula1>
    </dataValidation>
    <dataValidation type="list" allowBlank="1" showInputMessage="1" showErrorMessage="1" sqref="B8" xr:uid="{50A83746-CE0A-4962-A33A-B17568459688}">
      <formula1>$P$61:$P$62</formula1>
    </dataValidation>
    <dataValidation type="list" allowBlank="1" showInputMessage="1" showErrorMessage="1" sqref="B12" xr:uid="{99747D95-0104-48E0-8DB8-73C67F49FB49}">
      <formula1>$R$56:$R$58</formula1>
    </dataValidation>
    <dataValidation type="list" allowBlank="1" showInputMessage="1" showErrorMessage="1" sqref="B18" xr:uid="{2939A8FE-8E2D-4FCD-9CA1-93D402286C26}">
      <formula1>$P$56:$P$58</formula1>
    </dataValidation>
    <dataValidation type="list" allowBlank="1" showInputMessage="1" showErrorMessage="1" sqref="B37" xr:uid="{AA861506-8F3E-4A7C-8ED8-BFDD1B588C2F}">
      <formula1>$T$56:$T$58</formula1>
    </dataValidation>
  </dataValidations>
  <hyperlinks>
    <hyperlink ref="A74" r:id="rId1" display="New (2025) W-4 Employee's Withholding Certificate, https://www.irs.gov/pub/irs-pdf/fw4.pdf" xr:uid="{6783185A-E402-4D12-8F2A-1EC69C6DFD52}"/>
    <hyperlink ref="A77" r:id="rId2" display="Publication 15 (IRS)" xr:uid="{E220969F-7168-43B7-AE33-73C44E1F4169}"/>
    <hyperlink ref="I4" r:id="rId3" xr:uid="{40AD66EC-14F8-4803-84B8-B23D1C9CA1F5}"/>
    <hyperlink ref="I24" r:id="rId4" tooltip="Timesheet Templates" xr:uid="{72919F94-32D5-43AF-8BF9-5E42040A5523}"/>
    <hyperlink ref="I23" r:id="rId5" tooltip="Payroll Calculator" xr:uid="{FB6DFDA0-48DD-4E9D-AD82-074D167688DB}"/>
    <hyperlink ref="I26" r:id="rId6" tooltip="Staff Rotation Schedule" xr:uid="{F765C3EA-727A-491A-A75A-27A5110B44D5}"/>
    <hyperlink ref="I25" r:id="rId7" tooltip="Weekly Shift Schedule" xr:uid="{E58F2912-1EF8-460E-A8D0-2F7C7F830D4E}"/>
    <hyperlink ref="A75" r:id="rId8" xr:uid="{8DA793A2-1ACE-4ED6-9E02-F27CBE157784}"/>
    <hyperlink ref="A78" r:id="rId9" xr:uid="{55DE7E28-C401-4D76-9A61-7E7F73FE2B47}"/>
    <hyperlink ref="A76" r:id="rId10" xr:uid="{FF830331-1743-4BFE-9E8C-A10AE049D45F}"/>
  </hyperlinks>
  <printOptions horizontalCentered="1" verticalCentered="1"/>
  <pageMargins left="0.70866141732283472" right="0.70866141732283472" top="0.35433070866141736" bottom="0.55118110236220474" header="0.31496062992125984" footer="0.31496062992125984"/>
  <pageSetup scale="64" orientation="portrait" r:id="rId11"/>
  <drawing r:id="rId12"/>
  <legacy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D4FB51BA-A5C6-4F0C-9021-8C5CBC8324B1}">
          <x14:formula1>
            <xm:f>'Federal Tax Tables New'!$A$5:$A$9</xm:f>
          </x14:formula1>
          <xm:sqref>B7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A0E2A-3099-4C80-B041-803AA762D04C}">
  <dimension ref="A1:N63"/>
  <sheetViews>
    <sheetView showGridLines="0" workbookViewId="0">
      <selection activeCell="L12" sqref="L12"/>
    </sheetView>
  </sheetViews>
  <sheetFormatPr defaultRowHeight="12.75" x14ac:dyDescent="0.2"/>
  <cols>
    <col min="1" max="3" width="19.5703125" customWidth="1"/>
    <col min="4" max="4" width="12.5703125" style="3" customWidth="1"/>
    <col min="5" max="5" width="2.7109375" style="3" customWidth="1"/>
    <col min="6" max="8" width="19.5703125" customWidth="1"/>
    <col min="9" max="9" width="12.5703125" customWidth="1"/>
    <col min="10" max="10" width="2.7109375" customWidth="1"/>
    <col min="11" max="13" width="19.5703125" customWidth="1"/>
    <col min="14" max="14" width="12.5703125" customWidth="1"/>
    <col min="15" max="15" width="12" customWidth="1"/>
    <col min="248" max="250" width="15.7109375" customWidth="1"/>
    <col min="252" max="252" width="2.7109375" customWidth="1"/>
    <col min="253" max="255" width="15.7109375" customWidth="1"/>
    <col min="257" max="259" width="19.5703125" customWidth="1"/>
    <col min="260" max="260" width="12.5703125" customWidth="1"/>
    <col min="261" max="261" width="2.7109375" customWidth="1"/>
    <col min="262" max="264" width="19.5703125" customWidth="1"/>
    <col min="265" max="265" width="12.5703125" customWidth="1"/>
    <col min="266" max="266" width="2.7109375" customWidth="1"/>
    <col min="267" max="269" width="19.5703125" customWidth="1"/>
    <col min="270" max="270" width="12.5703125" customWidth="1"/>
    <col min="271" max="271" width="12" customWidth="1"/>
    <col min="504" max="506" width="15.7109375" customWidth="1"/>
    <col min="508" max="508" width="2.7109375" customWidth="1"/>
    <col min="509" max="511" width="15.7109375" customWidth="1"/>
    <col min="513" max="515" width="19.5703125" customWidth="1"/>
    <col min="516" max="516" width="12.5703125" customWidth="1"/>
    <col min="517" max="517" width="2.7109375" customWidth="1"/>
    <col min="518" max="520" width="19.5703125" customWidth="1"/>
    <col min="521" max="521" width="12.5703125" customWidth="1"/>
    <col min="522" max="522" width="2.7109375" customWidth="1"/>
    <col min="523" max="525" width="19.5703125" customWidth="1"/>
    <col min="526" max="526" width="12.5703125" customWidth="1"/>
    <col min="527" max="527" width="12" customWidth="1"/>
    <col min="760" max="762" width="15.7109375" customWidth="1"/>
    <col min="764" max="764" width="2.7109375" customWidth="1"/>
    <col min="765" max="767" width="15.7109375" customWidth="1"/>
    <col min="769" max="771" width="19.5703125" customWidth="1"/>
    <col min="772" max="772" width="12.5703125" customWidth="1"/>
    <col min="773" max="773" width="2.7109375" customWidth="1"/>
    <col min="774" max="776" width="19.5703125" customWidth="1"/>
    <col min="777" max="777" width="12.5703125" customWidth="1"/>
    <col min="778" max="778" width="2.7109375" customWidth="1"/>
    <col min="779" max="781" width="19.5703125" customWidth="1"/>
    <col min="782" max="782" width="12.5703125" customWidth="1"/>
    <col min="783" max="783" width="12" customWidth="1"/>
    <col min="1016" max="1018" width="15.7109375" customWidth="1"/>
    <col min="1020" max="1020" width="2.7109375" customWidth="1"/>
    <col min="1021" max="1023" width="15.7109375" customWidth="1"/>
    <col min="1025" max="1027" width="19.5703125" customWidth="1"/>
    <col min="1028" max="1028" width="12.5703125" customWidth="1"/>
    <col min="1029" max="1029" width="2.7109375" customWidth="1"/>
    <col min="1030" max="1032" width="19.5703125" customWidth="1"/>
    <col min="1033" max="1033" width="12.5703125" customWidth="1"/>
    <col min="1034" max="1034" width="2.7109375" customWidth="1"/>
    <col min="1035" max="1037" width="19.5703125" customWidth="1"/>
    <col min="1038" max="1038" width="12.5703125" customWidth="1"/>
    <col min="1039" max="1039" width="12" customWidth="1"/>
    <col min="1272" max="1274" width="15.7109375" customWidth="1"/>
    <col min="1276" max="1276" width="2.7109375" customWidth="1"/>
    <col min="1277" max="1279" width="15.7109375" customWidth="1"/>
    <col min="1281" max="1283" width="19.5703125" customWidth="1"/>
    <col min="1284" max="1284" width="12.5703125" customWidth="1"/>
    <col min="1285" max="1285" width="2.7109375" customWidth="1"/>
    <col min="1286" max="1288" width="19.5703125" customWidth="1"/>
    <col min="1289" max="1289" width="12.5703125" customWidth="1"/>
    <col min="1290" max="1290" width="2.7109375" customWidth="1"/>
    <col min="1291" max="1293" width="19.5703125" customWidth="1"/>
    <col min="1294" max="1294" width="12.5703125" customWidth="1"/>
    <col min="1295" max="1295" width="12" customWidth="1"/>
    <col min="1528" max="1530" width="15.7109375" customWidth="1"/>
    <col min="1532" max="1532" width="2.7109375" customWidth="1"/>
    <col min="1533" max="1535" width="15.7109375" customWidth="1"/>
    <col min="1537" max="1539" width="19.5703125" customWidth="1"/>
    <col min="1540" max="1540" width="12.5703125" customWidth="1"/>
    <col min="1541" max="1541" width="2.7109375" customWidth="1"/>
    <col min="1542" max="1544" width="19.5703125" customWidth="1"/>
    <col min="1545" max="1545" width="12.5703125" customWidth="1"/>
    <col min="1546" max="1546" width="2.7109375" customWidth="1"/>
    <col min="1547" max="1549" width="19.5703125" customWidth="1"/>
    <col min="1550" max="1550" width="12.5703125" customWidth="1"/>
    <col min="1551" max="1551" width="12" customWidth="1"/>
    <col min="1784" max="1786" width="15.7109375" customWidth="1"/>
    <col min="1788" max="1788" width="2.7109375" customWidth="1"/>
    <col min="1789" max="1791" width="15.7109375" customWidth="1"/>
    <col min="1793" max="1795" width="19.5703125" customWidth="1"/>
    <col min="1796" max="1796" width="12.5703125" customWidth="1"/>
    <col min="1797" max="1797" width="2.7109375" customWidth="1"/>
    <col min="1798" max="1800" width="19.5703125" customWidth="1"/>
    <col min="1801" max="1801" width="12.5703125" customWidth="1"/>
    <col min="1802" max="1802" width="2.7109375" customWidth="1"/>
    <col min="1803" max="1805" width="19.5703125" customWidth="1"/>
    <col min="1806" max="1806" width="12.5703125" customWidth="1"/>
    <col min="1807" max="1807" width="12" customWidth="1"/>
    <col min="2040" max="2042" width="15.7109375" customWidth="1"/>
    <col min="2044" max="2044" width="2.7109375" customWidth="1"/>
    <col min="2045" max="2047" width="15.7109375" customWidth="1"/>
    <col min="2049" max="2051" width="19.5703125" customWidth="1"/>
    <col min="2052" max="2052" width="12.5703125" customWidth="1"/>
    <col min="2053" max="2053" width="2.7109375" customWidth="1"/>
    <col min="2054" max="2056" width="19.5703125" customWidth="1"/>
    <col min="2057" max="2057" width="12.5703125" customWidth="1"/>
    <col min="2058" max="2058" width="2.7109375" customWidth="1"/>
    <col min="2059" max="2061" width="19.5703125" customWidth="1"/>
    <col min="2062" max="2062" width="12.5703125" customWidth="1"/>
    <col min="2063" max="2063" width="12" customWidth="1"/>
    <col min="2296" max="2298" width="15.7109375" customWidth="1"/>
    <col min="2300" max="2300" width="2.7109375" customWidth="1"/>
    <col min="2301" max="2303" width="15.7109375" customWidth="1"/>
    <col min="2305" max="2307" width="19.5703125" customWidth="1"/>
    <col min="2308" max="2308" width="12.5703125" customWidth="1"/>
    <col min="2309" max="2309" width="2.7109375" customWidth="1"/>
    <col min="2310" max="2312" width="19.5703125" customWidth="1"/>
    <col min="2313" max="2313" width="12.5703125" customWidth="1"/>
    <col min="2314" max="2314" width="2.7109375" customWidth="1"/>
    <col min="2315" max="2317" width="19.5703125" customWidth="1"/>
    <col min="2318" max="2318" width="12.5703125" customWidth="1"/>
    <col min="2319" max="2319" width="12" customWidth="1"/>
    <col min="2552" max="2554" width="15.7109375" customWidth="1"/>
    <col min="2556" max="2556" width="2.7109375" customWidth="1"/>
    <col min="2557" max="2559" width="15.7109375" customWidth="1"/>
    <col min="2561" max="2563" width="19.5703125" customWidth="1"/>
    <col min="2564" max="2564" width="12.5703125" customWidth="1"/>
    <col min="2565" max="2565" width="2.7109375" customWidth="1"/>
    <col min="2566" max="2568" width="19.5703125" customWidth="1"/>
    <col min="2569" max="2569" width="12.5703125" customWidth="1"/>
    <col min="2570" max="2570" width="2.7109375" customWidth="1"/>
    <col min="2571" max="2573" width="19.5703125" customWidth="1"/>
    <col min="2574" max="2574" width="12.5703125" customWidth="1"/>
    <col min="2575" max="2575" width="12" customWidth="1"/>
    <col min="2808" max="2810" width="15.7109375" customWidth="1"/>
    <col min="2812" max="2812" width="2.7109375" customWidth="1"/>
    <col min="2813" max="2815" width="15.7109375" customWidth="1"/>
    <col min="2817" max="2819" width="19.5703125" customWidth="1"/>
    <col min="2820" max="2820" width="12.5703125" customWidth="1"/>
    <col min="2821" max="2821" width="2.7109375" customWidth="1"/>
    <col min="2822" max="2824" width="19.5703125" customWidth="1"/>
    <col min="2825" max="2825" width="12.5703125" customWidth="1"/>
    <col min="2826" max="2826" width="2.7109375" customWidth="1"/>
    <col min="2827" max="2829" width="19.5703125" customWidth="1"/>
    <col min="2830" max="2830" width="12.5703125" customWidth="1"/>
    <col min="2831" max="2831" width="12" customWidth="1"/>
    <col min="3064" max="3066" width="15.7109375" customWidth="1"/>
    <col min="3068" max="3068" width="2.7109375" customWidth="1"/>
    <col min="3069" max="3071" width="15.7109375" customWidth="1"/>
    <col min="3073" max="3075" width="19.5703125" customWidth="1"/>
    <col min="3076" max="3076" width="12.5703125" customWidth="1"/>
    <col min="3077" max="3077" width="2.7109375" customWidth="1"/>
    <col min="3078" max="3080" width="19.5703125" customWidth="1"/>
    <col min="3081" max="3081" width="12.5703125" customWidth="1"/>
    <col min="3082" max="3082" width="2.7109375" customWidth="1"/>
    <col min="3083" max="3085" width="19.5703125" customWidth="1"/>
    <col min="3086" max="3086" width="12.5703125" customWidth="1"/>
    <col min="3087" max="3087" width="12" customWidth="1"/>
    <col min="3320" max="3322" width="15.7109375" customWidth="1"/>
    <col min="3324" max="3324" width="2.7109375" customWidth="1"/>
    <col min="3325" max="3327" width="15.7109375" customWidth="1"/>
    <col min="3329" max="3331" width="19.5703125" customWidth="1"/>
    <col min="3332" max="3332" width="12.5703125" customWidth="1"/>
    <col min="3333" max="3333" width="2.7109375" customWidth="1"/>
    <col min="3334" max="3336" width="19.5703125" customWidth="1"/>
    <col min="3337" max="3337" width="12.5703125" customWidth="1"/>
    <col min="3338" max="3338" width="2.7109375" customWidth="1"/>
    <col min="3339" max="3341" width="19.5703125" customWidth="1"/>
    <col min="3342" max="3342" width="12.5703125" customWidth="1"/>
    <col min="3343" max="3343" width="12" customWidth="1"/>
    <col min="3576" max="3578" width="15.7109375" customWidth="1"/>
    <col min="3580" max="3580" width="2.7109375" customWidth="1"/>
    <col min="3581" max="3583" width="15.7109375" customWidth="1"/>
    <col min="3585" max="3587" width="19.5703125" customWidth="1"/>
    <col min="3588" max="3588" width="12.5703125" customWidth="1"/>
    <col min="3589" max="3589" width="2.7109375" customWidth="1"/>
    <col min="3590" max="3592" width="19.5703125" customWidth="1"/>
    <col min="3593" max="3593" width="12.5703125" customWidth="1"/>
    <col min="3594" max="3594" width="2.7109375" customWidth="1"/>
    <col min="3595" max="3597" width="19.5703125" customWidth="1"/>
    <col min="3598" max="3598" width="12.5703125" customWidth="1"/>
    <col min="3599" max="3599" width="12" customWidth="1"/>
    <col min="3832" max="3834" width="15.7109375" customWidth="1"/>
    <col min="3836" max="3836" width="2.7109375" customWidth="1"/>
    <col min="3837" max="3839" width="15.7109375" customWidth="1"/>
    <col min="3841" max="3843" width="19.5703125" customWidth="1"/>
    <col min="3844" max="3844" width="12.5703125" customWidth="1"/>
    <col min="3845" max="3845" width="2.7109375" customWidth="1"/>
    <col min="3846" max="3848" width="19.5703125" customWidth="1"/>
    <col min="3849" max="3849" width="12.5703125" customWidth="1"/>
    <col min="3850" max="3850" width="2.7109375" customWidth="1"/>
    <col min="3851" max="3853" width="19.5703125" customWidth="1"/>
    <col min="3854" max="3854" width="12.5703125" customWidth="1"/>
    <col min="3855" max="3855" width="12" customWidth="1"/>
    <col min="4088" max="4090" width="15.7109375" customWidth="1"/>
    <col min="4092" max="4092" width="2.7109375" customWidth="1"/>
    <col min="4093" max="4095" width="15.7109375" customWidth="1"/>
    <col min="4097" max="4099" width="19.5703125" customWidth="1"/>
    <col min="4100" max="4100" width="12.5703125" customWidth="1"/>
    <col min="4101" max="4101" width="2.7109375" customWidth="1"/>
    <col min="4102" max="4104" width="19.5703125" customWidth="1"/>
    <col min="4105" max="4105" width="12.5703125" customWidth="1"/>
    <col min="4106" max="4106" width="2.7109375" customWidth="1"/>
    <col min="4107" max="4109" width="19.5703125" customWidth="1"/>
    <col min="4110" max="4110" width="12.5703125" customWidth="1"/>
    <col min="4111" max="4111" width="12" customWidth="1"/>
    <col min="4344" max="4346" width="15.7109375" customWidth="1"/>
    <col min="4348" max="4348" width="2.7109375" customWidth="1"/>
    <col min="4349" max="4351" width="15.7109375" customWidth="1"/>
    <col min="4353" max="4355" width="19.5703125" customWidth="1"/>
    <col min="4356" max="4356" width="12.5703125" customWidth="1"/>
    <col min="4357" max="4357" width="2.7109375" customWidth="1"/>
    <col min="4358" max="4360" width="19.5703125" customWidth="1"/>
    <col min="4361" max="4361" width="12.5703125" customWidth="1"/>
    <col min="4362" max="4362" width="2.7109375" customWidth="1"/>
    <col min="4363" max="4365" width="19.5703125" customWidth="1"/>
    <col min="4366" max="4366" width="12.5703125" customWidth="1"/>
    <col min="4367" max="4367" width="12" customWidth="1"/>
    <col min="4600" max="4602" width="15.7109375" customWidth="1"/>
    <col min="4604" max="4604" width="2.7109375" customWidth="1"/>
    <col min="4605" max="4607" width="15.7109375" customWidth="1"/>
    <col min="4609" max="4611" width="19.5703125" customWidth="1"/>
    <col min="4612" max="4612" width="12.5703125" customWidth="1"/>
    <col min="4613" max="4613" width="2.7109375" customWidth="1"/>
    <col min="4614" max="4616" width="19.5703125" customWidth="1"/>
    <col min="4617" max="4617" width="12.5703125" customWidth="1"/>
    <col min="4618" max="4618" width="2.7109375" customWidth="1"/>
    <col min="4619" max="4621" width="19.5703125" customWidth="1"/>
    <col min="4622" max="4622" width="12.5703125" customWidth="1"/>
    <col min="4623" max="4623" width="12" customWidth="1"/>
    <col min="4856" max="4858" width="15.7109375" customWidth="1"/>
    <col min="4860" max="4860" width="2.7109375" customWidth="1"/>
    <col min="4861" max="4863" width="15.7109375" customWidth="1"/>
    <col min="4865" max="4867" width="19.5703125" customWidth="1"/>
    <col min="4868" max="4868" width="12.5703125" customWidth="1"/>
    <col min="4869" max="4869" width="2.7109375" customWidth="1"/>
    <col min="4870" max="4872" width="19.5703125" customWidth="1"/>
    <col min="4873" max="4873" width="12.5703125" customWidth="1"/>
    <col min="4874" max="4874" width="2.7109375" customWidth="1"/>
    <col min="4875" max="4877" width="19.5703125" customWidth="1"/>
    <col min="4878" max="4878" width="12.5703125" customWidth="1"/>
    <col min="4879" max="4879" width="12" customWidth="1"/>
    <col min="5112" max="5114" width="15.7109375" customWidth="1"/>
    <col min="5116" max="5116" width="2.7109375" customWidth="1"/>
    <col min="5117" max="5119" width="15.7109375" customWidth="1"/>
    <col min="5121" max="5123" width="19.5703125" customWidth="1"/>
    <col min="5124" max="5124" width="12.5703125" customWidth="1"/>
    <col min="5125" max="5125" width="2.7109375" customWidth="1"/>
    <col min="5126" max="5128" width="19.5703125" customWidth="1"/>
    <col min="5129" max="5129" width="12.5703125" customWidth="1"/>
    <col min="5130" max="5130" width="2.7109375" customWidth="1"/>
    <col min="5131" max="5133" width="19.5703125" customWidth="1"/>
    <col min="5134" max="5134" width="12.5703125" customWidth="1"/>
    <col min="5135" max="5135" width="12" customWidth="1"/>
    <col min="5368" max="5370" width="15.7109375" customWidth="1"/>
    <col min="5372" max="5372" width="2.7109375" customWidth="1"/>
    <col min="5373" max="5375" width="15.7109375" customWidth="1"/>
    <col min="5377" max="5379" width="19.5703125" customWidth="1"/>
    <col min="5380" max="5380" width="12.5703125" customWidth="1"/>
    <col min="5381" max="5381" width="2.7109375" customWidth="1"/>
    <col min="5382" max="5384" width="19.5703125" customWidth="1"/>
    <col min="5385" max="5385" width="12.5703125" customWidth="1"/>
    <col min="5386" max="5386" width="2.7109375" customWidth="1"/>
    <col min="5387" max="5389" width="19.5703125" customWidth="1"/>
    <col min="5390" max="5390" width="12.5703125" customWidth="1"/>
    <col min="5391" max="5391" width="12" customWidth="1"/>
    <col min="5624" max="5626" width="15.7109375" customWidth="1"/>
    <col min="5628" max="5628" width="2.7109375" customWidth="1"/>
    <col min="5629" max="5631" width="15.7109375" customWidth="1"/>
    <col min="5633" max="5635" width="19.5703125" customWidth="1"/>
    <col min="5636" max="5636" width="12.5703125" customWidth="1"/>
    <col min="5637" max="5637" width="2.7109375" customWidth="1"/>
    <col min="5638" max="5640" width="19.5703125" customWidth="1"/>
    <col min="5641" max="5641" width="12.5703125" customWidth="1"/>
    <col min="5642" max="5642" width="2.7109375" customWidth="1"/>
    <col min="5643" max="5645" width="19.5703125" customWidth="1"/>
    <col min="5646" max="5646" width="12.5703125" customWidth="1"/>
    <col min="5647" max="5647" width="12" customWidth="1"/>
    <col min="5880" max="5882" width="15.7109375" customWidth="1"/>
    <col min="5884" max="5884" width="2.7109375" customWidth="1"/>
    <col min="5885" max="5887" width="15.7109375" customWidth="1"/>
    <col min="5889" max="5891" width="19.5703125" customWidth="1"/>
    <col min="5892" max="5892" width="12.5703125" customWidth="1"/>
    <col min="5893" max="5893" width="2.7109375" customWidth="1"/>
    <col min="5894" max="5896" width="19.5703125" customWidth="1"/>
    <col min="5897" max="5897" width="12.5703125" customWidth="1"/>
    <col min="5898" max="5898" width="2.7109375" customWidth="1"/>
    <col min="5899" max="5901" width="19.5703125" customWidth="1"/>
    <col min="5902" max="5902" width="12.5703125" customWidth="1"/>
    <col min="5903" max="5903" width="12" customWidth="1"/>
    <col min="6136" max="6138" width="15.7109375" customWidth="1"/>
    <col min="6140" max="6140" width="2.7109375" customWidth="1"/>
    <col min="6141" max="6143" width="15.7109375" customWidth="1"/>
    <col min="6145" max="6147" width="19.5703125" customWidth="1"/>
    <col min="6148" max="6148" width="12.5703125" customWidth="1"/>
    <col min="6149" max="6149" width="2.7109375" customWidth="1"/>
    <col min="6150" max="6152" width="19.5703125" customWidth="1"/>
    <col min="6153" max="6153" width="12.5703125" customWidth="1"/>
    <col min="6154" max="6154" width="2.7109375" customWidth="1"/>
    <col min="6155" max="6157" width="19.5703125" customWidth="1"/>
    <col min="6158" max="6158" width="12.5703125" customWidth="1"/>
    <col min="6159" max="6159" width="12" customWidth="1"/>
    <col min="6392" max="6394" width="15.7109375" customWidth="1"/>
    <col min="6396" max="6396" width="2.7109375" customWidth="1"/>
    <col min="6397" max="6399" width="15.7109375" customWidth="1"/>
    <col min="6401" max="6403" width="19.5703125" customWidth="1"/>
    <col min="6404" max="6404" width="12.5703125" customWidth="1"/>
    <col min="6405" max="6405" width="2.7109375" customWidth="1"/>
    <col min="6406" max="6408" width="19.5703125" customWidth="1"/>
    <col min="6409" max="6409" width="12.5703125" customWidth="1"/>
    <col min="6410" max="6410" width="2.7109375" customWidth="1"/>
    <col min="6411" max="6413" width="19.5703125" customWidth="1"/>
    <col min="6414" max="6414" width="12.5703125" customWidth="1"/>
    <col min="6415" max="6415" width="12" customWidth="1"/>
    <col min="6648" max="6650" width="15.7109375" customWidth="1"/>
    <col min="6652" max="6652" width="2.7109375" customWidth="1"/>
    <col min="6653" max="6655" width="15.7109375" customWidth="1"/>
    <col min="6657" max="6659" width="19.5703125" customWidth="1"/>
    <col min="6660" max="6660" width="12.5703125" customWidth="1"/>
    <col min="6661" max="6661" width="2.7109375" customWidth="1"/>
    <col min="6662" max="6664" width="19.5703125" customWidth="1"/>
    <col min="6665" max="6665" width="12.5703125" customWidth="1"/>
    <col min="6666" max="6666" width="2.7109375" customWidth="1"/>
    <col min="6667" max="6669" width="19.5703125" customWidth="1"/>
    <col min="6670" max="6670" width="12.5703125" customWidth="1"/>
    <col min="6671" max="6671" width="12" customWidth="1"/>
    <col min="6904" max="6906" width="15.7109375" customWidth="1"/>
    <col min="6908" max="6908" width="2.7109375" customWidth="1"/>
    <col min="6909" max="6911" width="15.7109375" customWidth="1"/>
    <col min="6913" max="6915" width="19.5703125" customWidth="1"/>
    <col min="6916" max="6916" width="12.5703125" customWidth="1"/>
    <col min="6917" max="6917" width="2.7109375" customWidth="1"/>
    <col min="6918" max="6920" width="19.5703125" customWidth="1"/>
    <col min="6921" max="6921" width="12.5703125" customWidth="1"/>
    <col min="6922" max="6922" width="2.7109375" customWidth="1"/>
    <col min="6923" max="6925" width="19.5703125" customWidth="1"/>
    <col min="6926" max="6926" width="12.5703125" customWidth="1"/>
    <col min="6927" max="6927" width="12" customWidth="1"/>
    <col min="7160" max="7162" width="15.7109375" customWidth="1"/>
    <col min="7164" max="7164" width="2.7109375" customWidth="1"/>
    <col min="7165" max="7167" width="15.7109375" customWidth="1"/>
    <col min="7169" max="7171" width="19.5703125" customWidth="1"/>
    <col min="7172" max="7172" width="12.5703125" customWidth="1"/>
    <col min="7173" max="7173" width="2.7109375" customWidth="1"/>
    <col min="7174" max="7176" width="19.5703125" customWidth="1"/>
    <col min="7177" max="7177" width="12.5703125" customWidth="1"/>
    <col min="7178" max="7178" width="2.7109375" customWidth="1"/>
    <col min="7179" max="7181" width="19.5703125" customWidth="1"/>
    <col min="7182" max="7182" width="12.5703125" customWidth="1"/>
    <col min="7183" max="7183" width="12" customWidth="1"/>
    <col min="7416" max="7418" width="15.7109375" customWidth="1"/>
    <col min="7420" max="7420" width="2.7109375" customWidth="1"/>
    <col min="7421" max="7423" width="15.7109375" customWidth="1"/>
    <col min="7425" max="7427" width="19.5703125" customWidth="1"/>
    <col min="7428" max="7428" width="12.5703125" customWidth="1"/>
    <col min="7429" max="7429" width="2.7109375" customWidth="1"/>
    <col min="7430" max="7432" width="19.5703125" customWidth="1"/>
    <col min="7433" max="7433" width="12.5703125" customWidth="1"/>
    <col min="7434" max="7434" width="2.7109375" customWidth="1"/>
    <col min="7435" max="7437" width="19.5703125" customWidth="1"/>
    <col min="7438" max="7438" width="12.5703125" customWidth="1"/>
    <col min="7439" max="7439" width="12" customWidth="1"/>
    <col min="7672" max="7674" width="15.7109375" customWidth="1"/>
    <col min="7676" max="7676" width="2.7109375" customWidth="1"/>
    <col min="7677" max="7679" width="15.7109375" customWidth="1"/>
    <col min="7681" max="7683" width="19.5703125" customWidth="1"/>
    <col min="7684" max="7684" width="12.5703125" customWidth="1"/>
    <col min="7685" max="7685" width="2.7109375" customWidth="1"/>
    <col min="7686" max="7688" width="19.5703125" customWidth="1"/>
    <col min="7689" max="7689" width="12.5703125" customWidth="1"/>
    <col min="7690" max="7690" width="2.7109375" customWidth="1"/>
    <col min="7691" max="7693" width="19.5703125" customWidth="1"/>
    <col min="7694" max="7694" width="12.5703125" customWidth="1"/>
    <col min="7695" max="7695" width="12" customWidth="1"/>
    <col min="7928" max="7930" width="15.7109375" customWidth="1"/>
    <col min="7932" max="7932" width="2.7109375" customWidth="1"/>
    <col min="7933" max="7935" width="15.7109375" customWidth="1"/>
    <col min="7937" max="7939" width="19.5703125" customWidth="1"/>
    <col min="7940" max="7940" width="12.5703125" customWidth="1"/>
    <col min="7941" max="7941" width="2.7109375" customWidth="1"/>
    <col min="7942" max="7944" width="19.5703125" customWidth="1"/>
    <col min="7945" max="7945" width="12.5703125" customWidth="1"/>
    <col min="7946" max="7946" width="2.7109375" customWidth="1"/>
    <col min="7947" max="7949" width="19.5703125" customWidth="1"/>
    <col min="7950" max="7950" width="12.5703125" customWidth="1"/>
    <col min="7951" max="7951" width="12" customWidth="1"/>
    <col min="8184" max="8186" width="15.7109375" customWidth="1"/>
    <col min="8188" max="8188" width="2.7109375" customWidth="1"/>
    <col min="8189" max="8191" width="15.7109375" customWidth="1"/>
    <col min="8193" max="8195" width="19.5703125" customWidth="1"/>
    <col min="8196" max="8196" width="12.5703125" customWidth="1"/>
    <col min="8197" max="8197" width="2.7109375" customWidth="1"/>
    <col min="8198" max="8200" width="19.5703125" customWidth="1"/>
    <col min="8201" max="8201" width="12.5703125" customWidth="1"/>
    <col min="8202" max="8202" width="2.7109375" customWidth="1"/>
    <col min="8203" max="8205" width="19.5703125" customWidth="1"/>
    <col min="8206" max="8206" width="12.5703125" customWidth="1"/>
    <col min="8207" max="8207" width="12" customWidth="1"/>
    <col min="8440" max="8442" width="15.7109375" customWidth="1"/>
    <col min="8444" max="8444" width="2.7109375" customWidth="1"/>
    <col min="8445" max="8447" width="15.7109375" customWidth="1"/>
    <col min="8449" max="8451" width="19.5703125" customWidth="1"/>
    <col min="8452" max="8452" width="12.5703125" customWidth="1"/>
    <col min="8453" max="8453" width="2.7109375" customWidth="1"/>
    <col min="8454" max="8456" width="19.5703125" customWidth="1"/>
    <col min="8457" max="8457" width="12.5703125" customWidth="1"/>
    <col min="8458" max="8458" width="2.7109375" customWidth="1"/>
    <col min="8459" max="8461" width="19.5703125" customWidth="1"/>
    <col min="8462" max="8462" width="12.5703125" customWidth="1"/>
    <col min="8463" max="8463" width="12" customWidth="1"/>
    <col min="8696" max="8698" width="15.7109375" customWidth="1"/>
    <col min="8700" max="8700" width="2.7109375" customWidth="1"/>
    <col min="8701" max="8703" width="15.7109375" customWidth="1"/>
    <col min="8705" max="8707" width="19.5703125" customWidth="1"/>
    <col min="8708" max="8708" width="12.5703125" customWidth="1"/>
    <col min="8709" max="8709" width="2.7109375" customWidth="1"/>
    <col min="8710" max="8712" width="19.5703125" customWidth="1"/>
    <col min="8713" max="8713" width="12.5703125" customWidth="1"/>
    <col min="8714" max="8714" width="2.7109375" customWidth="1"/>
    <col min="8715" max="8717" width="19.5703125" customWidth="1"/>
    <col min="8718" max="8718" width="12.5703125" customWidth="1"/>
    <col min="8719" max="8719" width="12" customWidth="1"/>
    <col min="8952" max="8954" width="15.7109375" customWidth="1"/>
    <col min="8956" max="8956" width="2.7109375" customWidth="1"/>
    <col min="8957" max="8959" width="15.7109375" customWidth="1"/>
    <col min="8961" max="8963" width="19.5703125" customWidth="1"/>
    <col min="8964" max="8964" width="12.5703125" customWidth="1"/>
    <col min="8965" max="8965" width="2.7109375" customWidth="1"/>
    <col min="8966" max="8968" width="19.5703125" customWidth="1"/>
    <col min="8969" max="8969" width="12.5703125" customWidth="1"/>
    <col min="8970" max="8970" width="2.7109375" customWidth="1"/>
    <col min="8971" max="8973" width="19.5703125" customWidth="1"/>
    <col min="8974" max="8974" width="12.5703125" customWidth="1"/>
    <col min="8975" max="8975" width="12" customWidth="1"/>
    <col min="9208" max="9210" width="15.7109375" customWidth="1"/>
    <col min="9212" max="9212" width="2.7109375" customWidth="1"/>
    <col min="9213" max="9215" width="15.7109375" customWidth="1"/>
    <col min="9217" max="9219" width="19.5703125" customWidth="1"/>
    <col min="9220" max="9220" width="12.5703125" customWidth="1"/>
    <col min="9221" max="9221" width="2.7109375" customWidth="1"/>
    <col min="9222" max="9224" width="19.5703125" customWidth="1"/>
    <col min="9225" max="9225" width="12.5703125" customWidth="1"/>
    <col min="9226" max="9226" width="2.7109375" customWidth="1"/>
    <col min="9227" max="9229" width="19.5703125" customWidth="1"/>
    <col min="9230" max="9230" width="12.5703125" customWidth="1"/>
    <col min="9231" max="9231" width="12" customWidth="1"/>
    <col min="9464" max="9466" width="15.7109375" customWidth="1"/>
    <col min="9468" max="9468" width="2.7109375" customWidth="1"/>
    <col min="9469" max="9471" width="15.7109375" customWidth="1"/>
    <col min="9473" max="9475" width="19.5703125" customWidth="1"/>
    <col min="9476" max="9476" width="12.5703125" customWidth="1"/>
    <col min="9477" max="9477" width="2.7109375" customWidth="1"/>
    <col min="9478" max="9480" width="19.5703125" customWidth="1"/>
    <col min="9481" max="9481" width="12.5703125" customWidth="1"/>
    <col min="9482" max="9482" width="2.7109375" customWidth="1"/>
    <col min="9483" max="9485" width="19.5703125" customWidth="1"/>
    <col min="9486" max="9486" width="12.5703125" customWidth="1"/>
    <col min="9487" max="9487" width="12" customWidth="1"/>
    <col min="9720" max="9722" width="15.7109375" customWidth="1"/>
    <col min="9724" max="9724" width="2.7109375" customWidth="1"/>
    <col min="9725" max="9727" width="15.7109375" customWidth="1"/>
    <col min="9729" max="9731" width="19.5703125" customWidth="1"/>
    <col min="9732" max="9732" width="12.5703125" customWidth="1"/>
    <col min="9733" max="9733" width="2.7109375" customWidth="1"/>
    <col min="9734" max="9736" width="19.5703125" customWidth="1"/>
    <col min="9737" max="9737" width="12.5703125" customWidth="1"/>
    <col min="9738" max="9738" width="2.7109375" customWidth="1"/>
    <col min="9739" max="9741" width="19.5703125" customWidth="1"/>
    <col min="9742" max="9742" width="12.5703125" customWidth="1"/>
    <col min="9743" max="9743" width="12" customWidth="1"/>
    <col min="9976" max="9978" width="15.7109375" customWidth="1"/>
    <col min="9980" max="9980" width="2.7109375" customWidth="1"/>
    <col min="9981" max="9983" width="15.7109375" customWidth="1"/>
    <col min="9985" max="9987" width="19.5703125" customWidth="1"/>
    <col min="9988" max="9988" width="12.5703125" customWidth="1"/>
    <col min="9989" max="9989" width="2.7109375" customWidth="1"/>
    <col min="9990" max="9992" width="19.5703125" customWidth="1"/>
    <col min="9993" max="9993" width="12.5703125" customWidth="1"/>
    <col min="9994" max="9994" width="2.7109375" customWidth="1"/>
    <col min="9995" max="9997" width="19.5703125" customWidth="1"/>
    <col min="9998" max="9998" width="12.5703125" customWidth="1"/>
    <col min="9999" max="9999" width="12" customWidth="1"/>
    <col min="10232" max="10234" width="15.7109375" customWidth="1"/>
    <col min="10236" max="10236" width="2.7109375" customWidth="1"/>
    <col min="10237" max="10239" width="15.7109375" customWidth="1"/>
    <col min="10241" max="10243" width="19.5703125" customWidth="1"/>
    <col min="10244" max="10244" width="12.5703125" customWidth="1"/>
    <col min="10245" max="10245" width="2.7109375" customWidth="1"/>
    <col min="10246" max="10248" width="19.5703125" customWidth="1"/>
    <col min="10249" max="10249" width="12.5703125" customWidth="1"/>
    <col min="10250" max="10250" width="2.7109375" customWidth="1"/>
    <col min="10251" max="10253" width="19.5703125" customWidth="1"/>
    <col min="10254" max="10254" width="12.5703125" customWidth="1"/>
    <col min="10255" max="10255" width="12" customWidth="1"/>
    <col min="10488" max="10490" width="15.7109375" customWidth="1"/>
    <col min="10492" max="10492" width="2.7109375" customWidth="1"/>
    <col min="10493" max="10495" width="15.7109375" customWidth="1"/>
    <col min="10497" max="10499" width="19.5703125" customWidth="1"/>
    <col min="10500" max="10500" width="12.5703125" customWidth="1"/>
    <col min="10501" max="10501" width="2.7109375" customWidth="1"/>
    <col min="10502" max="10504" width="19.5703125" customWidth="1"/>
    <col min="10505" max="10505" width="12.5703125" customWidth="1"/>
    <col min="10506" max="10506" width="2.7109375" customWidth="1"/>
    <col min="10507" max="10509" width="19.5703125" customWidth="1"/>
    <col min="10510" max="10510" width="12.5703125" customWidth="1"/>
    <col min="10511" max="10511" width="12" customWidth="1"/>
    <col min="10744" max="10746" width="15.7109375" customWidth="1"/>
    <col min="10748" max="10748" width="2.7109375" customWidth="1"/>
    <col min="10749" max="10751" width="15.7109375" customWidth="1"/>
    <col min="10753" max="10755" width="19.5703125" customWidth="1"/>
    <col min="10756" max="10756" width="12.5703125" customWidth="1"/>
    <col min="10757" max="10757" width="2.7109375" customWidth="1"/>
    <col min="10758" max="10760" width="19.5703125" customWidth="1"/>
    <col min="10761" max="10761" width="12.5703125" customWidth="1"/>
    <col min="10762" max="10762" width="2.7109375" customWidth="1"/>
    <col min="10763" max="10765" width="19.5703125" customWidth="1"/>
    <col min="10766" max="10766" width="12.5703125" customWidth="1"/>
    <col min="10767" max="10767" width="12" customWidth="1"/>
    <col min="11000" max="11002" width="15.7109375" customWidth="1"/>
    <col min="11004" max="11004" width="2.7109375" customWidth="1"/>
    <col min="11005" max="11007" width="15.7109375" customWidth="1"/>
    <col min="11009" max="11011" width="19.5703125" customWidth="1"/>
    <col min="11012" max="11012" width="12.5703125" customWidth="1"/>
    <col min="11013" max="11013" width="2.7109375" customWidth="1"/>
    <col min="11014" max="11016" width="19.5703125" customWidth="1"/>
    <col min="11017" max="11017" width="12.5703125" customWidth="1"/>
    <col min="11018" max="11018" width="2.7109375" customWidth="1"/>
    <col min="11019" max="11021" width="19.5703125" customWidth="1"/>
    <col min="11022" max="11022" width="12.5703125" customWidth="1"/>
    <col min="11023" max="11023" width="12" customWidth="1"/>
    <col min="11256" max="11258" width="15.7109375" customWidth="1"/>
    <col min="11260" max="11260" width="2.7109375" customWidth="1"/>
    <col min="11261" max="11263" width="15.7109375" customWidth="1"/>
    <col min="11265" max="11267" width="19.5703125" customWidth="1"/>
    <col min="11268" max="11268" width="12.5703125" customWidth="1"/>
    <col min="11269" max="11269" width="2.7109375" customWidth="1"/>
    <col min="11270" max="11272" width="19.5703125" customWidth="1"/>
    <col min="11273" max="11273" width="12.5703125" customWidth="1"/>
    <col min="11274" max="11274" width="2.7109375" customWidth="1"/>
    <col min="11275" max="11277" width="19.5703125" customWidth="1"/>
    <col min="11278" max="11278" width="12.5703125" customWidth="1"/>
    <col min="11279" max="11279" width="12" customWidth="1"/>
    <col min="11512" max="11514" width="15.7109375" customWidth="1"/>
    <col min="11516" max="11516" width="2.7109375" customWidth="1"/>
    <col min="11517" max="11519" width="15.7109375" customWidth="1"/>
    <col min="11521" max="11523" width="19.5703125" customWidth="1"/>
    <col min="11524" max="11524" width="12.5703125" customWidth="1"/>
    <col min="11525" max="11525" width="2.7109375" customWidth="1"/>
    <col min="11526" max="11528" width="19.5703125" customWidth="1"/>
    <col min="11529" max="11529" width="12.5703125" customWidth="1"/>
    <col min="11530" max="11530" width="2.7109375" customWidth="1"/>
    <col min="11531" max="11533" width="19.5703125" customWidth="1"/>
    <col min="11534" max="11534" width="12.5703125" customWidth="1"/>
    <col min="11535" max="11535" width="12" customWidth="1"/>
    <col min="11768" max="11770" width="15.7109375" customWidth="1"/>
    <col min="11772" max="11772" width="2.7109375" customWidth="1"/>
    <col min="11773" max="11775" width="15.7109375" customWidth="1"/>
    <col min="11777" max="11779" width="19.5703125" customWidth="1"/>
    <col min="11780" max="11780" width="12.5703125" customWidth="1"/>
    <col min="11781" max="11781" width="2.7109375" customWidth="1"/>
    <col min="11782" max="11784" width="19.5703125" customWidth="1"/>
    <col min="11785" max="11785" width="12.5703125" customWidth="1"/>
    <col min="11786" max="11786" width="2.7109375" customWidth="1"/>
    <col min="11787" max="11789" width="19.5703125" customWidth="1"/>
    <col min="11790" max="11790" width="12.5703125" customWidth="1"/>
    <col min="11791" max="11791" width="12" customWidth="1"/>
    <col min="12024" max="12026" width="15.7109375" customWidth="1"/>
    <col min="12028" max="12028" width="2.7109375" customWidth="1"/>
    <col min="12029" max="12031" width="15.7109375" customWidth="1"/>
    <col min="12033" max="12035" width="19.5703125" customWidth="1"/>
    <col min="12036" max="12036" width="12.5703125" customWidth="1"/>
    <col min="12037" max="12037" width="2.7109375" customWidth="1"/>
    <col min="12038" max="12040" width="19.5703125" customWidth="1"/>
    <col min="12041" max="12041" width="12.5703125" customWidth="1"/>
    <col min="12042" max="12042" width="2.7109375" customWidth="1"/>
    <col min="12043" max="12045" width="19.5703125" customWidth="1"/>
    <col min="12046" max="12046" width="12.5703125" customWidth="1"/>
    <col min="12047" max="12047" width="12" customWidth="1"/>
    <col min="12280" max="12282" width="15.7109375" customWidth="1"/>
    <col min="12284" max="12284" width="2.7109375" customWidth="1"/>
    <col min="12285" max="12287" width="15.7109375" customWidth="1"/>
    <col min="12289" max="12291" width="19.5703125" customWidth="1"/>
    <col min="12292" max="12292" width="12.5703125" customWidth="1"/>
    <col min="12293" max="12293" width="2.7109375" customWidth="1"/>
    <col min="12294" max="12296" width="19.5703125" customWidth="1"/>
    <col min="12297" max="12297" width="12.5703125" customWidth="1"/>
    <col min="12298" max="12298" width="2.7109375" customWidth="1"/>
    <col min="12299" max="12301" width="19.5703125" customWidth="1"/>
    <col min="12302" max="12302" width="12.5703125" customWidth="1"/>
    <col min="12303" max="12303" width="12" customWidth="1"/>
    <col min="12536" max="12538" width="15.7109375" customWidth="1"/>
    <col min="12540" max="12540" width="2.7109375" customWidth="1"/>
    <col min="12541" max="12543" width="15.7109375" customWidth="1"/>
    <col min="12545" max="12547" width="19.5703125" customWidth="1"/>
    <col min="12548" max="12548" width="12.5703125" customWidth="1"/>
    <col min="12549" max="12549" width="2.7109375" customWidth="1"/>
    <col min="12550" max="12552" width="19.5703125" customWidth="1"/>
    <col min="12553" max="12553" width="12.5703125" customWidth="1"/>
    <col min="12554" max="12554" width="2.7109375" customWidth="1"/>
    <col min="12555" max="12557" width="19.5703125" customWidth="1"/>
    <col min="12558" max="12558" width="12.5703125" customWidth="1"/>
    <col min="12559" max="12559" width="12" customWidth="1"/>
    <col min="12792" max="12794" width="15.7109375" customWidth="1"/>
    <col min="12796" max="12796" width="2.7109375" customWidth="1"/>
    <col min="12797" max="12799" width="15.7109375" customWidth="1"/>
    <col min="12801" max="12803" width="19.5703125" customWidth="1"/>
    <col min="12804" max="12804" width="12.5703125" customWidth="1"/>
    <col min="12805" max="12805" width="2.7109375" customWidth="1"/>
    <col min="12806" max="12808" width="19.5703125" customWidth="1"/>
    <col min="12809" max="12809" width="12.5703125" customWidth="1"/>
    <col min="12810" max="12810" width="2.7109375" customWidth="1"/>
    <col min="12811" max="12813" width="19.5703125" customWidth="1"/>
    <col min="12814" max="12814" width="12.5703125" customWidth="1"/>
    <col min="12815" max="12815" width="12" customWidth="1"/>
    <col min="13048" max="13050" width="15.7109375" customWidth="1"/>
    <col min="13052" max="13052" width="2.7109375" customWidth="1"/>
    <col min="13053" max="13055" width="15.7109375" customWidth="1"/>
    <col min="13057" max="13059" width="19.5703125" customWidth="1"/>
    <col min="13060" max="13060" width="12.5703125" customWidth="1"/>
    <col min="13061" max="13061" width="2.7109375" customWidth="1"/>
    <col min="13062" max="13064" width="19.5703125" customWidth="1"/>
    <col min="13065" max="13065" width="12.5703125" customWidth="1"/>
    <col min="13066" max="13066" width="2.7109375" customWidth="1"/>
    <col min="13067" max="13069" width="19.5703125" customWidth="1"/>
    <col min="13070" max="13070" width="12.5703125" customWidth="1"/>
    <col min="13071" max="13071" width="12" customWidth="1"/>
    <col min="13304" max="13306" width="15.7109375" customWidth="1"/>
    <col min="13308" max="13308" width="2.7109375" customWidth="1"/>
    <col min="13309" max="13311" width="15.7109375" customWidth="1"/>
    <col min="13313" max="13315" width="19.5703125" customWidth="1"/>
    <col min="13316" max="13316" width="12.5703125" customWidth="1"/>
    <col min="13317" max="13317" width="2.7109375" customWidth="1"/>
    <col min="13318" max="13320" width="19.5703125" customWidth="1"/>
    <col min="13321" max="13321" width="12.5703125" customWidth="1"/>
    <col min="13322" max="13322" width="2.7109375" customWidth="1"/>
    <col min="13323" max="13325" width="19.5703125" customWidth="1"/>
    <col min="13326" max="13326" width="12.5703125" customWidth="1"/>
    <col min="13327" max="13327" width="12" customWidth="1"/>
    <col min="13560" max="13562" width="15.7109375" customWidth="1"/>
    <col min="13564" max="13564" width="2.7109375" customWidth="1"/>
    <col min="13565" max="13567" width="15.7109375" customWidth="1"/>
    <col min="13569" max="13571" width="19.5703125" customWidth="1"/>
    <col min="13572" max="13572" width="12.5703125" customWidth="1"/>
    <col min="13573" max="13573" width="2.7109375" customWidth="1"/>
    <col min="13574" max="13576" width="19.5703125" customWidth="1"/>
    <col min="13577" max="13577" width="12.5703125" customWidth="1"/>
    <col min="13578" max="13578" width="2.7109375" customWidth="1"/>
    <col min="13579" max="13581" width="19.5703125" customWidth="1"/>
    <col min="13582" max="13582" width="12.5703125" customWidth="1"/>
    <col min="13583" max="13583" width="12" customWidth="1"/>
    <col min="13816" max="13818" width="15.7109375" customWidth="1"/>
    <col min="13820" max="13820" width="2.7109375" customWidth="1"/>
    <col min="13821" max="13823" width="15.7109375" customWidth="1"/>
    <col min="13825" max="13827" width="19.5703125" customWidth="1"/>
    <col min="13828" max="13828" width="12.5703125" customWidth="1"/>
    <col min="13829" max="13829" width="2.7109375" customWidth="1"/>
    <col min="13830" max="13832" width="19.5703125" customWidth="1"/>
    <col min="13833" max="13833" width="12.5703125" customWidth="1"/>
    <col min="13834" max="13834" width="2.7109375" customWidth="1"/>
    <col min="13835" max="13837" width="19.5703125" customWidth="1"/>
    <col min="13838" max="13838" width="12.5703125" customWidth="1"/>
    <col min="13839" max="13839" width="12" customWidth="1"/>
    <col min="14072" max="14074" width="15.7109375" customWidth="1"/>
    <col min="14076" max="14076" width="2.7109375" customWidth="1"/>
    <col min="14077" max="14079" width="15.7109375" customWidth="1"/>
    <col min="14081" max="14083" width="19.5703125" customWidth="1"/>
    <col min="14084" max="14084" width="12.5703125" customWidth="1"/>
    <col min="14085" max="14085" width="2.7109375" customWidth="1"/>
    <col min="14086" max="14088" width="19.5703125" customWidth="1"/>
    <col min="14089" max="14089" width="12.5703125" customWidth="1"/>
    <col min="14090" max="14090" width="2.7109375" customWidth="1"/>
    <col min="14091" max="14093" width="19.5703125" customWidth="1"/>
    <col min="14094" max="14094" width="12.5703125" customWidth="1"/>
    <col min="14095" max="14095" width="12" customWidth="1"/>
    <col min="14328" max="14330" width="15.7109375" customWidth="1"/>
    <col min="14332" max="14332" width="2.7109375" customWidth="1"/>
    <col min="14333" max="14335" width="15.7109375" customWidth="1"/>
    <col min="14337" max="14339" width="19.5703125" customWidth="1"/>
    <col min="14340" max="14340" width="12.5703125" customWidth="1"/>
    <col min="14341" max="14341" width="2.7109375" customWidth="1"/>
    <col min="14342" max="14344" width="19.5703125" customWidth="1"/>
    <col min="14345" max="14345" width="12.5703125" customWidth="1"/>
    <col min="14346" max="14346" width="2.7109375" customWidth="1"/>
    <col min="14347" max="14349" width="19.5703125" customWidth="1"/>
    <col min="14350" max="14350" width="12.5703125" customWidth="1"/>
    <col min="14351" max="14351" width="12" customWidth="1"/>
    <col min="14584" max="14586" width="15.7109375" customWidth="1"/>
    <col min="14588" max="14588" width="2.7109375" customWidth="1"/>
    <col min="14589" max="14591" width="15.7109375" customWidth="1"/>
    <col min="14593" max="14595" width="19.5703125" customWidth="1"/>
    <col min="14596" max="14596" width="12.5703125" customWidth="1"/>
    <col min="14597" max="14597" width="2.7109375" customWidth="1"/>
    <col min="14598" max="14600" width="19.5703125" customWidth="1"/>
    <col min="14601" max="14601" width="12.5703125" customWidth="1"/>
    <col min="14602" max="14602" width="2.7109375" customWidth="1"/>
    <col min="14603" max="14605" width="19.5703125" customWidth="1"/>
    <col min="14606" max="14606" width="12.5703125" customWidth="1"/>
    <col min="14607" max="14607" width="12" customWidth="1"/>
    <col min="14840" max="14842" width="15.7109375" customWidth="1"/>
    <col min="14844" max="14844" width="2.7109375" customWidth="1"/>
    <col min="14845" max="14847" width="15.7109375" customWidth="1"/>
    <col min="14849" max="14851" width="19.5703125" customWidth="1"/>
    <col min="14852" max="14852" width="12.5703125" customWidth="1"/>
    <col min="14853" max="14853" width="2.7109375" customWidth="1"/>
    <col min="14854" max="14856" width="19.5703125" customWidth="1"/>
    <col min="14857" max="14857" width="12.5703125" customWidth="1"/>
    <col min="14858" max="14858" width="2.7109375" customWidth="1"/>
    <col min="14859" max="14861" width="19.5703125" customWidth="1"/>
    <col min="14862" max="14862" width="12.5703125" customWidth="1"/>
    <col min="14863" max="14863" width="12" customWidth="1"/>
    <col min="15096" max="15098" width="15.7109375" customWidth="1"/>
    <col min="15100" max="15100" width="2.7109375" customWidth="1"/>
    <col min="15101" max="15103" width="15.7109375" customWidth="1"/>
    <col min="15105" max="15107" width="19.5703125" customWidth="1"/>
    <col min="15108" max="15108" width="12.5703125" customWidth="1"/>
    <col min="15109" max="15109" width="2.7109375" customWidth="1"/>
    <col min="15110" max="15112" width="19.5703125" customWidth="1"/>
    <col min="15113" max="15113" width="12.5703125" customWidth="1"/>
    <col min="15114" max="15114" width="2.7109375" customWidth="1"/>
    <col min="15115" max="15117" width="19.5703125" customWidth="1"/>
    <col min="15118" max="15118" width="12.5703125" customWidth="1"/>
    <col min="15119" max="15119" width="12" customWidth="1"/>
    <col min="15352" max="15354" width="15.7109375" customWidth="1"/>
    <col min="15356" max="15356" width="2.7109375" customWidth="1"/>
    <col min="15357" max="15359" width="15.7109375" customWidth="1"/>
    <col min="15361" max="15363" width="19.5703125" customWidth="1"/>
    <col min="15364" max="15364" width="12.5703125" customWidth="1"/>
    <col min="15365" max="15365" width="2.7109375" customWidth="1"/>
    <col min="15366" max="15368" width="19.5703125" customWidth="1"/>
    <col min="15369" max="15369" width="12.5703125" customWidth="1"/>
    <col min="15370" max="15370" width="2.7109375" customWidth="1"/>
    <col min="15371" max="15373" width="19.5703125" customWidth="1"/>
    <col min="15374" max="15374" width="12.5703125" customWidth="1"/>
    <col min="15375" max="15375" width="12" customWidth="1"/>
    <col min="15608" max="15610" width="15.7109375" customWidth="1"/>
    <col min="15612" max="15612" width="2.7109375" customWidth="1"/>
    <col min="15613" max="15615" width="15.7109375" customWidth="1"/>
    <col min="15617" max="15619" width="19.5703125" customWidth="1"/>
    <col min="15620" max="15620" width="12.5703125" customWidth="1"/>
    <col min="15621" max="15621" width="2.7109375" customWidth="1"/>
    <col min="15622" max="15624" width="19.5703125" customWidth="1"/>
    <col min="15625" max="15625" width="12.5703125" customWidth="1"/>
    <col min="15626" max="15626" width="2.7109375" customWidth="1"/>
    <col min="15627" max="15629" width="19.5703125" customWidth="1"/>
    <col min="15630" max="15630" width="12.5703125" customWidth="1"/>
    <col min="15631" max="15631" width="12" customWidth="1"/>
    <col min="15864" max="15866" width="15.7109375" customWidth="1"/>
    <col min="15868" max="15868" width="2.7109375" customWidth="1"/>
    <col min="15869" max="15871" width="15.7109375" customWidth="1"/>
    <col min="15873" max="15875" width="19.5703125" customWidth="1"/>
    <col min="15876" max="15876" width="12.5703125" customWidth="1"/>
    <col min="15877" max="15877" width="2.7109375" customWidth="1"/>
    <col min="15878" max="15880" width="19.5703125" customWidth="1"/>
    <col min="15881" max="15881" width="12.5703125" customWidth="1"/>
    <col min="15882" max="15882" width="2.7109375" customWidth="1"/>
    <col min="15883" max="15885" width="19.5703125" customWidth="1"/>
    <col min="15886" max="15886" width="12.5703125" customWidth="1"/>
    <col min="15887" max="15887" width="12" customWidth="1"/>
    <col min="16120" max="16122" width="15.7109375" customWidth="1"/>
    <col min="16124" max="16124" width="2.7109375" customWidth="1"/>
    <col min="16125" max="16127" width="15.7109375" customWidth="1"/>
    <col min="16129" max="16131" width="19.5703125" customWidth="1"/>
    <col min="16132" max="16132" width="12.5703125" customWidth="1"/>
    <col min="16133" max="16133" width="2.7109375" customWidth="1"/>
    <col min="16134" max="16136" width="19.5703125" customWidth="1"/>
    <col min="16137" max="16137" width="12.5703125" customWidth="1"/>
    <col min="16138" max="16138" width="2.7109375" customWidth="1"/>
    <col min="16139" max="16141" width="19.5703125" customWidth="1"/>
    <col min="16142" max="16142" width="12.5703125" customWidth="1"/>
    <col min="16143" max="16143" width="12" customWidth="1"/>
    <col min="16376" max="16378" width="15.7109375" customWidth="1"/>
    <col min="16380" max="16380" width="2.7109375" customWidth="1"/>
    <col min="16381" max="16383" width="15.7109375" customWidth="1"/>
  </cols>
  <sheetData>
    <row r="1" spans="1:14" ht="34.5" x14ac:dyDescent="0.45">
      <c r="A1" s="1" t="s">
        <v>148</v>
      </c>
    </row>
    <row r="3" spans="1:14" s="78" customFormat="1" ht="18" customHeight="1" x14ac:dyDescent="0.2">
      <c r="A3" s="78" t="s">
        <v>75</v>
      </c>
      <c r="D3" s="79"/>
      <c r="E3" s="79"/>
      <c r="F3" s="78" t="s">
        <v>149</v>
      </c>
      <c r="K3" s="2"/>
      <c r="L3" s="2"/>
      <c r="M3" s="2"/>
      <c r="N3" s="2"/>
    </row>
    <row r="4" spans="1:14" s="2" customFormat="1" ht="27.75" customHeight="1" x14ac:dyDescent="0.2">
      <c r="A4" s="11" t="s">
        <v>76</v>
      </c>
      <c r="B4" s="13" t="s">
        <v>9</v>
      </c>
      <c r="C4" s="80"/>
      <c r="D4" s="80"/>
      <c r="E4" s="4"/>
      <c r="F4" s="168" t="s">
        <v>77</v>
      </c>
      <c r="G4" s="168"/>
      <c r="I4" s="80"/>
    </row>
    <row r="5" spans="1:14" s="2" customFormat="1" ht="18" customHeight="1" x14ac:dyDescent="0.25">
      <c r="A5" s="84" t="s">
        <v>1</v>
      </c>
      <c r="B5" s="85">
        <v>52</v>
      </c>
      <c r="C5" s="86"/>
      <c r="D5" s="87"/>
      <c r="E5" s="4"/>
      <c r="F5" s="169" t="s">
        <v>80</v>
      </c>
      <c r="G5" s="170"/>
      <c r="H5" s="88">
        <v>2200</v>
      </c>
      <c r="I5" s="87"/>
      <c r="K5" s="164"/>
      <c r="L5" s="7"/>
      <c r="M5" s="7"/>
      <c r="N5" s="7"/>
    </row>
    <row r="6" spans="1:14" s="2" customFormat="1" ht="18" customHeight="1" x14ac:dyDescent="0.2">
      <c r="A6" s="84" t="s">
        <v>2</v>
      </c>
      <c r="B6" s="85">
        <v>26</v>
      </c>
      <c r="C6" s="86"/>
      <c r="D6" s="87"/>
      <c r="E6" s="4"/>
      <c r="F6" s="169" t="s">
        <v>81</v>
      </c>
      <c r="G6" s="170"/>
      <c r="H6" s="88">
        <v>500</v>
      </c>
      <c r="I6" s="87"/>
    </row>
    <row r="7" spans="1:14" s="2" customFormat="1" ht="18" customHeight="1" x14ac:dyDescent="0.2">
      <c r="A7" s="84" t="s">
        <v>3</v>
      </c>
      <c r="B7" s="85">
        <v>24</v>
      </c>
      <c r="C7" s="86"/>
      <c r="D7" s="87"/>
      <c r="E7" s="4"/>
      <c r="I7" s="87"/>
    </row>
    <row r="8" spans="1:14" s="2" customFormat="1" ht="18" customHeight="1" x14ac:dyDescent="0.2">
      <c r="A8" s="84" t="s">
        <v>4</v>
      </c>
      <c r="B8" s="85">
        <v>12</v>
      </c>
      <c r="C8" s="86"/>
      <c r="E8" s="4"/>
      <c r="F8" s="78" t="s">
        <v>150</v>
      </c>
      <c r="G8" s="78"/>
      <c r="I8" s="90"/>
    </row>
    <row r="9" spans="1:14" s="2" customFormat="1" ht="18" customHeight="1" x14ac:dyDescent="0.2">
      <c r="A9" s="84" t="s">
        <v>86</v>
      </c>
      <c r="B9" s="85">
        <v>260</v>
      </c>
      <c r="C9" s="86"/>
      <c r="D9" s="91"/>
      <c r="E9" s="4"/>
      <c r="F9" s="167" t="s">
        <v>151</v>
      </c>
      <c r="G9" s="167"/>
      <c r="H9" s="87"/>
      <c r="I9" s="90"/>
    </row>
    <row r="10" spans="1:14" s="7" customFormat="1" ht="18" customHeight="1" x14ac:dyDescent="0.25">
      <c r="D10" s="8"/>
      <c r="E10" s="8"/>
      <c r="F10" s="173" t="s">
        <v>87</v>
      </c>
      <c r="G10" s="173"/>
      <c r="H10" s="104">
        <v>16100</v>
      </c>
    </row>
    <row r="11" spans="1:14" s="78" customFormat="1" ht="18" customHeight="1" x14ac:dyDescent="0.2">
      <c r="D11" s="79"/>
      <c r="E11" s="79"/>
      <c r="F11" s="173" t="s">
        <v>88</v>
      </c>
      <c r="G11" s="173"/>
      <c r="H11" s="104">
        <v>32200</v>
      </c>
    </row>
    <row r="12" spans="1:14" s="78" customFormat="1" ht="18" customHeight="1" x14ac:dyDescent="0.2">
      <c r="D12" s="79"/>
      <c r="E12" s="79"/>
      <c r="F12" s="173" t="s">
        <v>84</v>
      </c>
      <c r="G12" s="173"/>
      <c r="H12" s="104">
        <v>24150</v>
      </c>
    </row>
    <row r="13" spans="1:14" s="78" customFormat="1" ht="18" customHeight="1" x14ac:dyDescent="0.2">
      <c r="D13" s="79"/>
      <c r="E13" s="79"/>
    </row>
    <row r="14" spans="1:14" s="7" customFormat="1" ht="18" customHeight="1" x14ac:dyDescent="0.25">
      <c r="A14" s="7" t="s">
        <v>152</v>
      </c>
      <c r="D14" s="8"/>
      <c r="E14" s="8"/>
    </row>
    <row r="15" spans="1:14" s="7" customFormat="1" ht="18" customHeight="1" x14ac:dyDescent="0.25">
      <c r="A15" s="174" t="s">
        <v>90</v>
      </c>
      <c r="B15" s="174"/>
      <c r="D15" s="8"/>
      <c r="E15" s="8"/>
    </row>
    <row r="16" spans="1:14" ht="18" customHeight="1" x14ac:dyDescent="0.2">
      <c r="A16" s="95" t="s">
        <v>153</v>
      </c>
      <c r="F16" s="9"/>
    </row>
    <row r="17" spans="1:14" s="7" customFormat="1" ht="15.75" x14ac:dyDescent="0.25">
      <c r="D17" s="8"/>
      <c r="E17" s="8"/>
    </row>
    <row r="18" spans="1:14" s="7" customFormat="1" ht="21.95" customHeight="1" x14ac:dyDescent="0.25">
      <c r="A18" s="171" t="s">
        <v>94</v>
      </c>
      <c r="B18" s="171"/>
      <c r="C18" s="171"/>
      <c r="D18" s="171"/>
      <c r="E18" s="8"/>
      <c r="F18" s="171" t="s">
        <v>95</v>
      </c>
      <c r="G18" s="171"/>
      <c r="H18" s="171"/>
      <c r="I18" s="171"/>
      <c r="K18" s="171" t="s">
        <v>96</v>
      </c>
      <c r="L18" s="171"/>
      <c r="M18" s="171"/>
      <c r="N18" s="171"/>
    </row>
    <row r="19" spans="1:14" s="7" customFormat="1" ht="30" customHeight="1" x14ac:dyDescent="0.25">
      <c r="A19" s="172" t="s">
        <v>98</v>
      </c>
      <c r="B19" s="172"/>
      <c r="C19" s="172"/>
      <c r="D19" s="172"/>
      <c r="E19" s="8"/>
      <c r="F19" s="172" t="s">
        <v>99</v>
      </c>
      <c r="G19" s="172"/>
      <c r="H19" s="172"/>
      <c r="I19" s="172"/>
      <c r="K19" s="172" t="s">
        <v>100</v>
      </c>
      <c r="L19" s="172"/>
      <c r="M19" s="172"/>
      <c r="N19" s="172"/>
    </row>
    <row r="20" spans="1:14" s="2" customFormat="1" ht="18" customHeight="1" x14ac:dyDescent="0.2">
      <c r="A20" s="96" t="s">
        <v>102</v>
      </c>
      <c r="B20" s="96"/>
      <c r="C20" s="96"/>
      <c r="D20" s="97"/>
      <c r="E20" s="97"/>
      <c r="F20" s="96" t="s">
        <v>102</v>
      </c>
      <c r="G20" s="96"/>
      <c r="H20" s="96"/>
      <c r="I20" s="96"/>
      <c r="K20" s="96" t="s">
        <v>102</v>
      </c>
      <c r="L20" s="96"/>
      <c r="M20" s="96"/>
      <c r="N20" s="96"/>
    </row>
    <row r="21" spans="1:14" s="2" customFormat="1" ht="31.5" customHeight="1" x14ac:dyDescent="0.2">
      <c r="A21" s="140" t="s">
        <v>104</v>
      </c>
      <c r="B21" s="11" t="s">
        <v>105</v>
      </c>
      <c r="C21" s="11" t="s">
        <v>106</v>
      </c>
      <c r="D21" s="141" t="s">
        <v>107</v>
      </c>
      <c r="E21" s="10"/>
      <c r="F21" s="140" t="s">
        <v>104</v>
      </c>
      <c r="G21" s="11" t="s">
        <v>105</v>
      </c>
      <c r="H21" s="11" t="s">
        <v>106</v>
      </c>
      <c r="I21" s="141" t="s">
        <v>107</v>
      </c>
      <c r="K21" s="140" t="s">
        <v>104</v>
      </c>
      <c r="L21" s="11" t="s">
        <v>105</v>
      </c>
      <c r="M21" s="11" t="s">
        <v>106</v>
      </c>
      <c r="N21" s="141" t="s">
        <v>107</v>
      </c>
    </row>
    <row r="22" spans="1:14" s="2" customFormat="1" ht="18" customHeight="1" x14ac:dyDescent="0.2">
      <c r="A22" s="142">
        <v>0</v>
      </c>
      <c r="B22" s="143">
        <v>19300</v>
      </c>
      <c r="C22" s="99">
        <v>0</v>
      </c>
      <c r="D22" s="100">
        <v>0</v>
      </c>
      <c r="E22" s="101"/>
      <c r="F22" s="142">
        <v>0</v>
      </c>
      <c r="G22" s="143">
        <v>16100</v>
      </c>
      <c r="H22" s="99">
        <v>0</v>
      </c>
      <c r="I22" s="100">
        <v>0</v>
      </c>
      <c r="K22" s="142">
        <v>0</v>
      </c>
      <c r="L22" s="143">
        <f>G22*2</f>
        <v>32200</v>
      </c>
      <c r="M22" s="99">
        <v>0</v>
      </c>
      <c r="N22" s="100">
        <v>0</v>
      </c>
    </row>
    <row r="23" spans="1:14" s="2" customFormat="1" ht="18" customHeight="1" x14ac:dyDescent="0.2">
      <c r="A23" s="142">
        <f t="shared" ref="A23:A29" si="0">B22</f>
        <v>19300</v>
      </c>
      <c r="B23" s="143">
        <v>44100</v>
      </c>
      <c r="C23" s="99">
        <f t="shared" ref="C23:C29" si="1">(B22-A22)*D22+C22</f>
        <v>0</v>
      </c>
      <c r="D23" s="100">
        <v>0.1</v>
      </c>
      <c r="E23" s="101"/>
      <c r="F23" s="142">
        <f t="shared" ref="F23:F29" si="2">G22</f>
        <v>16100</v>
      </c>
      <c r="G23" s="143">
        <v>28500</v>
      </c>
      <c r="H23" s="99">
        <f>(G22-F22)*I22+H22</f>
        <v>0</v>
      </c>
      <c r="I23" s="100">
        <v>0.1</v>
      </c>
      <c r="K23" s="142">
        <f t="shared" ref="K23:K29" si="3">L22</f>
        <v>32200</v>
      </c>
      <c r="L23" s="143">
        <f t="shared" ref="L23:L29" si="4">G23*2</f>
        <v>57000</v>
      </c>
      <c r="M23" s="99">
        <f t="shared" ref="M23:M29" si="5">(L22-K22)*N22+M22</f>
        <v>0</v>
      </c>
      <c r="N23" s="100">
        <v>0.1</v>
      </c>
    </row>
    <row r="24" spans="1:14" s="2" customFormat="1" ht="18" customHeight="1" x14ac:dyDescent="0.2">
      <c r="A24" s="142">
        <f t="shared" si="0"/>
        <v>44100</v>
      </c>
      <c r="B24" s="143">
        <v>120100</v>
      </c>
      <c r="C24" s="99">
        <f t="shared" si="1"/>
        <v>2480</v>
      </c>
      <c r="D24" s="100">
        <v>0.12</v>
      </c>
      <c r="E24" s="101"/>
      <c r="F24" s="142">
        <f t="shared" si="2"/>
        <v>28500</v>
      </c>
      <c r="G24" s="143">
        <v>66500</v>
      </c>
      <c r="H24" s="99">
        <f t="shared" ref="H24:H29" si="6">(G23-F23)*I23+H23</f>
        <v>1240</v>
      </c>
      <c r="I24" s="100">
        <v>0.12</v>
      </c>
      <c r="K24" s="142">
        <f t="shared" si="3"/>
        <v>57000</v>
      </c>
      <c r="L24" s="143">
        <f t="shared" si="4"/>
        <v>133000</v>
      </c>
      <c r="M24" s="99">
        <f t="shared" si="5"/>
        <v>2480</v>
      </c>
      <c r="N24" s="100">
        <v>0.12</v>
      </c>
    </row>
    <row r="25" spans="1:14" s="2" customFormat="1" ht="18" customHeight="1" x14ac:dyDescent="0.2">
      <c r="A25" s="142">
        <f t="shared" si="0"/>
        <v>120100</v>
      </c>
      <c r="B25" s="143">
        <v>230700</v>
      </c>
      <c r="C25" s="99">
        <f t="shared" si="1"/>
        <v>11600</v>
      </c>
      <c r="D25" s="100">
        <v>0.22</v>
      </c>
      <c r="E25" s="101"/>
      <c r="F25" s="142">
        <f t="shared" si="2"/>
        <v>66500</v>
      </c>
      <c r="G25" s="143">
        <v>121800</v>
      </c>
      <c r="H25" s="99">
        <f t="shared" si="6"/>
        <v>5800</v>
      </c>
      <c r="I25" s="100">
        <v>0.22</v>
      </c>
      <c r="K25" s="142">
        <f t="shared" si="3"/>
        <v>133000</v>
      </c>
      <c r="L25" s="143">
        <f t="shared" si="4"/>
        <v>243600</v>
      </c>
      <c r="M25" s="99">
        <f t="shared" si="5"/>
        <v>11600</v>
      </c>
      <c r="N25" s="100">
        <v>0.22</v>
      </c>
    </row>
    <row r="26" spans="1:14" s="2" customFormat="1" ht="18" customHeight="1" x14ac:dyDescent="0.2">
      <c r="A26" s="142">
        <f t="shared" si="0"/>
        <v>230700</v>
      </c>
      <c r="B26" s="143">
        <v>422850</v>
      </c>
      <c r="C26" s="99">
        <f t="shared" si="1"/>
        <v>35932</v>
      </c>
      <c r="D26" s="100">
        <v>0.24</v>
      </c>
      <c r="E26" s="101"/>
      <c r="F26" s="142">
        <f t="shared" si="2"/>
        <v>121800</v>
      </c>
      <c r="G26" s="143">
        <v>217875</v>
      </c>
      <c r="H26" s="99">
        <f t="shared" si="6"/>
        <v>17966</v>
      </c>
      <c r="I26" s="100">
        <v>0.24</v>
      </c>
      <c r="K26" s="142">
        <f t="shared" si="3"/>
        <v>243600</v>
      </c>
      <c r="L26" s="143">
        <f t="shared" si="4"/>
        <v>435750</v>
      </c>
      <c r="M26" s="99">
        <f t="shared" si="5"/>
        <v>35932</v>
      </c>
      <c r="N26" s="100">
        <v>0.24</v>
      </c>
    </row>
    <row r="27" spans="1:14" s="2" customFormat="1" ht="18" customHeight="1" x14ac:dyDescent="0.2">
      <c r="A27" s="142">
        <f t="shared" si="0"/>
        <v>422850</v>
      </c>
      <c r="B27" s="143">
        <v>531750</v>
      </c>
      <c r="C27" s="99">
        <f t="shared" si="1"/>
        <v>82048</v>
      </c>
      <c r="D27" s="100">
        <v>0.32</v>
      </c>
      <c r="E27" s="101"/>
      <c r="F27" s="142">
        <f t="shared" si="2"/>
        <v>217875</v>
      </c>
      <c r="G27" s="143">
        <v>272325</v>
      </c>
      <c r="H27" s="99">
        <f t="shared" si="6"/>
        <v>41024</v>
      </c>
      <c r="I27" s="100">
        <v>0.32</v>
      </c>
      <c r="K27" s="142">
        <f t="shared" si="3"/>
        <v>435750</v>
      </c>
      <c r="L27" s="143">
        <f t="shared" si="4"/>
        <v>544650</v>
      </c>
      <c r="M27" s="99">
        <f t="shared" si="5"/>
        <v>82048</v>
      </c>
      <c r="N27" s="100">
        <v>0.32</v>
      </c>
    </row>
    <row r="28" spans="1:14" s="2" customFormat="1" ht="18" customHeight="1" x14ac:dyDescent="0.2">
      <c r="A28" s="142">
        <f t="shared" si="0"/>
        <v>531750</v>
      </c>
      <c r="B28" s="143">
        <v>788000</v>
      </c>
      <c r="C28" s="99">
        <f t="shared" si="1"/>
        <v>116896</v>
      </c>
      <c r="D28" s="100">
        <v>0.35</v>
      </c>
      <c r="E28" s="101"/>
      <c r="F28" s="142">
        <f t="shared" si="2"/>
        <v>272325</v>
      </c>
      <c r="G28" s="143">
        <v>400450</v>
      </c>
      <c r="H28" s="99">
        <f t="shared" si="6"/>
        <v>58448</v>
      </c>
      <c r="I28" s="100">
        <v>0.35</v>
      </c>
      <c r="K28" s="142">
        <f t="shared" si="3"/>
        <v>544650</v>
      </c>
      <c r="L28" s="143">
        <f t="shared" si="4"/>
        <v>800900</v>
      </c>
      <c r="M28" s="99">
        <f t="shared" si="5"/>
        <v>116896</v>
      </c>
      <c r="N28" s="100">
        <v>0.35</v>
      </c>
    </row>
    <row r="29" spans="1:14" s="2" customFormat="1" ht="18" customHeight="1" x14ac:dyDescent="0.2">
      <c r="A29" s="142">
        <f t="shared" si="0"/>
        <v>788000</v>
      </c>
      <c r="B29" s="143">
        <v>0</v>
      </c>
      <c r="C29" s="99">
        <f t="shared" si="1"/>
        <v>206583.5</v>
      </c>
      <c r="D29" s="100">
        <v>0.37</v>
      </c>
      <c r="E29" s="101"/>
      <c r="F29" s="142">
        <f t="shared" si="2"/>
        <v>400450</v>
      </c>
      <c r="G29" s="143">
        <v>0</v>
      </c>
      <c r="H29" s="99">
        <f t="shared" si="6"/>
        <v>103291.75</v>
      </c>
      <c r="I29" s="100">
        <v>0.37</v>
      </c>
      <c r="K29" s="142">
        <f t="shared" si="3"/>
        <v>800900</v>
      </c>
      <c r="L29" s="143">
        <f t="shared" si="4"/>
        <v>0</v>
      </c>
      <c r="M29" s="99">
        <f t="shared" si="5"/>
        <v>206583.5</v>
      </c>
      <c r="N29" s="100">
        <v>0.37</v>
      </c>
    </row>
    <row r="30" spans="1:14" s="7" customFormat="1" ht="15.75" x14ac:dyDescent="0.25">
      <c r="D30" s="8"/>
      <c r="E30" s="8"/>
    </row>
    <row r="31" spans="1:14" s="2" customFormat="1" ht="18" customHeight="1" x14ac:dyDescent="0.2">
      <c r="A31" s="96" t="s">
        <v>112</v>
      </c>
      <c r="B31" s="96"/>
      <c r="C31" s="96"/>
      <c r="D31" s="97"/>
      <c r="E31" s="97"/>
      <c r="F31" s="96" t="s">
        <v>112</v>
      </c>
      <c r="G31" s="96"/>
      <c r="H31" s="96"/>
      <c r="I31" s="96"/>
      <c r="K31" s="96" t="s">
        <v>112</v>
      </c>
      <c r="L31" s="96"/>
      <c r="M31" s="96"/>
      <c r="N31" s="96"/>
    </row>
    <row r="32" spans="1:14" s="2" customFormat="1" ht="31.5" customHeight="1" x14ac:dyDescent="0.2">
      <c r="A32" s="140" t="s">
        <v>104</v>
      </c>
      <c r="B32" s="11" t="s">
        <v>105</v>
      </c>
      <c r="C32" s="11" t="s">
        <v>106</v>
      </c>
      <c r="D32" s="141" t="s">
        <v>107</v>
      </c>
      <c r="E32" s="10"/>
      <c r="F32" s="140" t="s">
        <v>104</v>
      </c>
      <c r="G32" s="11" t="s">
        <v>105</v>
      </c>
      <c r="H32" s="11" t="s">
        <v>106</v>
      </c>
      <c r="I32" s="141" t="s">
        <v>107</v>
      </c>
      <c r="K32" s="140" t="s">
        <v>104</v>
      </c>
      <c r="L32" s="11" t="s">
        <v>105</v>
      </c>
      <c r="M32" s="11" t="s">
        <v>106</v>
      </c>
      <c r="N32" s="141" t="s">
        <v>107</v>
      </c>
    </row>
    <row r="33" spans="1:14" s="2" customFormat="1" ht="18" customHeight="1" x14ac:dyDescent="0.2">
      <c r="A33" s="142">
        <v>0</v>
      </c>
      <c r="B33" s="143">
        <v>7500</v>
      </c>
      <c r="C33" s="99">
        <v>0</v>
      </c>
      <c r="D33" s="100">
        <v>0</v>
      </c>
      <c r="E33" s="101"/>
      <c r="F33" s="142">
        <v>0</v>
      </c>
      <c r="G33" s="143">
        <v>8050</v>
      </c>
      <c r="H33" s="99">
        <v>0</v>
      </c>
      <c r="I33" s="100">
        <v>0</v>
      </c>
      <c r="K33" s="142">
        <v>0</v>
      </c>
      <c r="L33" s="143">
        <f>G33*2</f>
        <v>16100</v>
      </c>
      <c r="M33" s="99">
        <v>0</v>
      </c>
      <c r="N33" s="100">
        <v>0</v>
      </c>
    </row>
    <row r="34" spans="1:14" s="2" customFormat="1" ht="18" customHeight="1" x14ac:dyDescent="0.2">
      <c r="A34" s="142">
        <f t="shared" ref="A34:A40" si="7">B33</f>
        <v>7500</v>
      </c>
      <c r="B34" s="143">
        <v>19900</v>
      </c>
      <c r="C34" s="99">
        <f>(B33-A33)*D33+C33</f>
        <v>0</v>
      </c>
      <c r="D34" s="100">
        <v>0.1</v>
      </c>
      <c r="E34" s="101"/>
      <c r="F34" s="142">
        <f t="shared" ref="F34:F40" si="8">G33</f>
        <v>8050</v>
      </c>
      <c r="G34" s="143">
        <v>14250</v>
      </c>
      <c r="H34" s="99">
        <f t="shared" ref="H34:H40" si="9">(G33-F33)*I33+H33</f>
        <v>0</v>
      </c>
      <c r="I34" s="100">
        <v>0.1</v>
      </c>
      <c r="K34" s="142">
        <f t="shared" ref="K34:K40" si="10">L33</f>
        <v>16100</v>
      </c>
      <c r="L34" s="143">
        <f t="shared" ref="L34:L40" si="11">G34*2</f>
        <v>28500</v>
      </c>
      <c r="M34" s="99">
        <f t="shared" ref="M34:M40" si="12">(L33-K33)*N33+M33</f>
        <v>0</v>
      </c>
      <c r="N34" s="100">
        <v>0.1</v>
      </c>
    </row>
    <row r="35" spans="1:14" s="2" customFormat="1" ht="18" customHeight="1" x14ac:dyDescent="0.2">
      <c r="A35" s="142">
        <f t="shared" si="7"/>
        <v>19900</v>
      </c>
      <c r="B35" s="143">
        <v>57900</v>
      </c>
      <c r="C35" s="99">
        <f t="shared" ref="C35:C40" si="13">(B34-A34)*D34+C34</f>
        <v>1240</v>
      </c>
      <c r="D35" s="100">
        <v>0.12</v>
      </c>
      <c r="E35" s="101"/>
      <c r="F35" s="142">
        <f t="shared" si="8"/>
        <v>14250</v>
      </c>
      <c r="G35" s="143">
        <v>33250</v>
      </c>
      <c r="H35" s="99">
        <f t="shared" si="9"/>
        <v>620</v>
      </c>
      <c r="I35" s="100">
        <v>0.12</v>
      </c>
      <c r="K35" s="142">
        <f t="shared" si="10"/>
        <v>28500</v>
      </c>
      <c r="L35" s="143">
        <f t="shared" si="11"/>
        <v>66500</v>
      </c>
      <c r="M35" s="99">
        <f t="shared" si="12"/>
        <v>1240</v>
      </c>
      <c r="N35" s="100">
        <v>0.12</v>
      </c>
    </row>
    <row r="36" spans="1:14" s="2" customFormat="1" ht="18" customHeight="1" x14ac:dyDescent="0.2">
      <c r="A36" s="142">
        <f t="shared" si="7"/>
        <v>57900</v>
      </c>
      <c r="B36" s="143">
        <v>113200</v>
      </c>
      <c r="C36" s="99">
        <f t="shared" si="13"/>
        <v>5800</v>
      </c>
      <c r="D36" s="100">
        <v>0.22</v>
      </c>
      <c r="E36" s="101"/>
      <c r="F36" s="142">
        <f t="shared" si="8"/>
        <v>33250</v>
      </c>
      <c r="G36" s="143">
        <v>60900</v>
      </c>
      <c r="H36" s="99">
        <f t="shared" si="9"/>
        <v>2900</v>
      </c>
      <c r="I36" s="100">
        <v>0.22</v>
      </c>
      <c r="K36" s="142">
        <f t="shared" si="10"/>
        <v>66500</v>
      </c>
      <c r="L36" s="143">
        <f t="shared" si="11"/>
        <v>121800</v>
      </c>
      <c r="M36" s="99">
        <f t="shared" si="12"/>
        <v>5800</v>
      </c>
      <c r="N36" s="100">
        <v>0.22</v>
      </c>
    </row>
    <row r="37" spans="1:14" s="2" customFormat="1" ht="18" customHeight="1" x14ac:dyDescent="0.2">
      <c r="A37" s="142">
        <f t="shared" si="7"/>
        <v>113200</v>
      </c>
      <c r="B37" s="143">
        <v>209275</v>
      </c>
      <c r="C37" s="99">
        <f t="shared" si="13"/>
        <v>17966</v>
      </c>
      <c r="D37" s="100">
        <v>0.24</v>
      </c>
      <c r="E37" s="101"/>
      <c r="F37" s="142">
        <f t="shared" si="8"/>
        <v>60900</v>
      </c>
      <c r="G37" s="143">
        <v>108938</v>
      </c>
      <c r="H37" s="99">
        <f t="shared" si="9"/>
        <v>8983</v>
      </c>
      <c r="I37" s="100">
        <v>0.24</v>
      </c>
      <c r="K37" s="142">
        <f t="shared" si="10"/>
        <v>121800</v>
      </c>
      <c r="L37" s="143">
        <f t="shared" si="11"/>
        <v>217876</v>
      </c>
      <c r="M37" s="99">
        <f t="shared" si="12"/>
        <v>17966</v>
      </c>
      <c r="N37" s="100">
        <v>0.24</v>
      </c>
    </row>
    <row r="38" spans="1:14" s="2" customFormat="1" ht="18" customHeight="1" x14ac:dyDescent="0.2">
      <c r="A38" s="142">
        <f t="shared" si="7"/>
        <v>209275</v>
      </c>
      <c r="B38" s="143">
        <v>263725</v>
      </c>
      <c r="C38" s="99">
        <f t="shared" si="13"/>
        <v>41024</v>
      </c>
      <c r="D38" s="100">
        <v>0.32</v>
      </c>
      <c r="E38" s="101"/>
      <c r="F38" s="142">
        <f t="shared" si="8"/>
        <v>108938</v>
      </c>
      <c r="G38" s="143">
        <v>136163</v>
      </c>
      <c r="H38" s="99">
        <f t="shared" si="9"/>
        <v>20512.12</v>
      </c>
      <c r="I38" s="100">
        <v>0.32</v>
      </c>
      <c r="K38" s="142">
        <f t="shared" si="10"/>
        <v>217876</v>
      </c>
      <c r="L38" s="143">
        <f t="shared" si="11"/>
        <v>272326</v>
      </c>
      <c r="M38" s="99">
        <f t="shared" si="12"/>
        <v>41024.239999999998</v>
      </c>
      <c r="N38" s="100">
        <v>0.32</v>
      </c>
    </row>
    <row r="39" spans="1:14" s="2" customFormat="1" ht="18" customHeight="1" x14ac:dyDescent="0.2">
      <c r="A39" s="142">
        <f t="shared" si="7"/>
        <v>263725</v>
      </c>
      <c r="B39" s="143">
        <v>648100</v>
      </c>
      <c r="C39" s="99">
        <f t="shared" si="13"/>
        <v>58448</v>
      </c>
      <c r="D39" s="100">
        <v>0.35</v>
      </c>
      <c r="E39" s="101"/>
      <c r="F39" s="142">
        <f t="shared" si="8"/>
        <v>136163</v>
      </c>
      <c r="G39" s="143">
        <v>328350</v>
      </c>
      <c r="H39" s="99">
        <f t="shared" si="9"/>
        <v>29224.12</v>
      </c>
      <c r="I39" s="100">
        <v>0.35</v>
      </c>
      <c r="K39" s="142">
        <f t="shared" si="10"/>
        <v>272326</v>
      </c>
      <c r="L39" s="143">
        <f t="shared" si="11"/>
        <v>656700</v>
      </c>
      <c r="M39" s="99">
        <f t="shared" si="12"/>
        <v>58448.24</v>
      </c>
      <c r="N39" s="100">
        <v>0.35</v>
      </c>
    </row>
    <row r="40" spans="1:14" s="2" customFormat="1" ht="18" customHeight="1" x14ac:dyDescent="0.2">
      <c r="A40" s="142">
        <f t="shared" si="7"/>
        <v>648100</v>
      </c>
      <c r="B40" s="143">
        <v>0</v>
      </c>
      <c r="C40" s="99">
        <f t="shared" si="13"/>
        <v>192979.25</v>
      </c>
      <c r="D40" s="100">
        <v>0.37</v>
      </c>
      <c r="E40" s="101"/>
      <c r="F40" s="142">
        <f t="shared" si="8"/>
        <v>328350</v>
      </c>
      <c r="G40" s="143">
        <v>0</v>
      </c>
      <c r="H40" s="99">
        <f t="shared" si="9"/>
        <v>96489.569999999992</v>
      </c>
      <c r="I40" s="100">
        <v>0.37</v>
      </c>
      <c r="K40" s="142">
        <f t="shared" si="10"/>
        <v>656700</v>
      </c>
      <c r="L40" s="143">
        <f t="shared" si="11"/>
        <v>0</v>
      </c>
      <c r="M40" s="99">
        <f t="shared" si="12"/>
        <v>192979.13999999998</v>
      </c>
      <c r="N40" s="100">
        <v>0.37</v>
      </c>
    </row>
    <row r="41" spans="1:14" s="7" customFormat="1" ht="15.75" x14ac:dyDescent="0.25">
      <c r="D41" s="8"/>
      <c r="E41" s="8"/>
    </row>
    <row r="42" spans="1:14" s="2" customFormat="1" ht="18" customHeight="1" x14ac:dyDescent="0.2">
      <c r="A42" s="96" t="s">
        <v>113</v>
      </c>
      <c r="B42" s="96"/>
      <c r="C42" s="96"/>
      <c r="D42" s="97"/>
      <c r="E42" s="97"/>
      <c r="F42" s="96" t="s">
        <v>113</v>
      </c>
      <c r="G42" s="96"/>
      <c r="H42" s="96"/>
      <c r="I42" s="96"/>
      <c r="K42" s="96" t="s">
        <v>113</v>
      </c>
      <c r="L42" s="96"/>
      <c r="M42" s="96"/>
      <c r="N42" s="96"/>
    </row>
    <row r="43" spans="1:14" s="2" customFormat="1" ht="31.5" customHeight="1" x14ac:dyDescent="0.2">
      <c r="A43" s="140" t="s">
        <v>104</v>
      </c>
      <c r="B43" s="11" t="s">
        <v>105</v>
      </c>
      <c r="C43" s="11" t="s">
        <v>106</v>
      </c>
      <c r="D43" s="141" t="s">
        <v>107</v>
      </c>
      <c r="E43" s="10"/>
      <c r="F43" s="140" t="s">
        <v>104</v>
      </c>
      <c r="G43" s="11" t="s">
        <v>105</v>
      </c>
      <c r="H43" s="11" t="s">
        <v>106</v>
      </c>
      <c r="I43" s="141" t="s">
        <v>107</v>
      </c>
      <c r="K43" s="140" t="s">
        <v>104</v>
      </c>
      <c r="L43" s="11" t="s">
        <v>105</v>
      </c>
      <c r="M43" s="11" t="s">
        <v>106</v>
      </c>
      <c r="N43" s="141" t="s">
        <v>107</v>
      </c>
    </row>
    <row r="44" spans="1:14" s="2" customFormat="1" ht="18" customHeight="1" x14ac:dyDescent="0.2">
      <c r="A44" s="142">
        <v>0</v>
      </c>
      <c r="B44" s="143">
        <v>15550</v>
      </c>
      <c r="C44" s="99">
        <v>0</v>
      </c>
      <c r="D44" s="100">
        <v>0</v>
      </c>
      <c r="E44" s="101"/>
      <c r="F44" s="142">
        <v>0</v>
      </c>
      <c r="G44" s="143">
        <v>12075</v>
      </c>
      <c r="H44" s="99">
        <v>0</v>
      </c>
      <c r="I44" s="100">
        <v>0</v>
      </c>
      <c r="K44" s="142">
        <v>0</v>
      </c>
      <c r="L44" s="143">
        <f>G44*2</f>
        <v>24150</v>
      </c>
      <c r="M44" s="99">
        <v>0</v>
      </c>
      <c r="N44" s="100">
        <v>0</v>
      </c>
    </row>
    <row r="45" spans="1:14" s="2" customFormat="1" ht="18" customHeight="1" x14ac:dyDescent="0.2">
      <c r="A45" s="142">
        <f t="shared" ref="A45:A51" si="14">B44</f>
        <v>15550</v>
      </c>
      <c r="B45" s="143">
        <v>33250</v>
      </c>
      <c r="C45" s="99">
        <f>(B44-A44)*D44+C44</f>
        <v>0</v>
      </c>
      <c r="D45" s="100">
        <v>0.1</v>
      </c>
      <c r="E45" s="101"/>
      <c r="F45" s="142">
        <f t="shared" ref="F45:F51" si="15">G44</f>
        <v>12075</v>
      </c>
      <c r="G45" s="143">
        <v>20925</v>
      </c>
      <c r="H45" s="99">
        <f>(G44-F44)*I44+H44</f>
        <v>0</v>
      </c>
      <c r="I45" s="100">
        <v>0.1</v>
      </c>
      <c r="K45" s="142">
        <f t="shared" ref="K45:K51" si="16">L44</f>
        <v>24150</v>
      </c>
      <c r="L45" s="143">
        <f t="shared" ref="L45:L51" si="17">G45*2</f>
        <v>41850</v>
      </c>
      <c r="M45" s="99">
        <f>(L44-K44)*N44+M44</f>
        <v>0</v>
      </c>
      <c r="N45" s="100">
        <v>0.1</v>
      </c>
    </row>
    <row r="46" spans="1:14" s="2" customFormat="1" ht="18" customHeight="1" x14ac:dyDescent="0.2">
      <c r="A46" s="142">
        <f t="shared" si="14"/>
        <v>33250</v>
      </c>
      <c r="B46" s="143">
        <v>83000</v>
      </c>
      <c r="C46" s="99">
        <f t="shared" ref="C46:C51" si="18">(B45-A45)*D45+C45</f>
        <v>1770</v>
      </c>
      <c r="D46" s="100">
        <v>0.12</v>
      </c>
      <c r="E46" s="101"/>
      <c r="F46" s="142">
        <f t="shared" si="15"/>
        <v>20925</v>
      </c>
      <c r="G46" s="143">
        <v>45800</v>
      </c>
      <c r="H46" s="99">
        <f t="shared" ref="H46:H51" si="19">(G45-F45)*I45+H45</f>
        <v>885</v>
      </c>
      <c r="I46" s="100">
        <v>0.12</v>
      </c>
      <c r="K46" s="142">
        <f t="shared" si="16"/>
        <v>41850</v>
      </c>
      <c r="L46" s="143">
        <f t="shared" si="17"/>
        <v>91600</v>
      </c>
      <c r="M46" s="99">
        <f t="shared" ref="M46:M51" si="20">(L45-K45)*N45+M45</f>
        <v>1770</v>
      </c>
      <c r="N46" s="100">
        <v>0.12</v>
      </c>
    </row>
    <row r="47" spans="1:14" s="2" customFormat="1" ht="18" customHeight="1" x14ac:dyDescent="0.2">
      <c r="A47" s="142">
        <f t="shared" si="14"/>
        <v>83000</v>
      </c>
      <c r="B47" s="143">
        <v>121250</v>
      </c>
      <c r="C47" s="99">
        <f t="shared" si="18"/>
        <v>7740</v>
      </c>
      <c r="D47" s="100">
        <v>0.22</v>
      </c>
      <c r="E47" s="101"/>
      <c r="F47" s="142">
        <f t="shared" si="15"/>
        <v>45800</v>
      </c>
      <c r="G47" s="143">
        <v>64925</v>
      </c>
      <c r="H47" s="99">
        <f t="shared" si="19"/>
        <v>3870</v>
      </c>
      <c r="I47" s="100">
        <v>0.22</v>
      </c>
      <c r="K47" s="142">
        <f t="shared" si="16"/>
        <v>91600</v>
      </c>
      <c r="L47" s="143">
        <f t="shared" si="17"/>
        <v>129850</v>
      </c>
      <c r="M47" s="99">
        <f t="shared" si="20"/>
        <v>7740</v>
      </c>
      <c r="N47" s="100">
        <v>0.22</v>
      </c>
    </row>
    <row r="48" spans="1:14" s="2" customFormat="1" ht="18" customHeight="1" x14ac:dyDescent="0.2">
      <c r="A48" s="142">
        <f t="shared" si="14"/>
        <v>121250</v>
      </c>
      <c r="B48" s="143">
        <v>217300</v>
      </c>
      <c r="C48" s="99">
        <f t="shared" si="18"/>
        <v>16155</v>
      </c>
      <c r="D48" s="100">
        <v>0.24</v>
      </c>
      <c r="E48" s="101"/>
      <c r="F48" s="142">
        <f t="shared" si="15"/>
        <v>64925</v>
      </c>
      <c r="G48" s="143">
        <v>112950</v>
      </c>
      <c r="H48" s="99">
        <f t="shared" si="19"/>
        <v>8077.5</v>
      </c>
      <c r="I48" s="100">
        <v>0.24</v>
      </c>
      <c r="K48" s="142">
        <f t="shared" si="16"/>
        <v>129850</v>
      </c>
      <c r="L48" s="143">
        <f t="shared" si="17"/>
        <v>225900</v>
      </c>
      <c r="M48" s="99">
        <f t="shared" si="20"/>
        <v>16155</v>
      </c>
      <c r="N48" s="100">
        <v>0.24</v>
      </c>
    </row>
    <row r="49" spans="1:14" s="2" customFormat="1" ht="18" customHeight="1" x14ac:dyDescent="0.2">
      <c r="A49" s="142">
        <f t="shared" si="14"/>
        <v>217300</v>
      </c>
      <c r="B49" s="143">
        <v>271750</v>
      </c>
      <c r="C49" s="99">
        <f t="shared" si="18"/>
        <v>39207</v>
      </c>
      <c r="D49" s="100">
        <v>0.32</v>
      </c>
      <c r="E49" s="101"/>
      <c r="F49" s="142">
        <f t="shared" si="15"/>
        <v>112950</v>
      </c>
      <c r="G49" s="143">
        <v>140175</v>
      </c>
      <c r="H49" s="99">
        <f t="shared" si="19"/>
        <v>19603.5</v>
      </c>
      <c r="I49" s="100">
        <v>0.32</v>
      </c>
      <c r="K49" s="142">
        <f t="shared" si="16"/>
        <v>225900</v>
      </c>
      <c r="L49" s="143">
        <f t="shared" si="17"/>
        <v>280350</v>
      </c>
      <c r="M49" s="99">
        <f t="shared" si="20"/>
        <v>39207</v>
      </c>
      <c r="N49" s="100">
        <v>0.32</v>
      </c>
    </row>
    <row r="50" spans="1:14" s="2" customFormat="1" ht="18" customHeight="1" x14ac:dyDescent="0.2">
      <c r="A50" s="142">
        <f t="shared" si="14"/>
        <v>271750</v>
      </c>
      <c r="B50" s="143">
        <v>656150</v>
      </c>
      <c r="C50" s="99">
        <f t="shared" si="18"/>
        <v>56631</v>
      </c>
      <c r="D50" s="100">
        <v>0.35</v>
      </c>
      <c r="E50" s="101"/>
      <c r="F50" s="142">
        <f t="shared" si="15"/>
        <v>140175</v>
      </c>
      <c r="G50" s="143">
        <v>332375</v>
      </c>
      <c r="H50" s="99">
        <f t="shared" si="19"/>
        <v>28315.5</v>
      </c>
      <c r="I50" s="100">
        <v>0.35</v>
      </c>
      <c r="K50" s="142">
        <f t="shared" si="16"/>
        <v>280350</v>
      </c>
      <c r="L50" s="143">
        <f t="shared" si="17"/>
        <v>664750</v>
      </c>
      <c r="M50" s="99">
        <f t="shared" si="20"/>
        <v>56631</v>
      </c>
      <c r="N50" s="100">
        <v>0.35</v>
      </c>
    </row>
    <row r="51" spans="1:14" s="2" customFormat="1" ht="18" customHeight="1" x14ac:dyDescent="0.2">
      <c r="A51" s="142">
        <f t="shared" si="14"/>
        <v>656150</v>
      </c>
      <c r="B51" s="143">
        <v>0</v>
      </c>
      <c r="C51" s="99">
        <f t="shared" si="18"/>
        <v>191171</v>
      </c>
      <c r="D51" s="100">
        <v>0.37</v>
      </c>
      <c r="E51" s="101"/>
      <c r="F51" s="142">
        <f t="shared" si="15"/>
        <v>332375</v>
      </c>
      <c r="G51" s="143">
        <v>0</v>
      </c>
      <c r="H51" s="99">
        <f t="shared" si="19"/>
        <v>95585.5</v>
      </c>
      <c r="I51" s="100">
        <v>0.37</v>
      </c>
      <c r="K51" s="142">
        <f t="shared" si="16"/>
        <v>664750</v>
      </c>
      <c r="L51" s="143">
        <f t="shared" si="17"/>
        <v>0</v>
      </c>
      <c r="M51" s="99">
        <f t="shared" si="20"/>
        <v>191171</v>
      </c>
      <c r="N51" s="100">
        <v>0.37</v>
      </c>
    </row>
    <row r="53" spans="1:14" ht="18" customHeight="1" x14ac:dyDescent="0.25">
      <c r="A53" s="7" t="s">
        <v>114</v>
      </c>
      <c r="B53" s="7"/>
      <c r="C53" s="7"/>
      <c r="D53" s="8"/>
    </row>
    <row r="54" spans="1:14" ht="18" customHeight="1" x14ac:dyDescent="0.25">
      <c r="A54" s="7" t="s">
        <v>115</v>
      </c>
      <c r="B54" s="7"/>
      <c r="C54" s="7"/>
      <c r="D54" s="8"/>
    </row>
    <row r="55" spans="1:14" ht="31.5" customHeight="1" x14ac:dyDescent="0.2">
      <c r="A55" s="11" t="s">
        <v>8</v>
      </c>
      <c r="B55" s="13" t="s">
        <v>10</v>
      </c>
      <c r="C55" s="13" t="s">
        <v>9</v>
      </c>
      <c r="D55" s="103"/>
    </row>
    <row r="56" spans="1:14" ht="18" customHeight="1" x14ac:dyDescent="0.2">
      <c r="A56" s="84" t="s">
        <v>86</v>
      </c>
      <c r="B56" s="99">
        <f t="shared" ref="B56:B61" si="21">$B$63/C56</f>
        <v>16.53846153846154</v>
      </c>
      <c r="C56" s="85">
        <v>260</v>
      </c>
      <c r="D56" s="2"/>
    </row>
    <row r="57" spans="1:14" ht="18" customHeight="1" x14ac:dyDescent="0.2">
      <c r="A57" s="84" t="s">
        <v>1</v>
      </c>
      <c r="B57" s="99">
        <f t="shared" si="21"/>
        <v>82.692307692307693</v>
      </c>
      <c r="C57" s="85">
        <v>52</v>
      </c>
      <c r="D57" s="2"/>
    </row>
    <row r="58" spans="1:14" ht="18" customHeight="1" x14ac:dyDescent="0.2">
      <c r="A58" s="84" t="s">
        <v>2</v>
      </c>
      <c r="B58" s="99">
        <f t="shared" si="21"/>
        <v>165.38461538461539</v>
      </c>
      <c r="C58" s="85">
        <v>26</v>
      </c>
      <c r="D58" s="2"/>
    </row>
    <row r="59" spans="1:14" ht="18" customHeight="1" x14ac:dyDescent="0.2">
      <c r="A59" s="84" t="s">
        <v>3</v>
      </c>
      <c r="B59" s="99">
        <f t="shared" si="21"/>
        <v>179.16666666666666</v>
      </c>
      <c r="C59" s="85">
        <v>24</v>
      </c>
      <c r="D59" s="2"/>
    </row>
    <row r="60" spans="1:14" ht="18" customHeight="1" x14ac:dyDescent="0.2">
      <c r="A60" s="84" t="s">
        <v>4</v>
      </c>
      <c r="B60" s="99">
        <f t="shared" si="21"/>
        <v>358.33333333333331</v>
      </c>
      <c r="C60" s="85">
        <v>12</v>
      </c>
      <c r="D60" s="2"/>
    </row>
    <row r="61" spans="1:14" ht="18" customHeight="1" x14ac:dyDescent="0.2">
      <c r="A61" s="84" t="s">
        <v>5</v>
      </c>
      <c r="B61" s="99">
        <f t="shared" si="21"/>
        <v>1075</v>
      </c>
      <c r="C61" s="85">
        <v>4</v>
      </c>
      <c r="D61" s="2"/>
    </row>
    <row r="62" spans="1:14" ht="18" customHeight="1" x14ac:dyDescent="0.2">
      <c r="A62" s="84" t="s">
        <v>6</v>
      </c>
      <c r="B62" s="99">
        <f>$B$63/C62</f>
        <v>2150</v>
      </c>
      <c r="C62" s="85">
        <v>2</v>
      </c>
      <c r="D62" s="2"/>
    </row>
    <row r="63" spans="1:14" ht="18" customHeight="1" x14ac:dyDescent="0.2">
      <c r="A63" s="84" t="s">
        <v>7</v>
      </c>
      <c r="B63" s="104">
        <v>4300</v>
      </c>
      <c r="C63" s="85">
        <v>1</v>
      </c>
      <c r="D63" s="18" t="s">
        <v>154</v>
      </c>
    </row>
  </sheetData>
  <mergeCells count="14">
    <mergeCell ref="A19:D19"/>
    <mergeCell ref="F19:I19"/>
    <mergeCell ref="K19:N19"/>
    <mergeCell ref="F10:G10"/>
    <mergeCell ref="F11:G11"/>
    <mergeCell ref="F12:G12"/>
    <mergeCell ref="A15:B15"/>
    <mergeCell ref="A18:D18"/>
    <mergeCell ref="F18:I18"/>
    <mergeCell ref="F9:G9"/>
    <mergeCell ref="F4:G4"/>
    <mergeCell ref="F5:G5"/>
    <mergeCell ref="F6:G6"/>
    <mergeCell ref="K18:N18"/>
  </mergeCells>
  <hyperlinks>
    <hyperlink ref="F9" r:id="rId1" display="Source: irs.gov/pub/irs-pdf/fw4.pdf" xr:uid="{10569FC0-3406-424C-A40C-63C2C917E237}"/>
    <hyperlink ref="A15:B15" r:id="rId2" display="Source: irs.gov/pub/irs-pdf/p15t.pdf" xr:uid="{08684EDA-17FD-416A-A5D1-0981DC140997}"/>
    <hyperlink ref="F4" r:id="rId3" display="Source: irs.gov/pub/irs-pdf/fw4.pdf" xr:uid="{C20EA106-4F48-4788-9DA1-D9B252C3B3D0}"/>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5"/>
  <sheetViews>
    <sheetView showGridLines="0" workbookViewId="0">
      <selection activeCell="K15" sqref="K15"/>
    </sheetView>
  </sheetViews>
  <sheetFormatPr defaultRowHeight="12.75" x14ac:dyDescent="0.2"/>
  <cols>
    <col min="1" max="2" width="15.7109375" customWidth="1"/>
    <col min="3" max="3" width="12.7109375" style="3" customWidth="1"/>
    <col min="4" max="4" width="15.7109375" customWidth="1"/>
    <col min="5" max="5" width="2.7109375" style="3" customWidth="1"/>
    <col min="6" max="6" width="15.7109375" customWidth="1"/>
    <col min="7" max="7" width="15.5703125" customWidth="1"/>
    <col min="8" max="18" width="11.42578125" customWidth="1"/>
  </cols>
  <sheetData>
    <row r="1" spans="1:13" ht="34.5" x14ac:dyDescent="0.45">
      <c r="A1" s="157" t="s">
        <v>158</v>
      </c>
    </row>
    <row r="3" spans="1:13" s="7" customFormat="1" ht="18" customHeight="1" x14ac:dyDescent="0.25">
      <c r="A3" s="7" t="s">
        <v>120</v>
      </c>
      <c r="E3" s="8"/>
      <c r="F3" s="8"/>
    </row>
    <row r="4" spans="1:13" s="2" customFormat="1" ht="31.5" customHeight="1" x14ac:dyDescent="0.2">
      <c r="A4" s="145" t="s">
        <v>8</v>
      </c>
      <c r="B4" s="146" t="s">
        <v>20</v>
      </c>
      <c r="C4" s="146" t="s">
        <v>21</v>
      </c>
      <c r="D4" s="146" t="s">
        <v>9</v>
      </c>
      <c r="E4" s="158"/>
      <c r="F4" s="180" t="s">
        <v>26</v>
      </c>
      <c r="G4" s="180"/>
      <c r="H4" s="180"/>
      <c r="I4" s="180"/>
    </row>
    <row r="5" spans="1:13" s="2" customFormat="1" ht="18" customHeight="1" x14ac:dyDescent="0.2">
      <c r="A5" s="92" t="s">
        <v>86</v>
      </c>
      <c r="B5" s="144">
        <v>22</v>
      </c>
      <c r="C5" s="144">
        <v>44</v>
      </c>
      <c r="D5" s="147">
        <v>260</v>
      </c>
      <c r="E5" s="86"/>
      <c r="F5" s="180"/>
      <c r="G5" s="180"/>
      <c r="H5" s="180"/>
      <c r="I5" s="180"/>
    </row>
    <row r="6" spans="1:13" s="2" customFormat="1" ht="18" customHeight="1" x14ac:dyDescent="0.2">
      <c r="A6" s="148" t="s">
        <v>1</v>
      </c>
      <c r="B6" s="144">
        <v>110</v>
      </c>
      <c r="C6" s="144">
        <v>219</v>
      </c>
      <c r="D6" s="147">
        <v>52</v>
      </c>
      <c r="E6" s="86"/>
      <c r="F6" s="180"/>
      <c r="G6" s="180"/>
      <c r="H6" s="180"/>
      <c r="I6" s="180"/>
    </row>
    <row r="7" spans="1:13" s="2" customFormat="1" ht="18" customHeight="1" x14ac:dyDescent="0.2">
      <c r="A7" s="148" t="s">
        <v>2</v>
      </c>
      <c r="B7" s="144">
        <v>219</v>
      </c>
      <c r="C7" s="144">
        <v>439</v>
      </c>
      <c r="D7" s="147">
        <v>26</v>
      </c>
      <c r="E7" s="86"/>
      <c r="F7" s="138"/>
    </row>
    <row r="8" spans="1:13" s="2" customFormat="1" ht="18" customHeight="1" x14ac:dyDescent="0.2">
      <c r="A8" s="148" t="s">
        <v>3</v>
      </c>
      <c r="B8" s="144">
        <v>238</v>
      </c>
      <c r="C8" s="144">
        <v>476</v>
      </c>
      <c r="D8" s="147">
        <v>24</v>
      </c>
      <c r="E8" s="86"/>
      <c r="F8" s="138"/>
    </row>
    <row r="9" spans="1:13" s="2" customFormat="1" ht="18" customHeight="1" x14ac:dyDescent="0.2">
      <c r="A9" s="148" t="s">
        <v>4</v>
      </c>
      <c r="B9" s="144">
        <v>476</v>
      </c>
      <c r="C9" s="144">
        <v>951</v>
      </c>
      <c r="D9" s="147">
        <v>12</v>
      </c>
      <c r="E9" s="86"/>
      <c r="F9" s="179" t="s">
        <v>159</v>
      </c>
      <c r="G9" s="179"/>
      <c r="H9" s="179"/>
      <c r="I9" s="179"/>
      <c r="J9" s="65"/>
    </row>
    <row r="10" spans="1:13" s="2" customFormat="1" ht="18" customHeight="1" x14ac:dyDescent="0.2">
      <c r="A10" s="148" t="s">
        <v>5</v>
      </c>
      <c r="B10" s="144">
        <v>1427</v>
      </c>
      <c r="C10" s="144">
        <v>2853</v>
      </c>
      <c r="D10" s="147">
        <v>4</v>
      </c>
      <c r="E10" s="86"/>
      <c r="F10" s="90"/>
      <c r="H10" s="105"/>
    </row>
    <row r="11" spans="1:13" s="2" customFormat="1" ht="18" customHeight="1" x14ac:dyDescent="0.2">
      <c r="A11" s="148" t="s">
        <v>6</v>
      </c>
      <c r="B11" s="144">
        <v>2853</v>
      </c>
      <c r="C11" s="144">
        <v>5706</v>
      </c>
      <c r="D11" s="147">
        <v>2</v>
      </c>
      <c r="E11" s="86"/>
      <c r="F11" s="4"/>
    </row>
    <row r="12" spans="1:13" s="2" customFormat="1" ht="18" customHeight="1" x14ac:dyDescent="0.2">
      <c r="A12" s="148" t="s">
        <v>7</v>
      </c>
      <c r="B12" s="144">
        <v>5706</v>
      </c>
      <c r="C12" s="144">
        <v>11412</v>
      </c>
      <c r="D12" s="147">
        <v>1</v>
      </c>
      <c r="E12" s="86"/>
      <c r="F12" s="139" t="s">
        <v>139</v>
      </c>
      <c r="K12" s="15"/>
    </row>
    <row r="13" spans="1:13" x14ac:dyDescent="0.2">
      <c r="L13" s="3"/>
      <c r="M13" s="3"/>
    </row>
    <row r="14" spans="1:13" ht="18" customHeight="1" x14ac:dyDescent="0.25">
      <c r="A14" s="7" t="s">
        <v>160</v>
      </c>
      <c r="B14" s="7"/>
      <c r="C14" s="7"/>
      <c r="D14" s="7"/>
      <c r="L14" s="3"/>
      <c r="M14" s="3"/>
    </row>
    <row r="15" spans="1:13" ht="18" customHeight="1" x14ac:dyDescent="0.25">
      <c r="A15" s="113" t="s">
        <v>147</v>
      </c>
      <c r="B15" s="7"/>
      <c r="C15" s="7"/>
      <c r="D15" s="7"/>
      <c r="L15" s="3"/>
      <c r="M15" s="3"/>
    </row>
    <row r="16" spans="1:13" ht="31.5" customHeight="1" x14ac:dyDescent="0.2">
      <c r="A16" s="149" t="s">
        <v>11</v>
      </c>
      <c r="B16" s="149" t="s">
        <v>12</v>
      </c>
      <c r="C16" s="149" t="s">
        <v>14</v>
      </c>
      <c r="D16" s="149" t="s">
        <v>124</v>
      </c>
      <c r="L16" s="3"/>
      <c r="M16" s="3"/>
    </row>
    <row r="17" spans="1:18" ht="18" customHeight="1" x14ac:dyDescent="0.2">
      <c r="A17" s="88">
        <v>0</v>
      </c>
      <c r="B17" s="144">
        <v>999999999</v>
      </c>
      <c r="C17" s="150">
        <v>1.2999999999999999E-2</v>
      </c>
      <c r="D17" s="88">
        <f>B17*C17</f>
        <v>12999999.987</v>
      </c>
      <c r="F17" s="65"/>
      <c r="L17" s="3"/>
      <c r="M17" s="3"/>
    </row>
    <row r="19" spans="1:18" s="78" customFormat="1" ht="18" customHeight="1" x14ac:dyDescent="0.2">
      <c r="A19" s="78" t="s">
        <v>138</v>
      </c>
      <c r="C19" s="79"/>
      <c r="E19" s="79"/>
    </row>
    <row r="20" spans="1:18" s="78" customFormat="1" ht="18" customHeight="1" x14ac:dyDescent="0.2">
      <c r="A20" s="78" t="s">
        <v>161</v>
      </c>
      <c r="C20" s="79"/>
      <c r="E20" s="79"/>
    </row>
    <row r="21" spans="1:18" s="7" customFormat="1" ht="18" customHeight="1" x14ac:dyDescent="0.25">
      <c r="A21" s="174" t="s">
        <v>162</v>
      </c>
      <c r="B21" s="174"/>
      <c r="C21" s="174"/>
      <c r="D21" s="174"/>
      <c r="E21" s="8"/>
      <c r="F21" s="9"/>
      <c r="I21" s="8"/>
    </row>
    <row r="22" spans="1:18" ht="18" customHeight="1" x14ac:dyDescent="0.25">
      <c r="A22" s="65" t="s">
        <v>163</v>
      </c>
      <c r="H22" s="7"/>
      <c r="I22" s="8"/>
      <c r="J22" s="7"/>
      <c r="K22" s="9"/>
      <c r="L22" s="7"/>
      <c r="M22" s="7"/>
      <c r="N22" s="7"/>
      <c r="O22" s="9"/>
      <c r="P22" s="7"/>
      <c r="Q22" s="7"/>
      <c r="R22" s="7"/>
    </row>
    <row r="24" spans="1:18" s="7" customFormat="1" ht="15.75" x14ac:dyDescent="0.25">
      <c r="A24" s="7" t="s">
        <v>144</v>
      </c>
      <c r="C24" s="8"/>
      <c r="E24" s="8"/>
      <c r="G24" s="78" t="s">
        <v>164</v>
      </c>
      <c r="I24" s="8"/>
      <c r="K24" s="9"/>
      <c r="O24" s="9"/>
    </row>
    <row r="25" spans="1:18" x14ac:dyDescent="0.2">
      <c r="A25" s="12" t="s">
        <v>142</v>
      </c>
      <c r="B25" s="5"/>
      <c r="C25" s="6"/>
      <c r="D25" s="5"/>
      <c r="E25" s="6"/>
      <c r="G25" s="87" t="s">
        <v>27</v>
      </c>
      <c r="I25" s="3"/>
    </row>
    <row r="26" spans="1:18" x14ac:dyDescent="0.2">
      <c r="A26" s="12" t="s">
        <v>143</v>
      </c>
      <c r="B26" s="5"/>
      <c r="C26" s="6"/>
      <c r="D26" s="5"/>
      <c r="E26" s="6"/>
      <c r="G26" s="87"/>
      <c r="I26" s="3"/>
    </row>
    <row r="27" spans="1:18" s="2" customFormat="1" ht="31.5" customHeight="1" x14ac:dyDescent="0.2">
      <c r="A27" s="151" t="s">
        <v>11</v>
      </c>
      <c r="B27" s="151" t="s">
        <v>12</v>
      </c>
      <c r="C27" s="152" t="s">
        <v>14</v>
      </c>
      <c r="D27" s="145" t="s">
        <v>18</v>
      </c>
      <c r="E27" s="159"/>
      <c r="G27"/>
      <c r="H27" s="175" t="s">
        <v>22</v>
      </c>
      <c r="I27" s="177"/>
      <c r="J27" s="177"/>
      <c r="K27" s="177"/>
      <c r="L27" s="177"/>
      <c r="M27" s="177"/>
      <c r="N27" s="177"/>
      <c r="O27" s="177"/>
      <c r="P27" s="177"/>
      <c r="Q27" s="177"/>
      <c r="R27" s="178"/>
    </row>
    <row r="28" spans="1:18" ht="18" customHeight="1" x14ac:dyDescent="0.2">
      <c r="A28" s="153">
        <v>0</v>
      </c>
      <c r="B28" s="154">
        <v>11079</v>
      </c>
      <c r="C28" s="155">
        <v>1.0999999999999999E-2</v>
      </c>
      <c r="D28" s="153">
        <v>0</v>
      </c>
      <c r="G28" s="145" t="s">
        <v>8</v>
      </c>
      <c r="H28" s="146">
        <v>0</v>
      </c>
      <c r="I28" s="146">
        <v>1</v>
      </c>
      <c r="J28" s="146">
        <v>2</v>
      </c>
      <c r="K28" s="146">
        <v>3</v>
      </c>
      <c r="L28" s="146">
        <v>4</v>
      </c>
      <c r="M28" s="146">
        <v>5</v>
      </c>
      <c r="N28" s="146">
        <v>6</v>
      </c>
      <c r="O28" s="146">
        <v>7</v>
      </c>
      <c r="P28" s="146">
        <v>8</v>
      </c>
      <c r="Q28" s="146">
        <v>9</v>
      </c>
      <c r="R28" s="146">
        <v>10</v>
      </c>
    </row>
    <row r="29" spans="1:18" ht="18" customHeight="1" x14ac:dyDescent="0.2">
      <c r="A29" s="153">
        <f t="shared" ref="A29:A34" si="0">B28</f>
        <v>11079</v>
      </c>
      <c r="B29" s="154">
        <v>26264</v>
      </c>
      <c r="C29" s="155">
        <v>2.1999999999999999E-2</v>
      </c>
      <c r="D29" s="153">
        <f t="shared" ref="D29:D36" si="1">D28+(B28-A28)*C28</f>
        <v>121.869</v>
      </c>
      <c r="G29" s="160" t="s">
        <v>86</v>
      </c>
      <c r="H29" s="153">
        <v>0</v>
      </c>
      <c r="I29" s="161">
        <f t="shared" ref="I29:R29" si="2">I36/260</f>
        <v>0.64730769230769236</v>
      </c>
      <c r="J29" s="161">
        <f t="shared" si="2"/>
        <v>1.2946153846153847</v>
      </c>
      <c r="K29" s="161">
        <f t="shared" si="2"/>
        <v>1.9419230769230771</v>
      </c>
      <c r="L29" s="161">
        <f t="shared" si="2"/>
        <v>2.5892307692307694</v>
      </c>
      <c r="M29" s="161">
        <f t="shared" si="2"/>
        <v>3.2365384615384616</v>
      </c>
      <c r="N29" s="161">
        <f t="shared" si="2"/>
        <v>3.8838461538461537</v>
      </c>
      <c r="O29" s="161">
        <f t="shared" si="2"/>
        <v>4.5311538461538454</v>
      </c>
      <c r="P29" s="161">
        <f t="shared" si="2"/>
        <v>5.178461538461538</v>
      </c>
      <c r="Q29" s="161">
        <f t="shared" si="2"/>
        <v>5.8257692307692297</v>
      </c>
      <c r="R29" s="161">
        <f t="shared" si="2"/>
        <v>6.4730769230769223</v>
      </c>
    </row>
    <row r="30" spans="1:18" ht="18" customHeight="1" x14ac:dyDescent="0.2">
      <c r="A30" s="153">
        <f t="shared" si="0"/>
        <v>26264</v>
      </c>
      <c r="B30" s="154">
        <v>41452</v>
      </c>
      <c r="C30" s="155">
        <v>4.3999999999999997E-2</v>
      </c>
      <c r="D30" s="153">
        <f t="shared" si="1"/>
        <v>455.93899999999996</v>
      </c>
      <c r="G30" s="162" t="s">
        <v>1</v>
      </c>
      <c r="H30" s="153">
        <v>0</v>
      </c>
      <c r="I30" s="153">
        <f>I36/52</f>
        <v>3.2365384615384616</v>
      </c>
      <c r="J30" s="153">
        <f t="shared" ref="J30:R30" si="3">J36/52</f>
        <v>6.4730769230769232</v>
      </c>
      <c r="K30" s="153">
        <f t="shared" si="3"/>
        <v>9.7096153846153861</v>
      </c>
      <c r="L30" s="153">
        <f t="shared" si="3"/>
        <v>12.946153846153846</v>
      </c>
      <c r="M30" s="153">
        <f t="shared" si="3"/>
        <v>16.182692307692307</v>
      </c>
      <c r="N30" s="153">
        <f t="shared" si="3"/>
        <v>19.419230769230769</v>
      </c>
      <c r="O30" s="153">
        <f t="shared" si="3"/>
        <v>22.655769230769231</v>
      </c>
      <c r="P30" s="153">
        <f t="shared" si="3"/>
        <v>25.892307692307689</v>
      </c>
      <c r="Q30" s="153">
        <f>Q36/52</f>
        <v>29.128846153846151</v>
      </c>
      <c r="R30" s="153">
        <f t="shared" si="3"/>
        <v>32.365384615384613</v>
      </c>
    </row>
    <row r="31" spans="1:18" ht="18" customHeight="1" x14ac:dyDescent="0.2">
      <c r="A31" s="153">
        <f t="shared" si="0"/>
        <v>41452</v>
      </c>
      <c r="B31" s="154">
        <v>57542</v>
      </c>
      <c r="C31" s="155">
        <v>6.6000000000000003E-2</v>
      </c>
      <c r="D31" s="153">
        <f t="shared" si="1"/>
        <v>1124.2109999999998</v>
      </c>
      <c r="G31" s="162" t="s">
        <v>2</v>
      </c>
      <c r="H31" s="153">
        <v>0</v>
      </c>
      <c r="I31" s="153">
        <f>I36/26</f>
        <v>6.4730769230769232</v>
      </c>
      <c r="J31" s="153">
        <f t="shared" ref="J31:R31" si="4">J36/26</f>
        <v>12.946153846153846</v>
      </c>
      <c r="K31" s="153">
        <f t="shared" si="4"/>
        <v>19.419230769230772</v>
      </c>
      <c r="L31" s="153">
        <f t="shared" si="4"/>
        <v>25.892307692307693</v>
      </c>
      <c r="M31" s="153">
        <f t="shared" si="4"/>
        <v>32.365384615384613</v>
      </c>
      <c r="N31" s="153">
        <f t="shared" si="4"/>
        <v>38.838461538461537</v>
      </c>
      <c r="O31" s="153">
        <f t="shared" si="4"/>
        <v>45.311538461538461</v>
      </c>
      <c r="P31" s="153">
        <f t="shared" si="4"/>
        <v>51.784615384615378</v>
      </c>
      <c r="Q31" s="153">
        <f t="shared" si="4"/>
        <v>58.257692307692302</v>
      </c>
      <c r="R31" s="153">
        <f t="shared" si="4"/>
        <v>64.730769230769226</v>
      </c>
    </row>
    <row r="32" spans="1:18" ht="18" customHeight="1" x14ac:dyDescent="0.2">
      <c r="A32" s="153">
        <f t="shared" si="0"/>
        <v>57542</v>
      </c>
      <c r="B32" s="154">
        <v>72724</v>
      </c>
      <c r="C32" s="155">
        <v>8.7999999999999995E-2</v>
      </c>
      <c r="D32" s="153">
        <f t="shared" si="1"/>
        <v>2186.1509999999998</v>
      </c>
      <c r="G32" s="162" t="s">
        <v>3</v>
      </c>
      <c r="H32" s="153">
        <v>0</v>
      </c>
      <c r="I32" s="153">
        <f>I36/24</f>
        <v>7.0125000000000002</v>
      </c>
      <c r="J32" s="153">
        <f t="shared" ref="J32:R32" si="5">J36/24</f>
        <v>14.025</v>
      </c>
      <c r="K32" s="153">
        <f t="shared" si="5"/>
        <v>21.037500000000001</v>
      </c>
      <c r="L32" s="153">
        <f t="shared" si="5"/>
        <v>28.05</v>
      </c>
      <c r="M32" s="153">
        <f t="shared" si="5"/>
        <v>35.0625</v>
      </c>
      <c r="N32" s="153">
        <f t="shared" si="5"/>
        <v>42.074999999999996</v>
      </c>
      <c r="O32" s="153">
        <f t="shared" si="5"/>
        <v>49.087499999999999</v>
      </c>
      <c r="P32" s="153">
        <f t="shared" si="5"/>
        <v>56.099999999999994</v>
      </c>
      <c r="Q32" s="153">
        <f t="shared" si="5"/>
        <v>63.11249999999999</v>
      </c>
      <c r="R32" s="153">
        <f t="shared" si="5"/>
        <v>70.124999999999986</v>
      </c>
    </row>
    <row r="33" spans="1:18" ht="18" customHeight="1" x14ac:dyDescent="0.2">
      <c r="A33" s="153">
        <f t="shared" si="0"/>
        <v>72724</v>
      </c>
      <c r="B33" s="154">
        <v>371479</v>
      </c>
      <c r="C33" s="155">
        <v>0.1023</v>
      </c>
      <c r="D33" s="153">
        <f t="shared" si="1"/>
        <v>3522.1669999999995</v>
      </c>
      <c r="G33" s="162" t="s">
        <v>4</v>
      </c>
      <c r="H33" s="153">
        <v>0</v>
      </c>
      <c r="I33" s="153">
        <f>I36/12</f>
        <v>14.025</v>
      </c>
      <c r="J33" s="153">
        <f t="shared" ref="J33:R33" si="6">J36/12</f>
        <v>28.05</v>
      </c>
      <c r="K33" s="153">
        <f t="shared" si="6"/>
        <v>42.075000000000003</v>
      </c>
      <c r="L33" s="153">
        <f t="shared" si="6"/>
        <v>56.1</v>
      </c>
      <c r="M33" s="153">
        <f t="shared" si="6"/>
        <v>70.125</v>
      </c>
      <c r="N33" s="153">
        <f t="shared" si="6"/>
        <v>84.149999999999991</v>
      </c>
      <c r="O33" s="153">
        <f t="shared" si="6"/>
        <v>98.174999999999997</v>
      </c>
      <c r="P33" s="153">
        <f t="shared" si="6"/>
        <v>112.19999999999999</v>
      </c>
      <c r="Q33" s="153">
        <f t="shared" si="6"/>
        <v>126.22499999999998</v>
      </c>
      <c r="R33" s="153">
        <f t="shared" si="6"/>
        <v>140.24999999999997</v>
      </c>
    </row>
    <row r="34" spans="1:18" ht="18" customHeight="1" x14ac:dyDescent="0.2">
      <c r="A34" s="153">
        <f t="shared" si="0"/>
        <v>371479</v>
      </c>
      <c r="B34" s="154">
        <v>445771</v>
      </c>
      <c r="C34" s="155">
        <v>0.1133</v>
      </c>
      <c r="D34" s="153">
        <f t="shared" si="1"/>
        <v>34084.803500000002</v>
      </c>
      <c r="G34" s="162" t="s">
        <v>5</v>
      </c>
      <c r="H34" s="153">
        <v>0</v>
      </c>
      <c r="I34" s="153">
        <f>I36/4</f>
        <v>42.075000000000003</v>
      </c>
      <c r="J34" s="153">
        <f t="shared" ref="J34:R34" si="7">J36/4</f>
        <v>84.15</v>
      </c>
      <c r="K34" s="153">
        <f t="shared" si="7"/>
        <v>126.22500000000001</v>
      </c>
      <c r="L34" s="153">
        <f t="shared" si="7"/>
        <v>168.3</v>
      </c>
      <c r="M34" s="153">
        <f t="shared" si="7"/>
        <v>210.375</v>
      </c>
      <c r="N34" s="153">
        <f t="shared" si="7"/>
        <v>252.45</v>
      </c>
      <c r="O34" s="153">
        <f t="shared" si="7"/>
        <v>294.52499999999998</v>
      </c>
      <c r="P34" s="153">
        <f t="shared" si="7"/>
        <v>336.59999999999997</v>
      </c>
      <c r="Q34" s="153">
        <f t="shared" si="7"/>
        <v>378.67499999999995</v>
      </c>
      <c r="R34" s="153">
        <f t="shared" si="7"/>
        <v>420.74999999999994</v>
      </c>
    </row>
    <row r="35" spans="1:18" ht="18" customHeight="1" x14ac:dyDescent="0.2">
      <c r="A35" s="153">
        <f>B34</f>
        <v>445771</v>
      </c>
      <c r="B35" s="154">
        <v>742953</v>
      </c>
      <c r="C35" s="155">
        <v>0.12429999999999999</v>
      </c>
      <c r="D35" s="153">
        <f t="shared" si="1"/>
        <v>42502.087100000004</v>
      </c>
      <c r="G35" s="162" t="s">
        <v>6</v>
      </c>
      <c r="H35" s="153">
        <v>0</v>
      </c>
      <c r="I35" s="153">
        <f>I36/2</f>
        <v>84.15</v>
      </c>
      <c r="J35" s="153">
        <f t="shared" ref="J35:R35" si="8">J36/2</f>
        <v>168.3</v>
      </c>
      <c r="K35" s="153">
        <f t="shared" si="8"/>
        <v>252.45000000000002</v>
      </c>
      <c r="L35" s="153">
        <f t="shared" si="8"/>
        <v>336.6</v>
      </c>
      <c r="M35" s="153">
        <f t="shared" si="8"/>
        <v>420.75</v>
      </c>
      <c r="N35" s="153">
        <f t="shared" si="8"/>
        <v>504.9</v>
      </c>
      <c r="O35" s="153">
        <f t="shared" si="8"/>
        <v>589.04999999999995</v>
      </c>
      <c r="P35" s="153">
        <f t="shared" si="8"/>
        <v>673.19999999999993</v>
      </c>
      <c r="Q35" s="153">
        <f t="shared" si="8"/>
        <v>757.34999999999991</v>
      </c>
      <c r="R35" s="153">
        <f t="shared" si="8"/>
        <v>841.49999999999989</v>
      </c>
    </row>
    <row r="36" spans="1:18" ht="18" customHeight="1" x14ac:dyDescent="0.2">
      <c r="A36" s="153">
        <f>B35</f>
        <v>742953</v>
      </c>
      <c r="B36" s="154">
        <v>1000000</v>
      </c>
      <c r="C36" s="155">
        <v>0.1353</v>
      </c>
      <c r="D36" s="153">
        <f t="shared" si="1"/>
        <v>79441.809700000013</v>
      </c>
      <c r="G36" s="162" t="s">
        <v>7</v>
      </c>
      <c r="H36" s="153">
        <v>0</v>
      </c>
      <c r="I36" s="154">
        <v>168.3</v>
      </c>
      <c r="J36" s="153">
        <f t="shared" ref="J36:R36" si="9">I36+$I$36</f>
        <v>336.6</v>
      </c>
      <c r="K36" s="153">
        <f t="shared" si="9"/>
        <v>504.90000000000003</v>
      </c>
      <c r="L36" s="153">
        <f t="shared" si="9"/>
        <v>673.2</v>
      </c>
      <c r="M36" s="153">
        <f t="shared" si="9"/>
        <v>841.5</v>
      </c>
      <c r="N36" s="153">
        <f t="shared" si="9"/>
        <v>1009.8</v>
      </c>
      <c r="O36" s="153">
        <f t="shared" si="9"/>
        <v>1178.0999999999999</v>
      </c>
      <c r="P36" s="153">
        <f t="shared" si="9"/>
        <v>1346.3999999999999</v>
      </c>
      <c r="Q36" s="153">
        <f t="shared" si="9"/>
        <v>1514.6999999999998</v>
      </c>
      <c r="R36" s="153">
        <f t="shared" si="9"/>
        <v>1682.9999999999998</v>
      </c>
    </row>
    <row r="37" spans="1:18" ht="18" customHeight="1" x14ac:dyDescent="0.25">
      <c r="A37" s="153">
        <f>B36</f>
        <v>1000000</v>
      </c>
      <c r="B37" s="154">
        <v>0</v>
      </c>
      <c r="C37" s="155">
        <v>0.14630000000000001</v>
      </c>
      <c r="D37" s="153">
        <f>D36+(B36-A36)*C36</f>
        <v>114220.26880000002</v>
      </c>
      <c r="H37" s="7"/>
      <c r="I37" s="8"/>
      <c r="J37" s="7"/>
      <c r="K37" s="7"/>
      <c r="L37" s="7"/>
      <c r="M37" s="7"/>
      <c r="N37" s="7"/>
      <c r="O37" s="7"/>
      <c r="P37" s="7"/>
      <c r="Q37" s="7"/>
      <c r="R37" s="7"/>
    </row>
    <row r="39" spans="1:18" s="7" customFormat="1" ht="15.75" x14ac:dyDescent="0.25">
      <c r="A39" s="7" t="s">
        <v>165</v>
      </c>
      <c r="G39" s="78" t="s">
        <v>166</v>
      </c>
      <c r="I39" s="8"/>
      <c r="K39"/>
      <c r="O39" s="9"/>
    </row>
    <row r="40" spans="1:18" x14ac:dyDescent="0.2">
      <c r="A40" s="12" t="s">
        <v>141</v>
      </c>
      <c r="B40" s="5"/>
      <c r="C40" s="5"/>
      <c r="D40" s="5"/>
      <c r="E40" s="6"/>
      <c r="G40" s="87" t="s">
        <v>28</v>
      </c>
      <c r="I40" s="3"/>
    </row>
    <row r="41" spans="1:18" s="2" customFormat="1" ht="31.5" customHeight="1" x14ac:dyDescent="0.2">
      <c r="A41" s="151" t="s">
        <v>11</v>
      </c>
      <c r="B41" s="151" t="s">
        <v>12</v>
      </c>
      <c r="C41" s="152" t="s">
        <v>14</v>
      </c>
      <c r="D41" s="145" t="s">
        <v>18</v>
      </c>
      <c r="E41" s="159"/>
      <c r="G41"/>
      <c r="H41" s="175" t="s">
        <v>23</v>
      </c>
      <c r="I41" s="176"/>
      <c r="J41" s="176"/>
      <c r="K41" s="176"/>
      <c r="L41" s="176"/>
      <c r="M41" s="176"/>
      <c r="N41" s="176"/>
      <c r="O41" s="176"/>
      <c r="P41" s="176"/>
      <c r="Q41" s="176"/>
    </row>
    <row r="42" spans="1:18" ht="18" customHeight="1" x14ac:dyDescent="0.2">
      <c r="A42" s="153">
        <v>0</v>
      </c>
      <c r="B42" s="154">
        <v>22158</v>
      </c>
      <c r="C42" s="155">
        <v>1.0999999999999999E-2</v>
      </c>
      <c r="D42" s="153">
        <v>0</v>
      </c>
      <c r="G42" s="145" t="s">
        <v>8</v>
      </c>
      <c r="H42" s="146">
        <v>1</v>
      </c>
      <c r="I42" s="146">
        <v>2</v>
      </c>
      <c r="J42" s="146">
        <v>3</v>
      </c>
      <c r="K42" s="146">
        <v>4</v>
      </c>
      <c r="L42" s="146">
        <v>5</v>
      </c>
      <c r="M42" s="146">
        <v>6</v>
      </c>
      <c r="N42" s="146">
        <v>7</v>
      </c>
      <c r="O42" s="146">
        <v>8</v>
      </c>
      <c r="P42" s="146">
        <v>9</v>
      </c>
      <c r="Q42" s="146">
        <v>10</v>
      </c>
    </row>
    <row r="43" spans="1:18" ht="18" customHeight="1" x14ac:dyDescent="0.2">
      <c r="A43" s="153">
        <f t="shared" ref="A43:A51" si="10">B42</f>
        <v>22158</v>
      </c>
      <c r="B43" s="154">
        <v>52528</v>
      </c>
      <c r="C43" s="155">
        <v>2.1999999999999999E-2</v>
      </c>
      <c r="D43" s="153">
        <f t="shared" ref="D43:D51" si="11">D42+(B42-A42)*C42</f>
        <v>243.738</v>
      </c>
      <c r="G43" s="160" t="s">
        <v>86</v>
      </c>
      <c r="H43" s="163">
        <f>Q43/10</f>
        <v>3.8</v>
      </c>
      <c r="I43" s="163">
        <f t="shared" ref="I43:P50" si="12">$H43*I$42</f>
        <v>7.6</v>
      </c>
      <c r="J43" s="163">
        <f t="shared" si="12"/>
        <v>11.399999999999999</v>
      </c>
      <c r="K43" s="163">
        <f t="shared" si="12"/>
        <v>15.2</v>
      </c>
      <c r="L43" s="163">
        <f t="shared" si="12"/>
        <v>19</v>
      </c>
      <c r="M43" s="163">
        <f t="shared" si="12"/>
        <v>22.799999999999997</v>
      </c>
      <c r="N43" s="163">
        <f t="shared" si="12"/>
        <v>26.599999999999998</v>
      </c>
      <c r="O43" s="163">
        <f t="shared" si="12"/>
        <v>30.4</v>
      </c>
      <c r="P43" s="163">
        <f t="shared" si="12"/>
        <v>34.199999999999996</v>
      </c>
      <c r="Q43" s="154">
        <v>38</v>
      </c>
    </row>
    <row r="44" spans="1:18" ht="18" customHeight="1" x14ac:dyDescent="0.2">
      <c r="A44" s="153">
        <f t="shared" si="10"/>
        <v>52528</v>
      </c>
      <c r="B44" s="154">
        <v>82904</v>
      </c>
      <c r="C44" s="155">
        <v>4.3999999999999997E-2</v>
      </c>
      <c r="D44" s="153">
        <f t="shared" si="11"/>
        <v>911.87799999999993</v>
      </c>
      <c r="G44" s="162" t="s">
        <v>1</v>
      </c>
      <c r="H44" s="163">
        <f>Q44/10</f>
        <v>19.2</v>
      </c>
      <c r="I44" s="163">
        <f t="shared" si="12"/>
        <v>38.4</v>
      </c>
      <c r="J44" s="163">
        <f t="shared" si="12"/>
        <v>57.599999999999994</v>
      </c>
      <c r="K44" s="163">
        <f t="shared" si="12"/>
        <v>76.8</v>
      </c>
      <c r="L44" s="163">
        <f t="shared" si="12"/>
        <v>96</v>
      </c>
      <c r="M44" s="163">
        <f t="shared" si="12"/>
        <v>115.19999999999999</v>
      </c>
      <c r="N44" s="163">
        <f t="shared" si="12"/>
        <v>134.4</v>
      </c>
      <c r="O44" s="163">
        <f t="shared" si="12"/>
        <v>153.6</v>
      </c>
      <c r="P44" s="163">
        <f t="shared" si="12"/>
        <v>172.79999999999998</v>
      </c>
      <c r="Q44" s="154">
        <v>192</v>
      </c>
    </row>
    <row r="45" spans="1:18" ht="18" customHeight="1" x14ac:dyDescent="0.2">
      <c r="A45" s="153">
        <f t="shared" si="10"/>
        <v>82904</v>
      </c>
      <c r="B45" s="154">
        <v>115084</v>
      </c>
      <c r="C45" s="155">
        <v>6.6000000000000003E-2</v>
      </c>
      <c r="D45" s="153">
        <f t="shared" si="11"/>
        <v>2248.4219999999996</v>
      </c>
      <c r="G45" s="162" t="s">
        <v>2</v>
      </c>
      <c r="H45" s="163">
        <f>Q45/10</f>
        <v>38.5</v>
      </c>
      <c r="I45" s="163">
        <f t="shared" si="12"/>
        <v>77</v>
      </c>
      <c r="J45" s="163">
        <f t="shared" si="12"/>
        <v>115.5</v>
      </c>
      <c r="K45" s="163">
        <f t="shared" si="12"/>
        <v>154</v>
      </c>
      <c r="L45" s="163">
        <f t="shared" si="12"/>
        <v>192.5</v>
      </c>
      <c r="M45" s="163">
        <f t="shared" si="12"/>
        <v>231</v>
      </c>
      <c r="N45" s="163">
        <f t="shared" si="12"/>
        <v>269.5</v>
      </c>
      <c r="O45" s="163">
        <f t="shared" si="12"/>
        <v>308</v>
      </c>
      <c r="P45" s="163">
        <f t="shared" si="12"/>
        <v>346.5</v>
      </c>
      <c r="Q45" s="154">
        <v>385</v>
      </c>
    </row>
    <row r="46" spans="1:18" ht="18" customHeight="1" x14ac:dyDescent="0.2">
      <c r="A46" s="153">
        <f t="shared" si="10"/>
        <v>115084</v>
      </c>
      <c r="B46" s="154">
        <v>145448</v>
      </c>
      <c r="C46" s="155">
        <v>8.7999999999999995E-2</v>
      </c>
      <c r="D46" s="153">
        <f t="shared" si="11"/>
        <v>4372.3019999999997</v>
      </c>
      <c r="G46" s="162" t="s">
        <v>3</v>
      </c>
      <c r="H46" s="163">
        <f t="shared" ref="H46:H50" si="13">Q46/10</f>
        <v>41.7</v>
      </c>
      <c r="I46" s="163">
        <f t="shared" si="12"/>
        <v>83.4</v>
      </c>
      <c r="J46" s="163">
        <f t="shared" si="12"/>
        <v>125.10000000000001</v>
      </c>
      <c r="K46" s="163">
        <f t="shared" si="12"/>
        <v>166.8</v>
      </c>
      <c r="L46" s="163">
        <f t="shared" si="12"/>
        <v>208.5</v>
      </c>
      <c r="M46" s="163">
        <f t="shared" si="12"/>
        <v>250.20000000000002</v>
      </c>
      <c r="N46" s="163">
        <f t="shared" si="12"/>
        <v>291.90000000000003</v>
      </c>
      <c r="O46" s="163">
        <f t="shared" si="12"/>
        <v>333.6</v>
      </c>
      <c r="P46" s="163">
        <f t="shared" si="12"/>
        <v>375.3</v>
      </c>
      <c r="Q46" s="154">
        <v>417</v>
      </c>
    </row>
    <row r="47" spans="1:18" ht="18" customHeight="1" x14ac:dyDescent="0.2">
      <c r="A47" s="153">
        <f t="shared" si="10"/>
        <v>145448</v>
      </c>
      <c r="B47" s="154">
        <v>742958</v>
      </c>
      <c r="C47" s="155">
        <v>0.1023</v>
      </c>
      <c r="D47" s="153">
        <f t="shared" si="11"/>
        <v>7044.3339999999989</v>
      </c>
      <c r="G47" s="162" t="s">
        <v>4</v>
      </c>
      <c r="H47" s="163">
        <f t="shared" si="13"/>
        <v>83.3</v>
      </c>
      <c r="I47" s="163">
        <f t="shared" si="12"/>
        <v>166.6</v>
      </c>
      <c r="J47" s="163">
        <f t="shared" si="12"/>
        <v>249.89999999999998</v>
      </c>
      <c r="K47" s="163">
        <f t="shared" si="12"/>
        <v>333.2</v>
      </c>
      <c r="L47" s="163">
        <f t="shared" si="12"/>
        <v>416.5</v>
      </c>
      <c r="M47" s="163">
        <f t="shared" si="12"/>
        <v>499.79999999999995</v>
      </c>
      <c r="N47" s="163">
        <f t="shared" si="12"/>
        <v>583.1</v>
      </c>
      <c r="O47" s="163">
        <f t="shared" si="12"/>
        <v>666.4</v>
      </c>
      <c r="P47" s="163">
        <f t="shared" si="12"/>
        <v>749.69999999999993</v>
      </c>
      <c r="Q47" s="154">
        <v>833</v>
      </c>
    </row>
    <row r="48" spans="1:18" ht="18" customHeight="1" x14ac:dyDescent="0.2">
      <c r="A48" s="153">
        <f t="shared" si="10"/>
        <v>742958</v>
      </c>
      <c r="B48" s="154">
        <v>891542</v>
      </c>
      <c r="C48" s="155">
        <v>0.1133</v>
      </c>
      <c r="D48" s="153">
        <f t="shared" si="11"/>
        <v>68169.607000000004</v>
      </c>
      <c r="G48" s="162" t="s">
        <v>5</v>
      </c>
      <c r="H48" s="163">
        <f t="shared" si="13"/>
        <v>250</v>
      </c>
      <c r="I48" s="163">
        <f t="shared" si="12"/>
        <v>500</v>
      </c>
      <c r="J48" s="163">
        <f t="shared" si="12"/>
        <v>750</v>
      </c>
      <c r="K48" s="163">
        <f t="shared" si="12"/>
        <v>1000</v>
      </c>
      <c r="L48" s="163">
        <f t="shared" si="12"/>
        <v>1250</v>
      </c>
      <c r="M48" s="163">
        <f t="shared" si="12"/>
        <v>1500</v>
      </c>
      <c r="N48" s="163">
        <f t="shared" si="12"/>
        <v>1750</v>
      </c>
      <c r="O48" s="163">
        <f t="shared" si="12"/>
        <v>2000</v>
      </c>
      <c r="P48" s="163">
        <f t="shared" si="12"/>
        <v>2250</v>
      </c>
      <c r="Q48" s="154">
        <v>2500</v>
      </c>
    </row>
    <row r="49" spans="1:17" ht="18" customHeight="1" x14ac:dyDescent="0.2">
      <c r="A49" s="153">
        <f t="shared" si="10"/>
        <v>891542</v>
      </c>
      <c r="B49" s="154">
        <v>1000000</v>
      </c>
      <c r="C49" s="155">
        <v>0.12429999999999999</v>
      </c>
      <c r="D49" s="153">
        <f t="shared" si="11"/>
        <v>85004.174200000009</v>
      </c>
      <c r="G49" s="162" t="s">
        <v>6</v>
      </c>
      <c r="H49" s="163">
        <f t="shared" si="13"/>
        <v>500</v>
      </c>
      <c r="I49" s="163">
        <f t="shared" si="12"/>
        <v>1000</v>
      </c>
      <c r="J49" s="163">
        <f t="shared" si="12"/>
        <v>1500</v>
      </c>
      <c r="K49" s="163">
        <f t="shared" si="12"/>
        <v>2000</v>
      </c>
      <c r="L49" s="163">
        <f t="shared" si="12"/>
        <v>2500</v>
      </c>
      <c r="M49" s="163">
        <f t="shared" si="12"/>
        <v>3000</v>
      </c>
      <c r="N49" s="163">
        <f t="shared" si="12"/>
        <v>3500</v>
      </c>
      <c r="O49" s="163">
        <f t="shared" si="12"/>
        <v>4000</v>
      </c>
      <c r="P49" s="163">
        <f t="shared" si="12"/>
        <v>4500</v>
      </c>
      <c r="Q49" s="154">
        <v>5000</v>
      </c>
    </row>
    <row r="50" spans="1:17" ht="18" customHeight="1" x14ac:dyDescent="0.2">
      <c r="A50" s="153">
        <f t="shared" si="10"/>
        <v>1000000</v>
      </c>
      <c r="B50" s="154">
        <v>1485906</v>
      </c>
      <c r="C50" s="155">
        <v>0.1353</v>
      </c>
      <c r="D50" s="153">
        <f t="shared" si="11"/>
        <v>98485.503600000011</v>
      </c>
      <c r="G50" s="162" t="s">
        <v>7</v>
      </c>
      <c r="H50" s="163">
        <f t="shared" si="13"/>
        <v>1000</v>
      </c>
      <c r="I50" s="163">
        <f t="shared" si="12"/>
        <v>2000</v>
      </c>
      <c r="J50" s="163">
        <f t="shared" si="12"/>
        <v>3000</v>
      </c>
      <c r="K50" s="163">
        <f t="shared" si="12"/>
        <v>4000</v>
      </c>
      <c r="L50" s="163">
        <f t="shared" si="12"/>
        <v>5000</v>
      </c>
      <c r="M50" s="163">
        <f t="shared" si="12"/>
        <v>6000</v>
      </c>
      <c r="N50" s="163">
        <f t="shared" si="12"/>
        <v>7000</v>
      </c>
      <c r="O50" s="163">
        <f t="shared" si="12"/>
        <v>8000</v>
      </c>
      <c r="P50" s="163">
        <f t="shared" si="12"/>
        <v>9000</v>
      </c>
      <c r="Q50" s="154">
        <v>10000</v>
      </c>
    </row>
    <row r="51" spans="1:17" ht="18" customHeight="1" x14ac:dyDescent="0.2">
      <c r="A51" s="153">
        <f t="shared" si="10"/>
        <v>1485906</v>
      </c>
      <c r="B51" s="154">
        <v>0</v>
      </c>
      <c r="C51" s="155">
        <v>0.14630000000000001</v>
      </c>
      <c r="D51" s="153">
        <f t="shared" si="11"/>
        <v>164228.58540000001</v>
      </c>
    </row>
    <row r="53" spans="1:17" s="7" customFormat="1" ht="15.75" x14ac:dyDescent="0.25">
      <c r="A53" s="7" t="s">
        <v>167</v>
      </c>
      <c r="G53" s="78"/>
      <c r="I53" s="8"/>
      <c r="K53"/>
      <c r="O53" s="9"/>
    </row>
    <row r="54" spans="1:17" x14ac:dyDescent="0.2">
      <c r="A54" s="12" t="s">
        <v>140</v>
      </c>
      <c r="B54" s="5"/>
      <c r="C54" s="5"/>
      <c r="D54" s="5"/>
    </row>
    <row r="55" spans="1:17" ht="31.5" customHeight="1" x14ac:dyDescent="0.2">
      <c r="A55" s="151" t="s">
        <v>11</v>
      </c>
      <c r="B55" s="151" t="s">
        <v>12</v>
      </c>
      <c r="C55" s="152" t="s">
        <v>14</v>
      </c>
      <c r="D55" s="145" t="s">
        <v>18</v>
      </c>
    </row>
    <row r="56" spans="1:17" ht="18" customHeight="1" x14ac:dyDescent="0.2">
      <c r="A56" s="153">
        <v>0</v>
      </c>
      <c r="B56" s="154">
        <v>22173</v>
      </c>
      <c r="C56" s="156">
        <v>1.0999999999999999E-2</v>
      </c>
      <c r="D56" s="153">
        <v>0</v>
      </c>
    </row>
    <row r="57" spans="1:17" ht="18" customHeight="1" x14ac:dyDescent="0.2">
      <c r="A57" s="153">
        <f t="shared" ref="A57:A62" si="14">B56</f>
        <v>22173</v>
      </c>
      <c r="B57" s="154">
        <v>52530</v>
      </c>
      <c r="C57" s="156">
        <v>2.1999999999999999E-2</v>
      </c>
      <c r="D57" s="153">
        <f t="shared" ref="D57:D65" si="15">D56+(B56-A56)*C56</f>
        <v>243.90299999999999</v>
      </c>
    </row>
    <row r="58" spans="1:17" ht="18" customHeight="1" x14ac:dyDescent="0.2">
      <c r="A58" s="153">
        <f t="shared" si="14"/>
        <v>52530</v>
      </c>
      <c r="B58" s="154">
        <v>67716</v>
      </c>
      <c r="C58" s="156">
        <v>4.3999999999999997E-2</v>
      </c>
      <c r="D58" s="153">
        <f t="shared" si="15"/>
        <v>911.75699999999995</v>
      </c>
    </row>
    <row r="59" spans="1:17" ht="18" customHeight="1" x14ac:dyDescent="0.2">
      <c r="A59" s="153">
        <f t="shared" si="14"/>
        <v>67716</v>
      </c>
      <c r="B59" s="154">
        <v>83805</v>
      </c>
      <c r="C59" s="156">
        <v>6.6000000000000003E-2</v>
      </c>
      <c r="D59" s="153">
        <f t="shared" si="15"/>
        <v>1579.9409999999998</v>
      </c>
    </row>
    <row r="60" spans="1:17" ht="18" customHeight="1" x14ac:dyDescent="0.2">
      <c r="A60" s="153">
        <f t="shared" si="14"/>
        <v>83805</v>
      </c>
      <c r="B60" s="154">
        <v>98990</v>
      </c>
      <c r="C60" s="156">
        <v>8.7999999999999995E-2</v>
      </c>
      <c r="D60" s="153">
        <f t="shared" si="15"/>
        <v>2641.8149999999996</v>
      </c>
    </row>
    <row r="61" spans="1:17" ht="18" customHeight="1" x14ac:dyDescent="0.2">
      <c r="A61" s="153">
        <f t="shared" si="14"/>
        <v>98990</v>
      </c>
      <c r="B61" s="154">
        <v>505208</v>
      </c>
      <c r="C61" s="156">
        <v>0.1023</v>
      </c>
      <c r="D61" s="153">
        <f t="shared" si="15"/>
        <v>3978.0949999999993</v>
      </c>
    </row>
    <row r="62" spans="1:17" ht="18" customHeight="1" x14ac:dyDescent="0.2">
      <c r="A62" s="153">
        <f t="shared" si="14"/>
        <v>505208</v>
      </c>
      <c r="B62" s="154">
        <v>606251</v>
      </c>
      <c r="C62" s="156">
        <v>0.1133</v>
      </c>
      <c r="D62" s="153">
        <f t="shared" si="15"/>
        <v>45534.196400000001</v>
      </c>
    </row>
    <row r="63" spans="1:17" ht="18" customHeight="1" x14ac:dyDescent="0.2">
      <c r="A63" s="153">
        <f>B62</f>
        <v>606251</v>
      </c>
      <c r="B63" s="154">
        <v>1000000</v>
      </c>
      <c r="C63" s="156">
        <v>0.12429999999999999</v>
      </c>
      <c r="D63" s="153">
        <f t="shared" si="15"/>
        <v>56982.368300000002</v>
      </c>
    </row>
    <row r="64" spans="1:17" ht="18" customHeight="1" x14ac:dyDescent="0.2">
      <c r="A64" s="153">
        <f>B63</f>
        <v>1000000</v>
      </c>
      <c r="B64" s="154">
        <v>1010417</v>
      </c>
      <c r="C64" s="156">
        <v>0.1353</v>
      </c>
      <c r="D64" s="153">
        <f t="shared" si="15"/>
        <v>105925.36900000001</v>
      </c>
    </row>
    <row r="65" spans="1:4" ht="18" customHeight="1" x14ac:dyDescent="0.2">
      <c r="A65" s="153">
        <f>B64</f>
        <v>1010417</v>
      </c>
      <c r="B65" s="154">
        <v>0</v>
      </c>
      <c r="C65" s="156">
        <v>0.14630000000000001</v>
      </c>
      <c r="D65" s="153">
        <f t="shared" si="15"/>
        <v>107334.78910000001</v>
      </c>
    </row>
  </sheetData>
  <mergeCells count="5">
    <mergeCell ref="A21:D21"/>
    <mergeCell ref="H41:Q41"/>
    <mergeCell ref="H27:R27"/>
    <mergeCell ref="F9:I9"/>
    <mergeCell ref="F4:I6"/>
  </mergeCells>
  <hyperlinks>
    <hyperlink ref="A21" r:id="rId1" display="Source: EDD California Withholding Schedules for 2021" xr:uid="{9C1C9591-B1C8-4545-AE59-DB65D25B3736}"/>
    <hyperlink ref="F9:I9" r:id="rId2" display="Download California Withholding Schedules for 2026" xr:uid="{91E4F0C6-1155-4576-A7B0-CA8C928B05B8}"/>
    <hyperlink ref="A15" r:id="rId3" xr:uid="{8BC07D00-4110-4F09-BF6E-7FE40DA80370}"/>
    <hyperlink ref="A21:D21" r:id="rId4" display="Source: EDD California Withholding Schedules for 2026" xr:uid="{CAFD8554-5A8D-4B03-B7FE-34145862B714}"/>
  </hyperlinks>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I58"/>
  <sheetViews>
    <sheetView showGridLines="0" workbookViewId="0">
      <selection activeCell="N14" sqref="N14"/>
    </sheetView>
  </sheetViews>
  <sheetFormatPr defaultRowHeight="12.75" x14ac:dyDescent="0.2"/>
  <cols>
    <col min="1" max="1" width="2.7109375" style="127" customWidth="1"/>
    <col min="2" max="2" width="74.42578125" style="127" customWidth="1"/>
    <col min="3" max="3" width="16.85546875" style="127" customWidth="1"/>
    <col min="4" max="16384" width="9.140625" style="127"/>
  </cols>
  <sheetData>
    <row r="1" spans="1:9" s="110" customFormat="1" ht="30" customHeight="1" x14ac:dyDescent="0.2">
      <c r="A1" s="106"/>
      <c r="B1" s="107" t="s">
        <v>128</v>
      </c>
      <c r="C1" s="108"/>
      <c r="D1" s="109"/>
      <c r="E1" s="109"/>
      <c r="F1" s="109"/>
      <c r="G1" s="109"/>
      <c r="H1" s="109"/>
    </row>
    <row r="2" spans="1:9" s="111" customFormat="1" ht="14.25" x14ac:dyDescent="0.2"/>
    <row r="3" spans="1:9" s="111" customFormat="1" ht="15" x14ac:dyDescent="0.2">
      <c r="B3" s="112" t="s">
        <v>129</v>
      </c>
    </row>
    <row r="4" spans="1:9" s="111" customFormat="1" ht="14.25" x14ac:dyDescent="0.2">
      <c r="B4" s="113" t="s">
        <v>130</v>
      </c>
    </row>
    <row r="5" spans="1:9" s="111" customFormat="1" ht="14.25" x14ac:dyDescent="0.2"/>
    <row r="6" spans="1:9" s="111" customFormat="1" ht="16.5" x14ac:dyDescent="0.2">
      <c r="B6" s="114" t="str">
        <f ca="1">"© 2013 - "&amp;YEAR(TODAY())&amp;" Spreadsheet123 LTD"</f>
        <v>© 2013 - 2025 Spreadsheet123 LTD</v>
      </c>
    </row>
    <row r="7" spans="1:9" s="111" customFormat="1" ht="14.25" x14ac:dyDescent="0.2"/>
    <row r="8" spans="1:9" s="111" customFormat="1" ht="16.5" x14ac:dyDescent="0.2">
      <c r="B8" s="114" t="s">
        <v>131</v>
      </c>
      <c r="C8" s="115"/>
      <c r="D8" s="115"/>
      <c r="E8" s="115"/>
      <c r="F8" s="115"/>
      <c r="G8" s="115"/>
      <c r="H8" s="115"/>
    </row>
    <row r="9" spans="1:9" s="111" customFormat="1" ht="16.5" x14ac:dyDescent="0.2">
      <c r="B9" s="114"/>
      <c r="C9" s="115"/>
      <c r="D9" s="115"/>
      <c r="E9" s="115"/>
      <c r="F9" s="115"/>
      <c r="G9" s="115"/>
      <c r="H9" s="115"/>
    </row>
    <row r="10" spans="1:9" s="111" customFormat="1" ht="33" x14ac:dyDescent="0.2">
      <c r="B10" s="116" t="s">
        <v>132</v>
      </c>
      <c r="C10" s="117"/>
      <c r="D10" s="117"/>
      <c r="E10" s="117"/>
      <c r="F10" s="117"/>
      <c r="G10" s="117"/>
      <c r="H10" s="117"/>
    </row>
    <row r="11" spans="1:9" s="111" customFormat="1" ht="16.5" x14ac:dyDescent="0.2">
      <c r="B11" s="118"/>
      <c r="C11" s="115"/>
      <c r="D11" s="115"/>
      <c r="E11" s="115"/>
      <c r="F11" s="115"/>
      <c r="G11" s="115"/>
      <c r="H11" s="115"/>
    </row>
    <row r="12" spans="1:9" s="111" customFormat="1" ht="66" x14ac:dyDescent="0.2">
      <c r="B12" s="119" t="s">
        <v>133</v>
      </c>
      <c r="C12" s="120"/>
      <c r="D12" s="120"/>
      <c r="E12" s="120"/>
      <c r="F12" s="120"/>
      <c r="G12" s="120"/>
      <c r="H12" s="120"/>
      <c r="I12" s="121"/>
    </row>
    <row r="13" spans="1:9" s="111" customFormat="1" ht="16.5" x14ac:dyDescent="0.2">
      <c r="B13" s="122"/>
      <c r="C13" s="123"/>
      <c r="D13" s="123"/>
      <c r="E13" s="123"/>
      <c r="F13" s="123"/>
      <c r="G13" s="123"/>
      <c r="H13" s="123"/>
      <c r="I13" s="124"/>
    </row>
    <row r="14" spans="1:9" s="111" customFormat="1" ht="49.5" x14ac:dyDescent="0.2">
      <c r="B14" s="116" t="s">
        <v>134</v>
      </c>
      <c r="C14" s="117"/>
      <c r="D14" s="117"/>
      <c r="E14" s="117"/>
      <c r="F14" s="117"/>
      <c r="G14" s="117"/>
      <c r="H14" s="117"/>
    </row>
    <row r="15" spans="1:9" s="111" customFormat="1" ht="16.5" x14ac:dyDescent="0.2">
      <c r="B15" s="115"/>
      <c r="C15" s="115"/>
      <c r="D15" s="115"/>
      <c r="E15" s="115"/>
      <c r="F15" s="115"/>
      <c r="G15" s="115"/>
      <c r="H15" s="115"/>
    </row>
    <row r="16" spans="1:9" s="111" customFormat="1" ht="16.5" x14ac:dyDescent="0.2">
      <c r="B16" s="125" t="s">
        <v>135</v>
      </c>
      <c r="C16" s="126"/>
      <c r="D16" s="115"/>
      <c r="E16" s="115"/>
      <c r="F16" s="115"/>
      <c r="G16" s="115"/>
      <c r="H16" s="115"/>
    </row>
    <row r="17" spans="2:9" s="111" customFormat="1" ht="16.5" x14ac:dyDescent="0.2">
      <c r="B17" s="113" t="s">
        <v>136</v>
      </c>
      <c r="C17" s="115"/>
      <c r="D17" s="115"/>
      <c r="E17" s="115"/>
      <c r="F17" s="115"/>
      <c r="G17" s="115"/>
      <c r="H17" s="115"/>
    </row>
    <row r="18" spans="2:9" x14ac:dyDescent="0.2">
      <c r="B18" s="128"/>
      <c r="C18" s="128"/>
      <c r="D18" s="128"/>
      <c r="E18" s="128"/>
      <c r="F18" s="128"/>
      <c r="G18" s="128"/>
      <c r="H18" s="128"/>
      <c r="I18" s="128"/>
    </row>
    <row r="19" spans="2:9" s="129" customFormat="1" ht="15" x14ac:dyDescent="0.2">
      <c r="B19" s="130"/>
      <c r="C19" s="130"/>
      <c r="D19" s="130"/>
      <c r="E19" s="130"/>
      <c r="F19" s="130"/>
      <c r="G19" s="130"/>
      <c r="H19" s="130"/>
      <c r="I19" s="130"/>
    </row>
    <row r="20" spans="2:9" ht="12.75" customHeight="1" x14ac:dyDescent="0.2"/>
    <row r="21" spans="2:9" x14ac:dyDescent="0.2">
      <c r="B21" s="131"/>
      <c r="C21" s="128"/>
      <c r="D21" s="128"/>
      <c r="E21" s="128"/>
      <c r="F21" s="128"/>
      <c r="G21" s="128"/>
      <c r="H21" s="128"/>
      <c r="I21" s="128"/>
    </row>
    <row r="22" spans="2:9" ht="12.75" customHeight="1" x14ac:dyDescent="0.2"/>
    <row r="23" spans="2:9" ht="12.75" customHeight="1" x14ac:dyDescent="0.2"/>
    <row r="24" spans="2:9" ht="12.75" customHeight="1" x14ac:dyDescent="0.2"/>
    <row r="25" spans="2:9" ht="15" x14ac:dyDescent="0.25">
      <c r="B25" s="132"/>
      <c r="C25" s="132"/>
      <c r="D25" s="132"/>
      <c r="E25" s="132"/>
      <c r="F25" s="132"/>
      <c r="G25" s="132"/>
      <c r="H25" s="132"/>
      <c r="I25" s="132"/>
    </row>
    <row r="26" spans="2:9" ht="15" x14ac:dyDescent="0.25">
      <c r="B26" s="132"/>
      <c r="C26" s="132"/>
      <c r="D26" s="132"/>
      <c r="E26" s="132"/>
      <c r="F26" s="132"/>
      <c r="G26" s="132"/>
      <c r="H26" s="132"/>
      <c r="I26" s="132"/>
    </row>
    <row r="27" spans="2:9" ht="15" x14ac:dyDescent="0.25">
      <c r="B27" s="133"/>
      <c r="C27" s="133"/>
      <c r="D27" s="133"/>
      <c r="E27" s="133"/>
      <c r="F27" s="133"/>
      <c r="G27" s="133"/>
      <c r="H27" s="133"/>
      <c r="I27" s="133"/>
    </row>
    <row r="28" spans="2:9" ht="15" x14ac:dyDescent="0.25">
      <c r="B28" s="133"/>
      <c r="C28" s="133"/>
      <c r="D28" s="133"/>
      <c r="E28" s="133"/>
      <c r="F28" s="133"/>
      <c r="G28" s="133"/>
      <c r="H28" s="133"/>
      <c r="I28" s="133"/>
    </row>
    <row r="29" spans="2:9" ht="15" x14ac:dyDescent="0.25">
      <c r="B29" s="133"/>
      <c r="C29" s="133"/>
      <c r="D29" s="133"/>
      <c r="E29" s="133"/>
      <c r="F29" s="133"/>
      <c r="G29" s="133"/>
      <c r="H29" s="133"/>
      <c r="I29" s="133"/>
    </row>
    <row r="30" spans="2:9" x14ac:dyDescent="0.2">
      <c r="B30" s="128"/>
      <c r="C30" s="128"/>
      <c r="D30" s="128"/>
      <c r="E30" s="128"/>
      <c r="F30" s="128"/>
      <c r="G30" s="128"/>
      <c r="H30" s="128"/>
      <c r="I30" s="128"/>
    </row>
    <row r="31" spans="2:9" s="129" customFormat="1" ht="15" x14ac:dyDescent="0.2">
      <c r="B31" s="130"/>
      <c r="C31" s="130"/>
      <c r="D31" s="130"/>
      <c r="E31" s="130"/>
      <c r="F31" s="130"/>
      <c r="G31" s="130"/>
      <c r="H31" s="130"/>
      <c r="I31" s="130"/>
    </row>
    <row r="32" spans="2:9" x14ac:dyDescent="0.2">
      <c r="B32" s="134"/>
      <c r="C32" s="134"/>
      <c r="D32" s="134"/>
      <c r="E32" s="134"/>
      <c r="F32" s="134"/>
      <c r="G32" s="134"/>
      <c r="H32" s="134"/>
      <c r="I32" s="134"/>
    </row>
    <row r="33" spans="2:9" x14ac:dyDescent="0.2">
      <c r="B33" s="134"/>
      <c r="C33" s="134"/>
      <c r="D33" s="134"/>
      <c r="E33" s="134"/>
      <c r="F33" s="134"/>
      <c r="G33" s="134"/>
      <c r="H33" s="134"/>
      <c r="I33" s="134"/>
    </row>
    <row r="34" spans="2:9" x14ac:dyDescent="0.2">
      <c r="B34" s="134"/>
    </row>
    <row r="35" spans="2:9" x14ac:dyDescent="0.2">
      <c r="B35" s="134"/>
      <c r="C35" s="134"/>
      <c r="D35" s="134"/>
      <c r="E35" s="134"/>
      <c r="F35" s="134"/>
      <c r="G35" s="134"/>
      <c r="H35" s="134"/>
      <c r="I35" s="134"/>
    </row>
    <row r="36" spans="2:9" x14ac:dyDescent="0.2">
      <c r="B36" s="128"/>
      <c r="C36" s="128"/>
      <c r="D36" s="128"/>
      <c r="E36" s="128"/>
      <c r="F36" s="128"/>
      <c r="G36" s="128"/>
      <c r="H36" s="128"/>
      <c r="I36" s="128"/>
    </row>
    <row r="37" spans="2:9" s="129" customFormat="1" ht="15" x14ac:dyDescent="0.2">
      <c r="B37" s="130"/>
      <c r="C37" s="130"/>
      <c r="D37" s="130"/>
      <c r="E37" s="130"/>
      <c r="F37" s="130"/>
      <c r="G37" s="130"/>
      <c r="H37" s="130"/>
      <c r="I37" s="130"/>
    </row>
    <row r="38" spans="2:9" ht="12.75" customHeight="1" x14ac:dyDescent="0.2"/>
    <row r="39" spans="2:9" ht="12.75" customHeight="1" x14ac:dyDescent="0.2"/>
    <row r="40" spans="2:9" x14ac:dyDescent="0.2">
      <c r="B40" s="128"/>
      <c r="C40" s="128"/>
      <c r="D40" s="128"/>
      <c r="E40" s="128"/>
      <c r="F40" s="128"/>
      <c r="G40" s="128"/>
      <c r="H40" s="128"/>
      <c r="I40" s="128"/>
    </row>
    <row r="41" spans="2:9" s="129" customFormat="1" ht="15" x14ac:dyDescent="0.2">
      <c r="B41" s="130"/>
      <c r="C41" s="130"/>
      <c r="D41" s="130"/>
      <c r="E41" s="130"/>
      <c r="F41" s="130"/>
      <c r="G41" s="130"/>
      <c r="H41" s="130"/>
      <c r="I41" s="130"/>
    </row>
    <row r="42" spans="2:9" ht="12.75" customHeight="1" x14ac:dyDescent="0.2"/>
    <row r="43" spans="2:9" ht="12.75" customHeight="1" x14ac:dyDescent="0.2"/>
    <row r="44" spans="2:9" ht="12.75" customHeight="1" x14ac:dyDescent="0.2"/>
    <row r="45" spans="2:9" ht="12.75" customHeight="1" x14ac:dyDescent="0.2"/>
    <row r="46" spans="2:9" ht="12.75" customHeight="1" x14ac:dyDescent="0.2"/>
    <row r="47" spans="2:9" ht="12.75" customHeight="1" x14ac:dyDescent="0.2"/>
    <row r="48" spans="2:9" ht="12.75" customHeight="1" x14ac:dyDescent="0.2"/>
    <row r="49" spans="2:9" ht="12.75" customHeight="1" x14ac:dyDescent="0.2"/>
    <row r="50" spans="2:9" x14ac:dyDescent="0.2">
      <c r="B50" s="128"/>
      <c r="C50" s="128"/>
      <c r="D50" s="128"/>
      <c r="E50" s="128"/>
      <c r="F50" s="128"/>
      <c r="G50" s="128"/>
      <c r="H50" s="128"/>
      <c r="I50" s="128"/>
    </row>
    <row r="51" spans="2:9" s="135" customFormat="1" ht="9" x14ac:dyDescent="0.15">
      <c r="B51" s="136"/>
      <c r="C51" s="137"/>
      <c r="D51" s="137"/>
      <c r="E51" s="137"/>
      <c r="F51" s="137"/>
      <c r="G51" s="137"/>
      <c r="H51" s="137"/>
      <c r="I51" s="137"/>
    </row>
    <row r="52" spans="2:9" s="135" customFormat="1" ht="9" x14ac:dyDescent="0.15">
      <c r="B52" s="137"/>
      <c r="C52" s="137"/>
      <c r="D52" s="137"/>
      <c r="E52" s="137"/>
      <c r="F52" s="137"/>
      <c r="G52" s="137"/>
      <c r="H52" s="137"/>
      <c r="I52" s="137"/>
    </row>
    <row r="53" spans="2:9" s="135" customFormat="1" ht="9" x14ac:dyDescent="0.15">
      <c r="B53" s="137"/>
      <c r="C53" s="137"/>
      <c r="D53" s="137"/>
      <c r="E53" s="137"/>
      <c r="F53" s="137"/>
      <c r="G53" s="137"/>
      <c r="H53" s="137"/>
      <c r="I53" s="137"/>
    </row>
    <row r="54" spans="2:9" x14ac:dyDescent="0.2">
      <c r="B54" s="128"/>
      <c r="C54" s="128"/>
      <c r="D54" s="128"/>
      <c r="E54" s="128"/>
      <c r="F54" s="128"/>
      <c r="G54" s="128"/>
      <c r="H54" s="128"/>
      <c r="I54" s="128"/>
    </row>
    <row r="55" spans="2:9" s="129" customFormat="1" ht="15" x14ac:dyDescent="0.2">
      <c r="B55" s="130"/>
      <c r="C55" s="130"/>
      <c r="D55" s="130"/>
      <c r="E55" s="130"/>
      <c r="F55" s="130"/>
      <c r="G55" s="130"/>
      <c r="H55" s="130"/>
      <c r="I55" s="130"/>
    </row>
    <row r="56" spans="2:9" ht="12.75" customHeight="1" x14ac:dyDescent="0.2"/>
    <row r="57" spans="2:9" x14ac:dyDescent="0.2">
      <c r="B57" s="128"/>
      <c r="C57" s="128"/>
      <c r="D57" s="128"/>
      <c r="E57" s="128"/>
      <c r="F57" s="128"/>
      <c r="G57" s="128"/>
      <c r="H57" s="128"/>
      <c r="I57" s="128"/>
    </row>
    <row r="58" spans="2:9" x14ac:dyDescent="0.2">
      <c r="B58" s="128"/>
      <c r="C58" s="128"/>
      <c r="D58" s="128"/>
      <c r="E58" s="128"/>
      <c r="F58" s="128"/>
      <c r="G58" s="128"/>
      <c r="H58" s="128"/>
      <c r="I58" s="128"/>
    </row>
  </sheetData>
  <phoneticPr fontId="3" type="noConversion"/>
  <hyperlinks>
    <hyperlink ref="B17" r:id="rId1" xr:uid="{1F272402-3CF8-40E7-9D9C-4B3D02805BDF}"/>
    <hyperlink ref="B4" r:id="rId2" xr:uid="{6A14617B-CA60-4EFB-BECA-9AEBF0D13FB0}"/>
  </hyperlinks>
  <pageMargins left="0.55118110236220474" right="0.35433070866141736" top="0.98425196850393704" bottom="0.98425196850393704" header="0.51181102362204722" footer="0.51181102362204722"/>
  <pageSetup scale="90" orientation="portrait" r:id="rId3"/>
  <headerFooter alignWithMargins="0">
    <oddFooter>&amp;L© 2009 Spreadsheet123.com&amp;RCompany Payroll by Spreadsheet123.com</oddFooter>
  </headerFooter>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Paycheck Calculator</vt:lpstr>
      <vt:lpstr>Federal Tax Tables New</vt:lpstr>
      <vt:lpstr>California Tax Tables</vt:lpstr>
      <vt:lpstr>©</vt:lpstr>
      <vt:lpstr>'Paycheck Calculator'!Print_Area</vt:lpstr>
    </vt:vector>
  </TitlesOfParts>
  <Company>Spreadsheet123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Paycheck Calculator (CA)</dc:title>
  <dc:creator>Spreadsheet123.com</dc:creator>
  <dc:description>© 2013 - 2026 Spreadsheet123 LTD. All rights reserved</dc:description>
  <cp:lastModifiedBy>Spreadsheet123.com Templates</cp:lastModifiedBy>
  <cp:lastPrinted>2020-12-28T20:01:01Z</cp:lastPrinted>
  <dcterms:created xsi:type="dcterms:W3CDTF">2009-09-04T21:29:45Z</dcterms:created>
  <dcterms:modified xsi:type="dcterms:W3CDTF">2025-12-26T12:56:05Z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 2013 - 2026 Spreadsheet123 LTD.</vt:lpwstr>
  </property>
  <property fmtid="{D5CDD505-2E9C-101B-9397-08002B2CF9AE}" pid="3" name="Version">
    <vt:lpwstr>1.0.4</vt:lpwstr>
  </property>
  <property fmtid="{D5CDD505-2E9C-101B-9397-08002B2CF9AE}" pid="4" name="Source">
    <vt:lpwstr>https://www.spreadsheet123.com/calculators/net-paycheck-calculator</vt:lpwstr>
  </property>
  <property fmtid="{D5CDD505-2E9C-101B-9397-08002B2CF9AE}" pid="5" name="Year">
    <vt:lpwstr>2026</vt:lpwstr>
  </property>
</Properties>
</file>