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DieseArbeitsmappe" defaultThemeVersion="124226"/>
  <workbookProtection workbookPassword="A349" lockStructure="1"/>
  <bookViews>
    <workbookView xWindow="0" yWindow="0" windowWidth="28800" windowHeight="12435" tabRatio="848"/>
  </bookViews>
  <sheets>
    <sheet name="fimovi" sheetId="16" r:id="rId1"/>
    <sheet name="Full Version" sheetId="54" r:id="rId2"/>
    <sheet name="Quick Start" sheetId="34" r:id="rId3"/>
    <sheet name="Index" sheetId="2" r:id="rId4"/>
    <sheet name="Summary 01" sheetId="36" r:id="rId5"/>
    <sheet name="Summary 02" sheetId="35" r:id="rId6"/>
    <sheet name="Summary 03" sheetId="38" r:id="rId7"/>
    <sheet name="Summary 04" sheetId="39" r:id="rId8"/>
    <sheet name="Sales Summ" sheetId="53" r:id="rId9"/>
    <sheet name="Inputs" sheetId="1" r:id="rId10"/>
    <sheet name="Offering 1" sheetId="48" r:id="rId11"/>
    <sheet name="Offering 2" sheetId="49" r:id="rId12"/>
    <sheet name="Offering 3" sheetId="51" r:id="rId13"/>
    <sheet name="Offering 4" sheetId="52" r:id="rId14"/>
    <sheet name="Human Resources" sheetId="21" r:id="rId15"/>
    <sheet name="Costs" sheetId="44" r:id="rId16"/>
    <sheet name="Capex" sheetId="22" r:id="rId17"/>
    <sheet name="Financing" sheetId="25" r:id="rId18"/>
    <sheet name="IFS" sheetId="26" r:id="rId19"/>
    <sheet name="Debtors+Creditors" sheetId="6" r:id="rId20"/>
    <sheet name="Taxes" sheetId="47" r:id="rId21"/>
    <sheet name="Timing" sheetId="3" r:id="rId22"/>
    <sheet name="Formats" sheetId="13" r:id="rId23"/>
  </sheets>
  <definedNames>
    <definedName name="AGSatz_Pausch">Inputs!$F$137</definedName>
    <definedName name="an_aus_darlehen1">Inputs!$F$158</definedName>
    <definedName name="an_aus_lager">Inputs!$F$232</definedName>
    <definedName name="bad_debts_off1">Inputs!$F$46</definedName>
    <definedName name="Billing_Type">Formats!$B$89:$B$90</definedName>
    <definedName name="Billion">Formats!$D$70</definedName>
    <definedName name="currency">Inputs!$F$15</definedName>
    <definedName name="Currency_Label">Timing!$I$33</definedName>
    <definedName name="Currency_Unit">Inputs!$F$16</definedName>
    <definedName name="Darlehen_02_Aufnahme">Financing!$J$49:$AG$49</definedName>
    <definedName name="Darlehen_02_Gebuehren">Financing!$J$122:$AG$122</definedName>
    <definedName name="Darlehen_02_manuell">Inputs!$F$177</definedName>
    <definedName name="Darlehen_02_Tilgung">Financing!$J$50:$AG$50</definedName>
    <definedName name="Darlehen_02_Zinsen">Financing!$J$120:$AG$120</definedName>
    <definedName name="Darlehen_03_Aufnahme">Financing!$J$54:$AG$54</definedName>
    <definedName name="Darlehen_03_Gebuehren">Financing!$J$132:$AG$132</definedName>
    <definedName name="Darlehen_03_manuell">Inputs!$F$182</definedName>
    <definedName name="Darlehen_03_Tilgung">Financing!$J$55:$AG$55</definedName>
    <definedName name="Darlehen_03_Zinsen">Financing!$J$130:$AG$130</definedName>
    <definedName name="Darlehen_04_Aufnahme">Financing!$J$59:$AG$59</definedName>
    <definedName name="Darlehen_04_Gebuehren">Financing!$J$142:$AG$142</definedName>
    <definedName name="Darlehen_04_manuell">Inputs!$F$187</definedName>
    <definedName name="Darlehen_04_Tilgung">Financing!$J$60:$AG$60</definedName>
    <definedName name="Darlehen_04_Zinsen">Financing!$J$140:$AG$140</definedName>
    <definedName name="days_yr">Formats!$D$62</definedName>
    <definedName name="_xlnm.Print_Area" localSheetId="22">Formats!$A$1:$L$86</definedName>
    <definedName name="_xlnm.Print_Area" localSheetId="3">Index!$D$4:$R$53</definedName>
    <definedName name="_xlnm.Print_Area" localSheetId="9">Inputs!$B$1:$N$325</definedName>
    <definedName name="_xlnm.Print_Area" localSheetId="2">'Quick Start'!$A$1:$Q$137</definedName>
    <definedName name="_xlnm.Print_Area" localSheetId="8">'Sales Summ'!$B$10:$AG$73</definedName>
    <definedName name="_xlnm.Print_Area" localSheetId="4">'Summary 01'!$B$1:$AO$248</definedName>
    <definedName name="_xlnm.Print_Area" localSheetId="5">'Summary 02'!$C$5:$AA$91</definedName>
    <definedName name="_xlnm.Print_Area" localSheetId="6">'Summary 03'!$C$5:$AA$58</definedName>
    <definedName name="_xlnm.Print_Area" localSheetId="7">'Summary 04'!$C$5:$AA$53</definedName>
    <definedName name="_xlnm.Print_Titles" localSheetId="8">'Sales Summ'!$B:$I,'Sales Summ'!$4:$6</definedName>
    <definedName name="_xlnm.Print_Titles" localSheetId="5">'Summary 02'!$C:$G</definedName>
    <definedName name="_xlnm.Print_Titles" localSheetId="6">'Summary 03'!$C:$G</definedName>
    <definedName name="_xlnm.Print_Titles" localSheetId="7">'Summary 04'!$C:$D</definedName>
    <definedName name="Enddatum">Inputs!$F$22</definedName>
    <definedName name="Fehlerkontrolle">Inputs!$H$324</definedName>
    <definedName name="FK_01">IFS!$I$194</definedName>
    <definedName name="FK_02">IFS!$I$195</definedName>
    <definedName name="FK_03">'Summary 04'!$I$51</definedName>
    <definedName name="FK_04">Inputs!$F$287</definedName>
    <definedName name="FK_05">'Summary 01'!$J$54</definedName>
    <definedName name="FK_06">Financing!$I$77</definedName>
    <definedName name="FK_07">IFS!$I$148</definedName>
    <definedName name="FK_08">'Summary 02'!$I$91</definedName>
    <definedName name="FK_09">'Summary 03'!$I$58</definedName>
    <definedName name="FK_10">'Summary 04'!$I$53</definedName>
    <definedName name="FK_11">'Summary 01'!$I$85</definedName>
    <definedName name="FK_12">'Summary 01'!$I$174</definedName>
    <definedName name="FK_13">Taxes!$H$23</definedName>
    <definedName name="FK_16">IFS!$D$181</definedName>
    <definedName name="FK_17">IFS!$D$182</definedName>
    <definedName name="FK_18">IFS!$D$183</definedName>
    <definedName name="FK_19">IFS!$D$184</definedName>
    <definedName name="FK_20">IFS!$D$185</definedName>
    <definedName name="FK_21">Inputs!$E$348</definedName>
    <definedName name="FK_22">Inputs!$E$342</definedName>
    <definedName name="FK_23">Inputs!$E$354</definedName>
    <definedName name="FK_24">'Human Resources'!$I$177</definedName>
    <definedName name="FK_26">Inputs!$E$358</definedName>
    <definedName name="FK_27">Capex!$H$184</definedName>
    <definedName name="FK_28">Inputs!$E$342</definedName>
    <definedName name="FK_29">'Summary 01'!$J$198</definedName>
    <definedName name="FK_30">Inputs!$F$192</definedName>
    <definedName name="FK_31">Costs!$I$37</definedName>
    <definedName name="FK_32">Costs!$I$51</definedName>
    <definedName name="FQ_Torte">OFFSET('Summary 01'!$BD$257,0,0,MAX(COUNT('Summary 01'!$BD$257:$BD$262),1),1)</definedName>
    <definedName name="HR_group_03">Inputs!$C$117:$C$124</definedName>
    <definedName name="HR_group_04">Inputs!$C$127:$C$134</definedName>
    <definedName name="KSt_vorausz_j01">Inputs!$F$202</definedName>
    <definedName name="KSt_vorausz_j02">Inputs!$G$202</definedName>
    <definedName name="KSt_vorausz_j03">Inputs!$H$202</definedName>
    <definedName name="KSt_vorausz_j04">Inputs!$I$202</definedName>
    <definedName name="KSt_vorausz_j05">Inputs!$J$202</definedName>
    <definedName name="language">Inputs!$H$14</definedName>
    <definedName name="Million">Formats!$D$69</definedName>
    <definedName name="Months">Formats!$J$63:$J$74</definedName>
    <definedName name="months_yr">Formats!$D$63</definedName>
    <definedName name="mths_quarter">Formats!$D$65</definedName>
    <definedName name="Name_Author">Inputs!$F$12</definedName>
    <definedName name="Name_Company">Inputs!$F$9</definedName>
    <definedName name="name_debt_01">Inputs!$F$157</definedName>
    <definedName name="name_debt_02">Inputs!$F$176</definedName>
    <definedName name="name_debt_03">Inputs!$F$181</definedName>
    <definedName name="name_debt_04">Inputs!$F$186</definedName>
    <definedName name="Name_File">Inputs!$F$11</definedName>
    <definedName name="Name_legal_form">Inputs!$F$8</definedName>
    <definedName name="Name_Model">Inputs!$F$10</definedName>
    <definedName name="Name_VAT">Inputs!$F$209</definedName>
    <definedName name="OnOff_PS1">Inputs!$F$27</definedName>
    <definedName name="OnOff_PS2">Inputs!$F$90</definedName>
    <definedName name="OnOff_PS3">Inputs!$F$95</definedName>
    <definedName name="OnOff_PS4">Inputs!$F$100</definedName>
    <definedName name="Period_End">Timing!$J$5:$AG$5</definedName>
    <definedName name="Period_Start">Timing!$J$4:$AG$4</definedName>
    <definedName name="Periodicity">Formats!$J$77:$J$80</definedName>
    <definedName name="Pf_hor_ja">Formats!$D$80</definedName>
    <definedName name="Pf_hor_nein">Formats!$D$81</definedName>
    <definedName name="Pf_li">Formats!$D$78</definedName>
    <definedName name="Pf_re">Formats!$D$79</definedName>
    <definedName name="Pf_unt_ja">Formats!$D$76</definedName>
    <definedName name="Pf_unt_nein">Formats!$D$77</definedName>
    <definedName name="PS_01">Inputs!$F$30</definedName>
    <definedName name="PS_02">Inputs!$F$93</definedName>
    <definedName name="PS_03">Inputs!$F$98</definedName>
    <definedName name="PS_04">Inputs!$F$103</definedName>
    <definedName name="quarters_yr">Formats!$D$64</definedName>
    <definedName name="Rev_share_basis">Formats!$B$93:$B$96</definedName>
    <definedName name="Rückzahlungsmethode">Formats!$D$88:$D$90</definedName>
    <definedName name="Startdatum">Inputs!$F$20</definedName>
    <definedName name="Thousand">Formats!$D$68</definedName>
    <definedName name="Tolerance">Formats!$D$67</definedName>
    <definedName name="VAT_Rate_00">Inputs!$F$211</definedName>
    <definedName name="VAT_Rate_01">Inputs!$F$212</definedName>
    <definedName name="VAT_Rate_02">Inputs!$F$213</definedName>
    <definedName name="VAT_Rate_03">Inputs!$F$214</definedName>
    <definedName name="VAT_Rates">Inputs!$C$211:$C$214</definedName>
    <definedName name="VerySmallNumber">Formats!$D$71</definedName>
    <definedName name="VV_KSt">Inputs!$F$199</definedName>
  </definedNames>
  <calcPr calcId="145621" iterate="1"/>
</workbook>
</file>

<file path=xl/calcChain.xml><?xml version="1.0" encoding="utf-8"?>
<calcChain xmlns="http://schemas.openxmlformats.org/spreadsheetml/2006/main">
  <c r="C13" i="26" l="1"/>
  <c r="C14" i="26"/>
  <c r="C15" i="26"/>
  <c r="F39" i="54"/>
  <c r="D39" i="54"/>
  <c r="F34" i="54"/>
  <c r="D34" i="54"/>
  <c r="H254" i="1" l="1"/>
  <c r="H252" i="1"/>
  <c r="H251" i="1"/>
  <c r="H249" i="1"/>
  <c r="H248" i="1"/>
  <c r="H246" i="1"/>
  <c r="H245" i="1"/>
  <c r="H241" i="1"/>
  <c r="H240" i="1"/>
  <c r="H239" i="1"/>
  <c r="F257" i="1" l="1"/>
  <c r="E42" i="25"/>
  <c r="F27" i="1"/>
  <c r="D10" i="53" s="1"/>
  <c r="E42" i="48"/>
  <c r="I45" i="1"/>
  <c r="F47" i="48"/>
  <c r="G47" i="48" s="1"/>
  <c r="Q50" i="48" s="1"/>
  <c r="Q39" i="6" s="1"/>
  <c r="F46" i="48"/>
  <c r="G46" i="48" s="1"/>
  <c r="J7" i="49"/>
  <c r="E35" i="48"/>
  <c r="F90" i="1"/>
  <c r="D71" i="53" s="1"/>
  <c r="K7" i="49"/>
  <c r="K17" i="6"/>
  <c r="F95" i="1"/>
  <c r="F10" i="51" s="1"/>
  <c r="V41" i="6"/>
  <c r="F100" i="1"/>
  <c r="D73" i="53" s="1"/>
  <c r="O42" i="6"/>
  <c r="J7" i="52"/>
  <c r="E20" i="6"/>
  <c r="F20" i="6"/>
  <c r="J7" i="6"/>
  <c r="J9" i="6" s="1"/>
  <c r="E15" i="25"/>
  <c r="F15" i="25" s="1"/>
  <c r="I76" i="25"/>
  <c r="G54" i="1"/>
  <c r="G32" i="1"/>
  <c r="I16" i="48" s="1"/>
  <c r="H31" i="1"/>
  <c r="E36" i="53" s="1"/>
  <c r="C113" i="48"/>
  <c r="C114" i="48" s="1"/>
  <c r="C115" i="48" s="1"/>
  <c r="C116" i="48" s="1"/>
  <c r="C117" i="48" s="1"/>
  <c r="C118" i="48" s="1"/>
  <c r="C119" i="48" s="1"/>
  <c r="C120" i="48" s="1"/>
  <c r="C121" i="48" s="1"/>
  <c r="C122" i="48" s="1"/>
  <c r="C123" i="48" s="1"/>
  <c r="C124" i="48" s="1"/>
  <c r="C125" i="48" s="1"/>
  <c r="C126" i="48" s="1"/>
  <c r="C127" i="48" s="1"/>
  <c r="C128" i="48" s="1"/>
  <c r="C129" i="48" s="1"/>
  <c r="C130" i="48" s="1"/>
  <c r="C131" i="48" s="1"/>
  <c r="C132" i="48" s="1"/>
  <c r="C133" i="48" s="1"/>
  <c r="C134" i="48" s="1"/>
  <c r="C135" i="48" s="1"/>
  <c r="C196" i="48"/>
  <c r="C197" i="48" s="1"/>
  <c r="C198" i="48"/>
  <c r="C199" i="48" s="1"/>
  <c r="C200" i="48" s="1"/>
  <c r="C201" i="48" s="1"/>
  <c r="C202" i="48" s="1"/>
  <c r="C203" i="48" s="1"/>
  <c r="C204" i="48" s="1"/>
  <c r="C205" i="48" s="1"/>
  <c r="C206" i="48" s="1"/>
  <c r="C207" i="48" s="1"/>
  <c r="C208" i="48" s="1"/>
  <c r="C209" i="48" s="1"/>
  <c r="C210" i="48" s="1"/>
  <c r="C211" i="48" s="1"/>
  <c r="C212" i="48" s="1"/>
  <c r="C213" i="48" s="1"/>
  <c r="C214" i="48" s="1"/>
  <c r="C215" i="48" s="1"/>
  <c r="C216" i="48" s="1"/>
  <c r="C217" i="48" s="1"/>
  <c r="C218" i="48" s="1"/>
  <c r="E60" i="48"/>
  <c r="E61" i="48"/>
  <c r="E62" i="48"/>
  <c r="E63" i="48"/>
  <c r="E64" i="48"/>
  <c r="C86" i="48"/>
  <c r="C87" i="48" s="1"/>
  <c r="C88" i="48" s="1"/>
  <c r="C89" i="48" s="1"/>
  <c r="C90" i="48" s="1"/>
  <c r="C91" i="48" s="1"/>
  <c r="C92" i="48" s="1"/>
  <c r="C93" i="48" s="1"/>
  <c r="C94" i="48" s="1"/>
  <c r="C95" i="48" s="1"/>
  <c r="C96" i="48" s="1"/>
  <c r="C97" i="48" s="1"/>
  <c r="C98" i="48" s="1"/>
  <c r="C99" i="48" s="1"/>
  <c r="C100" i="48" s="1"/>
  <c r="C101" i="48" s="1"/>
  <c r="C102" i="48" s="1"/>
  <c r="C103" i="48" s="1"/>
  <c r="C104" i="48" s="1"/>
  <c r="C105" i="48" s="1"/>
  <c r="C106" i="48" s="1"/>
  <c r="C107" i="48" s="1"/>
  <c r="C108" i="48" s="1"/>
  <c r="F41" i="1"/>
  <c r="G41" i="1" s="1"/>
  <c r="E29" i="48"/>
  <c r="C168" i="48"/>
  <c r="C169" i="48" s="1"/>
  <c r="C170" i="48" s="1"/>
  <c r="C171" i="48" s="1"/>
  <c r="C172" i="48" s="1"/>
  <c r="C173" i="48" s="1"/>
  <c r="C174" i="48" s="1"/>
  <c r="C175" i="48" s="1"/>
  <c r="C176" i="48" s="1"/>
  <c r="C177" i="48" s="1"/>
  <c r="C178" i="48" s="1"/>
  <c r="C179" i="48" s="1"/>
  <c r="C180" i="48" s="1"/>
  <c r="C181" i="48" s="1"/>
  <c r="C182" i="48" s="1"/>
  <c r="C183" i="48" s="1"/>
  <c r="C184" i="48" s="1"/>
  <c r="C185" i="48" s="1"/>
  <c r="C186" i="48" s="1"/>
  <c r="C187" i="48" s="1"/>
  <c r="C188" i="48" s="1"/>
  <c r="C189" i="48" s="1"/>
  <c r="C190" i="48" s="1"/>
  <c r="E32" i="48"/>
  <c r="E65" i="48"/>
  <c r="F79" i="1"/>
  <c r="F80" i="1" s="1"/>
  <c r="G110" i="1" s="1"/>
  <c r="H110" i="1" s="1"/>
  <c r="G109" i="1"/>
  <c r="H109" i="1" s="1"/>
  <c r="E86" i="21"/>
  <c r="E120" i="21"/>
  <c r="E121" i="21"/>
  <c r="E122" i="21"/>
  <c r="E123" i="21"/>
  <c r="E124" i="21"/>
  <c r="E125" i="21"/>
  <c r="E49" i="6"/>
  <c r="E50" i="6"/>
  <c r="E51" i="6"/>
  <c r="E52" i="6"/>
  <c r="E53" i="6"/>
  <c r="E54" i="6"/>
  <c r="E55" i="6"/>
  <c r="E56" i="6"/>
  <c r="E57" i="6"/>
  <c r="E58" i="6"/>
  <c r="E59" i="6"/>
  <c r="E60" i="6"/>
  <c r="E62" i="6"/>
  <c r="E63" i="6"/>
  <c r="E64" i="6"/>
  <c r="E65" i="6"/>
  <c r="E66" i="6"/>
  <c r="E67" i="6"/>
  <c r="E68" i="6"/>
  <c r="E69" i="6"/>
  <c r="E70" i="6"/>
  <c r="E71" i="6"/>
  <c r="E72" i="6"/>
  <c r="E73" i="6"/>
  <c r="E75" i="6"/>
  <c r="E76" i="6"/>
  <c r="E77" i="6"/>
  <c r="E78" i="6"/>
  <c r="E79" i="6"/>
  <c r="E80" i="6"/>
  <c r="E81" i="6"/>
  <c r="E82" i="6"/>
  <c r="E83" i="6"/>
  <c r="E84" i="6"/>
  <c r="E85" i="6"/>
  <c r="E86" i="6"/>
  <c r="E98" i="6"/>
  <c r="I220" i="1"/>
  <c r="G98" i="6" s="1"/>
  <c r="G63" i="1"/>
  <c r="H17" i="21" s="1"/>
  <c r="F17" i="21"/>
  <c r="G113" i="1"/>
  <c r="G83" i="1"/>
  <c r="H18" i="21" s="1"/>
  <c r="F18" i="21"/>
  <c r="G114" i="1"/>
  <c r="E129" i="21"/>
  <c r="E130" i="21"/>
  <c r="E131" i="21"/>
  <c r="E132" i="21"/>
  <c r="E133" i="21"/>
  <c r="E134" i="21"/>
  <c r="E138" i="21"/>
  <c r="E139" i="21"/>
  <c r="E140" i="21"/>
  <c r="E141" i="21"/>
  <c r="E142" i="21"/>
  <c r="E143" i="21"/>
  <c r="E147" i="21"/>
  <c r="E148" i="21"/>
  <c r="E149" i="21"/>
  <c r="E150" i="21"/>
  <c r="E151" i="21"/>
  <c r="E152" i="21"/>
  <c r="E89" i="6"/>
  <c r="F89" i="6"/>
  <c r="J122" i="6"/>
  <c r="H10" i="22"/>
  <c r="G32" i="22" s="1"/>
  <c r="E32" i="22"/>
  <c r="H42" i="22"/>
  <c r="G65" i="22" s="1"/>
  <c r="E65" i="22"/>
  <c r="H68" i="22"/>
  <c r="G91" i="22" s="1"/>
  <c r="E91" i="22"/>
  <c r="H94" i="22"/>
  <c r="G117" i="22" s="1"/>
  <c r="E117" i="22"/>
  <c r="H127" i="22"/>
  <c r="G149" i="22" s="1"/>
  <c r="E149" i="22"/>
  <c r="I69" i="25"/>
  <c r="H193" i="1"/>
  <c r="E71" i="25" s="1"/>
  <c r="F162" i="1"/>
  <c r="F89" i="25" s="1"/>
  <c r="G163" i="1"/>
  <c r="F167" i="1" s="1"/>
  <c r="F95" i="25" s="1"/>
  <c r="H170" i="1"/>
  <c r="E106" i="25" s="1"/>
  <c r="E119" i="25"/>
  <c r="F119" i="25" s="1"/>
  <c r="E129" i="25"/>
  <c r="F129" i="25" s="1"/>
  <c r="E139" i="25"/>
  <c r="F139" i="25" s="1"/>
  <c r="F103" i="25"/>
  <c r="G159" i="1"/>
  <c r="F172" i="1" s="1"/>
  <c r="E103" i="25" s="1"/>
  <c r="H173" i="1"/>
  <c r="E104" i="25" s="1"/>
  <c r="I147" i="25"/>
  <c r="E55" i="47"/>
  <c r="F55" i="47" s="1"/>
  <c r="G55" i="47" s="1"/>
  <c r="H55" i="47" s="1"/>
  <c r="J48" i="47"/>
  <c r="K33" i="47"/>
  <c r="L33" i="47" s="1"/>
  <c r="M33" i="47" s="1"/>
  <c r="N33" i="47" s="1"/>
  <c r="G82" i="48"/>
  <c r="N14" i="48"/>
  <c r="C140" i="48"/>
  <c r="C141" i="48" s="1"/>
  <c r="C142" i="48" s="1"/>
  <c r="C143" i="48" s="1"/>
  <c r="C144" i="48" s="1"/>
  <c r="C145" i="48" s="1"/>
  <c r="C146" i="48" s="1"/>
  <c r="C147" i="48" s="1"/>
  <c r="C148" i="48" s="1"/>
  <c r="C149" i="48" s="1"/>
  <c r="C150" i="48" s="1"/>
  <c r="C151" i="48" s="1"/>
  <c r="C152" i="48" s="1"/>
  <c r="C153" i="48" s="1"/>
  <c r="C154" i="48" s="1"/>
  <c r="C155" i="48" s="1"/>
  <c r="C156" i="48" s="1"/>
  <c r="C157" i="48" s="1"/>
  <c r="C158" i="48" s="1"/>
  <c r="C159" i="48" s="1"/>
  <c r="C160" i="48" s="1"/>
  <c r="C161" i="48" s="1"/>
  <c r="C162" i="48" s="1"/>
  <c r="I21" i="6"/>
  <c r="I207" i="26"/>
  <c r="E85" i="25"/>
  <c r="G42" i="25"/>
  <c r="F42" i="25" s="1"/>
  <c r="G52" i="1"/>
  <c r="B30" i="48" s="1"/>
  <c r="E77" i="48"/>
  <c r="F77" i="48"/>
  <c r="E72" i="48"/>
  <c r="I88" i="1"/>
  <c r="G72" i="48" s="1"/>
  <c r="G200" i="26"/>
  <c r="G202" i="26"/>
  <c r="E76" i="48"/>
  <c r="E75" i="48"/>
  <c r="J78" i="44"/>
  <c r="E90" i="21"/>
  <c r="E91" i="21"/>
  <c r="E95" i="21"/>
  <c r="E96" i="21"/>
  <c r="E97" i="21"/>
  <c r="E98" i="21"/>
  <c r="E99" i="21"/>
  <c r="E100" i="21"/>
  <c r="E101" i="21"/>
  <c r="E102" i="21"/>
  <c r="E106" i="21"/>
  <c r="E107" i="21"/>
  <c r="E108" i="21"/>
  <c r="E109" i="21"/>
  <c r="E110" i="21"/>
  <c r="E111" i="21"/>
  <c r="E112" i="21"/>
  <c r="E113" i="21"/>
  <c r="E95" i="44"/>
  <c r="G216" i="1"/>
  <c r="F28" i="47" s="1"/>
  <c r="I84" i="25"/>
  <c r="K78" i="44"/>
  <c r="K61" i="44"/>
  <c r="L61" i="44" s="1"/>
  <c r="M61" i="44" s="1"/>
  <c r="N61" i="44" s="1"/>
  <c r="O61" i="44" s="1"/>
  <c r="P61" i="44" s="1"/>
  <c r="Q61" i="44" s="1"/>
  <c r="R61" i="44" s="1"/>
  <c r="S61" i="44" s="1"/>
  <c r="T61" i="44" s="1"/>
  <c r="U61" i="44" s="1"/>
  <c r="V61" i="44" s="1"/>
  <c r="W61" i="44" s="1"/>
  <c r="X61" i="44" s="1"/>
  <c r="Y61" i="44" s="1"/>
  <c r="Z61" i="44" s="1"/>
  <c r="AA61" i="44" s="1"/>
  <c r="AB61" i="44" s="1"/>
  <c r="AC61" i="44" s="1"/>
  <c r="AD61" i="44" s="1"/>
  <c r="AE61" i="44" s="1"/>
  <c r="AF61" i="44" s="1"/>
  <c r="AG61" i="44" s="1"/>
  <c r="L78" i="44"/>
  <c r="M78" i="44"/>
  <c r="N78" i="44"/>
  <c r="O78" i="44"/>
  <c r="P78" i="44"/>
  <c r="Q78" i="44"/>
  <c r="R78" i="44"/>
  <c r="S78" i="44"/>
  <c r="T78" i="44"/>
  <c r="F113" i="1"/>
  <c r="F114" i="1"/>
  <c r="H117" i="1"/>
  <c r="H118" i="1"/>
  <c r="H119" i="1"/>
  <c r="H120" i="1"/>
  <c r="H121" i="1"/>
  <c r="H122" i="1"/>
  <c r="H123" i="1"/>
  <c r="H124" i="1"/>
  <c r="H127" i="1"/>
  <c r="H128" i="1"/>
  <c r="H129" i="1"/>
  <c r="H130" i="1"/>
  <c r="H131" i="1"/>
  <c r="H132" i="1"/>
  <c r="H133" i="1"/>
  <c r="H134" i="1"/>
  <c r="K48" i="47"/>
  <c r="I18" i="22"/>
  <c r="G19" i="22"/>
  <c r="I51" i="22"/>
  <c r="G52" i="22"/>
  <c r="I77" i="22"/>
  <c r="G78" i="22"/>
  <c r="I103" i="22"/>
  <c r="G104" i="22"/>
  <c r="I135" i="22"/>
  <c r="G136" i="22"/>
  <c r="V78" i="44"/>
  <c r="W78" i="44"/>
  <c r="X78" i="44"/>
  <c r="Y78" i="44"/>
  <c r="Z78" i="44"/>
  <c r="AA78" i="44"/>
  <c r="AB78" i="44"/>
  <c r="AC78" i="44"/>
  <c r="AD78" i="44"/>
  <c r="AE78" i="44"/>
  <c r="AF78" i="44"/>
  <c r="AG78" i="44"/>
  <c r="F17" i="2"/>
  <c r="F18" i="2" s="1"/>
  <c r="F19" i="2" s="1"/>
  <c r="F20" i="2" s="1"/>
  <c r="F21" i="2" s="1"/>
  <c r="F22" i="2" s="1"/>
  <c r="F23" i="2" s="1"/>
  <c r="F24" i="2" s="1"/>
  <c r="F25" i="2" s="1"/>
  <c r="F26" i="2" s="1"/>
  <c r="F27" i="2" s="1"/>
  <c r="F28" i="2" s="1"/>
  <c r="F29" i="2" s="1"/>
  <c r="F30" i="2" s="1"/>
  <c r="F31" i="2" s="1"/>
  <c r="F32" i="2" s="1"/>
  <c r="F33" i="2" s="1"/>
  <c r="F34" i="2" s="1"/>
  <c r="F35" i="2" s="1"/>
  <c r="F36" i="2" s="1"/>
  <c r="H14" i="1"/>
  <c r="C172" i="26" s="1"/>
  <c r="C29" i="39" s="1"/>
  <c r="C36" i="44"/>
  <c r="H321" i="1"/>
  <c r="C42" i="48"/>
  <c r="C40" i="48"/>
  <c r="U78" i="44"/>
  <c r="C71" i="36"/>
  <c r="C70" i="36"/>
  <c r="C69" i="36"/>
  <c r="C27" i="35"/>
  <c r="C63" i="36"/>
  <c r="C182" i="22"/>
  <c r="G203" i="26"/>
  <c r="E211" i="26"/>
  <c r="I219" i="1"/>
  <c r="G211" i="26" s="1"/>
  <c r="F260" i="1"/>
  <c r="F258" i="1" s="1"/>
  <c r="F266" i="1"/>
  <c r="F271" i="1"/>
  <c r="V187" i="36"/>
  <c r="V186" i="36"/>
  <c r="V184" i="36"/>
  <c r="C74" i="1"/>
  <c r="C47" i="1"/>
  <c r="G111" i="1"/>
  <c r="C38" i="1"/>
  <c r="C101" i="1"/>
  <c r="C96" i="1"/>
  <c r="C91" i="1"/>
  <c r="C28" i="1"/>
  <c r="C45" i="1"/>
  <c r="C87" i="1"/>
  <c r="C88" i="1"/>
  <c r="F36" i="53"/>
  <c r="C51" i="53"/>
  <c r="F30" i="44"/>
  <c r="F29" i="44" s="1"/>
  <c r="C56" i="53"/>
  <c r="C54" i="53"/>
  <c r="C57" i="53"/>
  <c r="C17" i="25"/>
  <c r="V37" i="36" s="1"/>
  <c r="C64" i="36"/>
  <c r="C65" i="36"/>
  <c r="C62" i="36"/>
  <c r="E70" i="25"/>
  <c r="I147" i="26"/>
  <c r="C18" i="25"/>
  <c r="V38" i="36" s="1"/>
  <c r="C211" i="26"/>
  <c r="C15" i="47"/>
  <c r="C111" i="26"/>
  <c r="C20" i="38" s="1"/>
  <c r="C235" i="1"/>
  <c r="F238" i="1"/>
  <c r="C209" i="26"/>
  <c r="G210" i="26"/>
  <c r="I38" i="22"/>
  <c r="I155" i="22"/>
  <c r="I95" i="6"/>
  <c r="J92" i="6" s="1"/>
  <c r="I342" i="1"/>
  <c r="I123" i="6"/>
  <c r="J120" i="6" s="1"/>
  <c r="C200" i="26"/>
  <c r="I158" i="26"/>
  <c r="C7" i="26"/>
  <c r="D7" i="26"/>
  <c r="C56" i="44"/>
  <c r="C55" i="44"/>
  <c r="C54" i="44"/>
  <c r="C53" i="44"/>
  <c r="C50" i="44"/>
  <c r="C49" i="44"/>
  <c r="C48" i="44"/>
  <c r="C47" i="44"/>
  <c r="C62" i="35"/>
  <c r="C61" i="35"/>
  <c r="C60" i="35"/>
  <c r="C59" i="35"/>
  <c r="C46" i="35"/>
  <c r="C45" i="35"/>
  <c r="C44" i="35"/>
  <c r="C43" i="35"/>
  <c r="C30" i="35"/>
  <c r="C29" i="35"/>
  <c r="C22" i="35"/>
  <c r="C21" i="35"/>
  <c r="C20" i="35"/>
  <c r="C19" i="35"/>
  <c r="C72" i="53"/>
  <c r="C73" i="53"/>
  <c r="C11" i="25"/>
  <c r="C36" i="36" s="1"/>
  <c r="C72" i="48"/>
  <c r="C14" i="47"/>
  <c r="C35" i="48"/>
  <c r="C78" i="48"/>
  <c r="C102" i="6"/>
  <c r="C42" i="6"/>
  <c r="C41" i="6"/>
  <c r="C40" i="6"/>
  <c r="C39" i="6"/>
  <c r="C19" i="6"/>
  <c r="C18" i="6"/>
  <c r="C17" i="6"/>
  <c r="C16" i="6"/>
  <c r="J38" i="6"/>
  <c r="C27" i="6"/>
  <c r="C26" i="6"/>
  <c r="C25" i="6"/>
  <c r="C24" i="6"/>
  <c r="C42" i="44"/>
  <c r="C41" i="44"/>
  <c r="C40" i="44"/>
  <c r="C39" i="44"/>
  <c r="C35" i="44"/>
  <c r="C34" i="44"/>
  <c r="C75" i="26"/>
  <c r="C74" i="35" s="1"/>
  <c r="C74" i="26"/>
  <c r="C73" i="35" s="1"/>
  <c r="C73" i="26"/>
  <c r="C72" i="35" s="1"/>
  <c r="C72" i="26"/>
  <c r="C71" i="35" s="1"/>
  <c r="C71" i="26"/>
  <c r="C70" i="35" s="1"/>
  <c r="C70" i="26"/>
  <c r="C69" i="35" s="1"/>
  <c r="C69" i="26"/>
  <c r="C68" i="35" s="1"/>
  <c r="C68" i="26"/>
  <c r="C67" i="35" s="1"/>
  <c r="C67" i="26"/>
  <c r="C66" i="35" s="1"/>
  <c r="C66" i="26"/>
  <c r="C65" i="35" s="1"/>
  <c r="C65" i="26"/>
  <c r="C64" i="35" s="1"/>
  <c r="C64" i="26"/>
  <c r="C63" i="35" s="1"/>
  <c r="C59" i="26"/>
  <c r="C58" i="35" s="1"/>
  <c r="C58" i="26"/>
  <c r="C57" i="35" s="1"/>
  <c r="C57" i="26"/>
  <c r="C56" i="35" s="1"/>
  <c r="C56" i="26"/>
  <c r="C55" i="35" s="1"/>
  <c r="C55" i="26"/>
  <c r="C54" i="35" s="1"/>
  <c r="C54" i="26"/>
  <c r="C53" i="35" s="1"/>
  <c r="C53" i="26"/>
  <c r="C52" i="35" s="1"/>
  <c r="C52" i="26"/>
  <c r="C51" i="35" s="1"/>
  <c r="C51" i="26"/>
  <c r="C50" i="35" s="1"/>
  <c r="C50" i="26"/>
  <c r="C49" i="35" s="1"/>
  <c r="C49" i="26"/>
  <c r="C48" i="35" s="1"/>
  <c r="C48" i="26"/>
  <c r="C47" i="35" s="1"/>
  <c r="C43" i="26"/>
  <c r="C42" i="35" s="1"/>
  <c r="C42" i="26"/>
  <c r="C41" i="35" s="1"/>
  <c r="C41" i="26"/>
  <c r="C40" i="35" s="1"/>
  <c r="C40" i="26"/>
  <c r="C39" i="35" s="1"/>
  <c r="C39" i="26"/>
  <c r="C38" i="35" s="1"/>
  <c r="C38" i="26"/>
  <c r="C37" i="35" s="1"/>
  <c r="C37" i="26"/>
  <c r="C36" i="35" s="1"/>
  <c r="C36" i="26"/>
  <c r="C35" i="35" s="1"/>
  <c r="C35" i="26"/>
  <c r="C34" i="35" s="1"/>
  <c r="C34" i="26"/>
  <c r="C33" i="35" s="1"/>
  <c r="C33" i="26"/>
  <c r="C32" i="35" s="1"/>
  <c r="C32" i="26"/>
  <c r="C31" i="35" s="1"/>
  <c r="C110" i="1"/>
  <c r="C71" i="53"/>
  <c r="C10" i="53"/>
  <c r="C175" i="21"/>
  <c r="C172" i="21"/>
  <c r="C169" i="21"/>
  <c r="C14" i="35"/>
  <c r="C13" i="35"/>
  <c r="C12" i="35"/>
  <c r="C12" i="26"/>
  <c r="C11" i="35" s="1"/>
  <c r="G41" i="48"/>
  <c r="C1" i="36"/>
  <c r="G192" i="1"/>
  <c r="F179" i="36"/>
  <c r="C137" i="36"/>
  <c r="C60" i="36"/>
  <c r="C32" i="53"/>
  <c r="C30" i="53"/>
  <c r="C11" i="53"/>
  <c r="D8" i="53"/>
  <c r="C8" i="53"/>
  <c r="D7" i="53"/>
  <c r="C7" i="53"/>
  <c r="C3" i="53"/>
  <c r="C10" i="49"/>
  <c r="C10" i="51"/>
  <c r="C10" i="52"/>
  <c r="D8" i="52"/>
  <c r="C8" i="52"/>
  <c r="D7" i="52"/>
  <c r="C7" i="52"/>
  <c r="C3" i="52"/>
  <c r="D8" i="51"/>
  <c r="C8" i="51"/>
  <c r="D7" i="51"/>
  <c r="C7" i="51"/>
  <c r="C3" i="51"/>
  <c r="D8" i="49"/>
  <c r="C8" i="49"/>
  <c r="D7" i="49"/>
  <c r="C7" i="49"/>
  <c r="C3" i="49"/>
  <c r="C86" i="6"/>
  <c r="C85" i="6"/>
  <c r="C84" i="6"/>
  <c r="C83" i="6"/>
  <c r="C82" i="6"/>
  <c r="C81" i="6"/>
  <c r="C80" i="6"/>
  <c r="C79" i="6"/>
  <c r="C78" i="6"/>
  <c r="C77" i="6"/>
  <c r="C76" i="6"/>
  <c r="C73" i="6"/>
  <c r="C72" i="6"/>
  <c r="C71" i="6"/>
  <c r="C70" i="6"/>
  <c r="C69" i="6"/>
  <c r="C68" i="6"/>
  <c r="C67" i="6"/>
  <c r="C66" i="6"/>
  <c r="C65" i="6"/>
  <c r="C64" i="6"/>
  <c r="C63" i="6"/>
  <c r="C60" i="6"/>
  <c r="C59" i="6"/>
  <c r="C58" i="6"/>
  <c r="C57" i="6"/>
  <c r="C56" i="6"/>
  <c r="C55" i="6"/>
  <c r="C54" i="6"/>
  <c r="C53" i="6"/>
  <c r="C52" i="6"/>
  <c r="C51" i="6"/>
  <c r="C50" i="6"/>
  <c r="C76" i="44"/>
  <c r="C60" i="44"/>
  <c r="C73" i="44" s="1"/>
  <c r="C33" i="44"/>
  <c r="C146" i="21"/>
  <c r="B146" i="21"/>
  <c r="C105" i="21"/>
  <c r="B105" i="21"/>
  <c r="C69" i="21"/>
  <c r="B69" i="21"/>
  <c r="C137" i="21"/>
  <c r="B137" i="21"/>
  <c r="C94" i="21"/>
  <c r="B94" i="21"/>
  <c r="C58" i="21"/>
  <c r="B58" i="21"/>
  <c r="C128" i="21"/>
  <c r="B128" i="21"/>
  <c r="C89" i="21"/>
  <c r="B89" i="21"/>
  <c r="C53" i="21"/>
  <c r="B53" i="21"/>
  <c r="B119" i="21"/>
  <c r="B85" i="21"/>
  <c r="B49" i="21"/>
  <c r="B12" i="21"/>
  <c r="C16" i="21"/>
  <c r="C162" i="21" s="1"/>
  <c r="B16" i="21"/>
  <c r="B21" i="21"/>
  <c r="C21" i="21"/>
  <c r="C163" i="21" s="1"/>
  <c r="B32" i="21"/>
  <c r="C32" i="21"/>
  <c r="C164" i="21" s="1"/>
  <c r="G115" i="1"/>
  <c r="C126" i="21"/>
  <c r="C125" i="21"/>
  <c r="C124" i="21"/>
  <c r="C123" i="21"/>
  <c r="C122" i="21"/>
  <c r="C121" i="21"/>
  <c r="C120" i="21"/>
  <c r="C87" i="21"/>
  <c r="C40" i="21"/>
  <c r="C39" i="21"/>
  <c r="C76" i="21" s="1"/>
  <c r="C38" i="21"/>
  <c r="C111" i="21" s="1"/>
  <c r="C37" i="21"/>
  <c r="C74" i="21" s="1"/>
  <c r="C36" i="21"/>
  <c r="C73" i="21" s="1"/>
  <c r="C29" i="21"/>
  <c r="C66" i="21" s="1"/>
  <c r="C28" i="21"/>
  <c r="C65" i="21" s="1"/>
  <c r="C27" i="21"/>
  <c r="C64" i="21" s="1"/>
  <c r="C26" i="21"/>
  <c r="C63" i="21" s="1"/>
  <c r="C25" i="21"/>
  <c r="C62" i="21" s="1"/>
  <c r="C18" i="21"/>
  <c r="C91" i="21" s="1"/>
  <c r="G278" i="1"/>
  <c r="G274" i="1"/>
  <c r="C33" i="48"/>
  <c r="C74" i="48"/>
  <c r="G34" i="48"/>
  <c r="D8" i="48"/>
  <c r="D7" i="48"/>
  <c r="C8" i="48"/>
  <c r="C7" i="48"/>
  <c r="C3" i="48"/>
  <c r="C10" i="48"/>
  <c r="C12" i="48"/>
  <c r="C20" i="48"/>
  <c r="C31" i="48"/>
  <c r="C44" i="48"/>
  <c r="C57" i="48"/>
  <c r="C59" i="48"/>
  <c r="C65" i="48"/>
  <c r="G71" i="48"/>
  <c r="C80" i="48"/>
  <c r="G205" i="1"/>
  <c r="H205" i="1" s="1"/>
  <c r="I205" i="1" s="1"/>
  <c r="C97" i="6"/>
  <c r="C216" i="1"/>
  <c r="N88" i="36"/>
  <c r="AW274" i="36"/>
  <c r="AW275" i="36"/>
  <c r="AW282" i="36"/>
  <c r="C126" i="36" s="1"/>
  <c r="AW281" i="36"/>
  <c r="C125" i="36" s="1"/>
  <c r="F244" i="1"/>
  <c r="G244" i="1" s="1"/>
  <c r="C153" i="36"/>
  <c r="C194" i="36"/>
  <c r="C191" i="36"/>
  <c r="C53" i="39"/>
  <c r="C124" i="26"/>
  <c r="C33" i="38" s="1"/>
  <c r="V51" i="36"/>
  <c r="V42" i="36"/>
  <c r="V41" i="36"/>
  <c r="V48" i="36"/>
  <c r="C33" i="25"/>
  <c r="C41" i="36"/>
  <c r="C40" i="36"/>
  <c r="C38" i="36"/>
  <c r="C29" i="47"/>
  <c r="C21" i="47"/>
  <c r="C115" i="6"/>
  <c r="C98" i="6"/>
  <c r="AW262" i="36"/>
  <c r="C17" i="36"/>
  <c r="AW261" i="36" s="1"/>
  <c r="C16" i="36"/>
  <c r="C15" i="36"/>
  <c r="AW259" i="36" s="1"/>
  <c r="C14" i="36"/>
  <c r="C43" i="36" s="1"/>
  <c r="C87" i="35"/>
  <c r="C86" i="35"/>
  <c r="C85" i="35"/>
  <c r="C84" i="35"/>
  <c r="C83" i="35"/>
  <c r="C82" i="35"/>
  <c r="C80" i="35"/>
  <c r="C79" i="35"/>
  <c r="C78" i="35"/>
  <c r="C77" i="35"/>
  <c r="C76" i="35"/>
  <c r="C28" i="35"/>
  <c r="C26" i="35"/>
  <c r="C25" i="35"/>
  <c r="C24" i="35"/>
  <c r="C23" i="35"/>
  <c r="C17" i="35"/>
  <c r="C16" i="35"/>
  <c r="C190" i="26"/>
  <c r="C47" i="39" s="1"/>
  <c r="C32" i="38"/>
  <c r="C31" i="38"/>
  <c r="C30" i="38"/>
  <c r="C29" i="38"/>
  <c r="C28" i="38"/>
  <c r="C27" i="38"/>
  <c r="C26" i="38"/>
  <c r="C24" i="38"/>
  <c r="C23" i="38"/>
  <c r="C14" i="38"/>
  <c r="C13" i="38"/>
  <c r="C12" i="38"/>
  <c r="C11" i="38"/>
  <c r="C52" i="39"/>
  <c r="C51" i="39"/>
  <c r="I48" i="39"/>
  <c r="I47" i="39"/>
  <c r="I38" i="39"/>
  <c r="I43" i="39" s="1"/>
  <c r="C49" i="39"/>
  <c r="C48" i="39"/>
  <c r="C46" i="39"/>
  <c r="C45" i="39"/>
  <c r="C44" i="39"/>
  <c r="C43" i="39"/>
  <c r="C37" i="39"/>
  <c r="C36" i="39"/>
  <c r="C35" i="39"/>
  <c r="C34" i="39"/>
  <c r="I29" i="39"/>
  <c r="I27" i="39"/>
  <c r="I24" i="39"/>
  <c r="I22" i="39"/>
  <c r="I172" i="26"/>
  <c r="I170" i="26"/>
  <c r="C33" i="39"/>
  <c r="C28" i="39"/>
  <c r="C27" i="39"/>
  <c r="C26" i="39"/>
  <c r="C25" i="39"/>
  <c r="C21" i="39"/>
  <c r="I19" i="39"/>
  <c r="I17" i="39"/>
  <c r="C20" i="39"/>
  <c r="C19" i="39"/>
  <c r="C16" i="39"/>
  <c r="C14" i="39"/>
  <c r="C9" i="39"/>
  <c r="C13" i="39"/>
  <c r="I96" i="26"/>
  <c r="H322" i="1"/>
  <c r="H320" i="1"/>
  <c r="N48" i="47"/>
  <c r="M48" i="47"/>
  <c r="L48" i="47"/>
  <c r="B120" i="25"/>
  <c r="B119" i="25" s="1"/>
  <c r="B130" i="25"/>
  <c r="B129" i="25" s="1"/>
  <c r="B140" i="25"/>
  <c r="B139" i="25" s="1"/>
  <c r="C7" i="25"/>
  <c r="C306" i="1"/>
  <c r="C20" i="47"/>
  <c r="C136" i="26"/>
  <c r="C185" i="26" s="1"/>
  <c r="C311" i="1" s="1"/>
  <c r="C135" i="26"/>
  <c r="C44" i="38" s="1"/>
  <c r="C133" i="26"/>
  <c r="C182" i="26" s="1"/>
  <c r="C308" i="1" s="1"/>
  <c r="C181" i="26"/>
  <c r="C38" i="39" s="1"/>
  <c r="C96" i="25"/>
  <c r="C88" i="25"/>
  <c r="C87" i="25"/>
  <c r="C134" i="25"/>
  <c r="C142" i="25" s="1"/>
  <c r="C124" i="25"/>
  <c r="C132" i="25" s="1"/>
  <c r="C114" i="25"/>
  <c r="C122" i="25" s="1"/>
  <c r="E59" i="25"/>
  <c r="F58" i="25" s="1"/>
  <c r="E54" i="25"/>
  <c r="F53" i="25" s="1"/>
  <c r="E49" i="25"/>
  <c r="F48" i="25" s="1"/>
  <c r="E45" i="25"/>
  <c r="C45" i="25"/>
  <c r="C58" i="25"/>
  <c r="C53" i="25"/>
  <c r="C48" i="25"/>
  <c r="C169" i="1"/>
  <c r="G187" i="1"/>
  <c r="G182" i="1"/>
  <c r="G177" i="1"/>
  <c r="H229" i="1"/>
  <c r="I15" i="39"/>
  <c r="F286" i="1"/>
  <c r="G275" i="1"/>
  <c r="I41" i="47"/>
  <c r="J39" i="47" s="1"/>
  <c r="E45" i="47"/>
  <c r="C151" i="22"/>
  <c r="C34" i="22"/>
  <c r="G358" i="1"/>
  <c r="C155" i="26"/>
  <c r="C186" i="36" s="1"/>
  <c r="C154" i="26"/>
  <c r="C11" i="39" s="1"/>
  <c r="C153" i="26"/>
  <c r="C10" i="39" s="1"/>
  <c r="G264" i="1"/>
  <c r="G263" i="1"/>
  <c r="G262" i="1"/>
  <c r="G261" i="1"/>
  <c r="G259" i="1"/>
  <c r="C263" i="1"/>
  <c r="C262" i="1"/>
  <c r="C261" i="1"/>
  <c r="C181" i="22"/>
  <c r="C140" i="22"/>
  <c r="C134" i="22"/>
  <c r="C149" i="22"/>
  <c r="C148" i="22"/>
  <c r="C138" i="22"/>
  <c r="G137" i="22"/>
  <c r="C127" i="22"/>
  <c r="C117" i="22"/>
  <c r="C116" i="22"/>
  <c r="C108" i="22"/>
  <c r="C106" i="22"/>
  <c r="G105" i="22"/>
  <c r="C102" i="22"/>
  <c r="C95" i="22"/>
  <c r="C91" i="22"/>
  <c r="C90" i="22"/>
  <c r="C82" i="22"/>
  <c r="C80" i="22"/>
  <c r="G79" i="22"/>
  <c r="C76" i="22"/>
  <c r="C69" i="22"/>
  <c r="C65" i="22"/>
  <c r="C64" i="22"/>
  <c r="C31" i="22"/>
  <c r="C50" i="22"/>
  <c r="C32" i="22"/>
  <c r="C56" i="22"/>
  <c r="C54" i="22"/>
  <c r="G53" i="22"/>
  <c r="C43" i="22"/>
  <c r="C23" i="22"/>
  <c r="C21" i="22"/>
  <c r="G20" i="22"/>
  <c r="C10" i="22"/>
  <c r="C328" i="1"/>
  <c r="C329" i="1"/>
  <c r="C330" i="1"/>
  <c r="F329" i="1"/>
  <c r="G329" i="1"/>
  <c r="C22" i="47"/>
  <c r="C25" i="47"/>
  <c r="C175" i="26"/>
  <c r="C32" i="39" s="1"/>
  <c r="C173" i="26"/>
  <c r="C30" i="39" s="1"/>
  <c r="C111" i="6"/>
  <c r="C114" i="6"/>
  <c r="C112" i="6"/>
  <c r="J113" i="6"/>
  <c r="C30" i="6"/>
  <c r="C161" i="26"/>
  <c r="C193" i="36" s="1"/>
  <c r="C116" i="26"/>
  <c r="C25" i="38" s="1"/>
  <c r="C112" i="26"/>
  <c r="C21" i="38" s="1"/>
  <c r="C110" i="26"/>
  <c r="C19" i="38" s="1"/>
  <c r="C134" i="26"/>
  <c r="C43" i="38" s="1"/>
  <c r="C101" i="26"/>
  <c r="C10" i="38" s="1"/>
  <c r="C30" i="25"/>
  <c r="C23" i="25"/>
  <c r="V43" i="36" s="1"/>
  <c r="C19" i="25"/>
  <c r="V39" i="36" s="1"/>
  <c r="C27" i="47"/>
  <c r="C10" i="47"/>
  <c r="C18" i="47"/>
  <c r="C17" i="47"/>
  <c r="C16" i="47"/>
  <c r="C13" i="47"/>
  <c r="J47" i="47"/>
  <c r="K47" i="47" s="1"/>
  <c r="L47" i="47" s="1"/>
  <c r="M47" i="47" s="1"/>
  <c r="N47" i="47" s="1"/>
  <c r="J34" i="47"/>
  <c r="K34" i="47" s="1"/>
  <c r="L34" i="47" s="1"/>
  <c r="M34" i="47" s="1"/>
  <c r="N34" i="47" s="1"/>
  <c r="E28" i="47"/>
  <c r="D7" i="47"/>
  <c r="C7" i="47"/>
  <c r="C3" i="47"/>
  <c r="G97" i="6"/>
  <c r="C75" i="6"/>
  <c r="C62" i="6"/>
  <c r="C49" i="6"/>
  <c r="G94" i="44"/>
  <c r="C12" i="44"/>
  <c r="J106" i="6"/>
  <c r="C152" i="21"/>
  <c r="C151" i="21"/>
  <c r="C150" i="21"/>
  <c r="C149" i="21"/>
  <c r="C148" i="21"/>
  <c r="C147" i="21"/>
  <c r="C143" i="21"/>
  <c r="C142" i="21"/>
  <c r="C141" i="21"/>
  <c r="C140" i="21"/>
  <c r="C139" i="21"/>
  <c r="C138" i="21"/>
  <c r="C134" i="21"/>
  <c r="C133" i="21"/>
  <c r="C132" i="21"/>
  <c r="C131" i="21"/>
  <c r="C130" i="21"/>
  <c r="C129" i="21"/>
  <c r="C153" i="21"/>
  <c r="C144" i="21"/>
  <c r="C135" i="21"/>
  <c r="B153" i="21"/>
  <c r="B152" i="21"/>
  <c r="B149" i="21"/>
  <c r="B148" i="21"/>
  <c r="B147" i="21"/>
  <c r="B145" i="21"/>
  <c r="B144" i="21"/>
  <c r="B143" i="21"/>
  <c r="B140" i="21"/>
  <c r="B139" i="21"/>
  <c r="B138" i="21"/>
  <c r="B136" i="21"/>
  <c r="B120" i="21"/>
  <c r="D7" i="44"/>
  <c r="C7" i="44"/>
  <c r="C3" i="44"/>
  <c r="C33" i="6"/>
  <c r="C32" i="6"/>
  <c r="C28" i="6"/>
  <c r="C23" i="6"/>
  <c r="C210" i="1"/>
  <c r="C2" i="3"/>
  <c r="C2" i="49" s="1"/>
  <c r="C1" i="1"/>
  <c r="C215" i="1"/>
  <c r="C217" i="1"/>
  <c r="I10" i="39"/>
  <c r="I12" i="39"/>
  <c r="F192" i="1"/>
  <c r="F312" i="1" s="1"/>
  <c r="H312" i="1" s="1"/>
  <c r="I165" i="26"/>
  <c r="I167" i="26"/>
  <c r="I155" i="26"/>
  <c r="I153" i="26"/>
  <c r="F11" i="1"/>
  <c r="M12" i="2" s="1"/>
  <c r="H12" i="2"/>
  <c r="C15" i="21"/>
  <c r="C35" i="21"/>
  <c r="C108" i="21" s="1"/>
  <c r="C34" i="21"/>
  <c r="C24" i="21"/>
  <c r="C61" i="21" s="1"/>
  <c r="C23" i="21"/>
  <c r="C60" i="21" s="1"/>
  <c r="I190" i="26"/>
  <c r="I191" i="26"/>
  <c r="I181" i="26"/>
  <c r="I186" i="26" s="1"/>
  <c r="I90" i="26"/>
  <c r="I56" i="38"/>
  <c r="J55" i="38" s="1"/>
  <c r="F201" i="1"/>
  <c r="G201" i="1" s="1"/>
  <c r="C52" i="38"/>
  <c r="C50" i="38"/>
  <c r="C48" i="38"/>
  <c r="C36" i="38"/>
  <c r="C16" i="38"/>
  <c r="I84" i="36"/>
  <c r="L172" i="36"/>
  <c r="I162" i="26"/>
  <c r="I160" i="26"/>
  <c r="I90" i="35"/>
  <c r="D7" i="6"/>
  <c r="C7" i="6"/>
  <c r="BI291" i="36"/>
  <c r="BH291" i="36"/>
  <c r="BG291" i="36"/>
  <c r="BF291" i="36"/>
  <c r="BE291" i="36"/>
  <c r="BD291" i="36"/>
  <c r="BC291" i="36"/>
  <c r="BB291" i="36"/>
  <c r="BA291" i="36"/>
  <c r="AZ291" i="36"/>
  <c r="AY291" i="36"/>
  <c r="AX291" i="36"/>
  <c r="C33" i="21"/>
  <c r="C70" i="21" s="1"/>
  <c r="C22" i="21"/>
  <c r="C95" i="21" s="1"/>
  <c r="C17" i="21"/>
  <c r="AF4" i="36"/>
  <c r="U4" i="36"/>
  <c r="U3" i="36"/>
  <c r="M11" i="2"/>
  <c r="I120" i="25"/>
  <c r="I130" i="25"/>
  <c r="C160" i="1"/>
  <c r="F87" i="25"/>
  <c r="C103" i="21"/>
  <c r="C92" i="21"/>
  <c r="C114" i="21"/>
  <c r="D8" i="21"/>
  <c r="C8" i="21"/>
  <c r="C7" i="21"/>
  <c r="D84" i="13"/>
  <c r="M13" i="2"/>
  <c r="H13" i="2"/>
  <c r="H11" i="2"/>
  <c r="C3" i="38"/>
  <c r="C3" i="1"/>
  <c r="C3" i="21"/>
  <c r="C3" i="22"/>
  <c r="C3" i="39"/>
  <c r="C3" i="35"/>
  <c r="C3" i="6"/>
  <c r="C3" i="26"/>
  <c r="C4" i="36"/>
  <c r="C3" i="25"/>
  <c r="C41" i="38"/>
  <c r="C57" i="38"/>
  <c r="C47" i="38"/>
  <c r="C15" i="38"/>
  <c r="C37" i="38"/>
  <c r="C53" i="38"/>
  <c r="C23" i="39"/>
  <c r="C35" i="38"/>
  <c r="C40" i="38"/>
  <c r="C55" i="38"/>
  <c r="C38" i="38"/>
  <c r="C18" i="38"/>
  <c r="C39" i="38"/>
  <c r="C49" i="38"/>
  <c r="C9" i="38"/>
  <c r="C17" i="38"/>
  <c r="C56" i="38"/>
  <c r="C54" i="38"/>
  <c r="C51" i="38"/>
  <c r="C165" i="26"/>
  <c r="V183" i="36" s="1"/>
  <c r="C46" i="38"/>
  <c r="C90" i="35"/>
  <c r="C89" i="35"/>
  <c r="I140" i="25"/>
  <c r="J7" i="53"/>
  <c r="C61" i="6"/>
  <c r="C48" i="6"/>
  <c r="C25" i="44"/>
  <c r="C74" i="6"/>
  <c r="C89" i="44"/>
  <c r="AW283" i="36"/>
  <c r="C127" i="36" s="1"/>
  <c r="C47" i="36"/>
  <c r="C42" i="36"/>
  <c r="AW257" i="36"/>
  <c r="K7" i="44"/>
  <c r="D104" i="22"/>
  <c r="D152" i="25"/>
  <c r="D72" i="6"/>
  <c r="D78" i="6"/>
  <c r="D11" i="22"/>
  <c r="E124" i="1"/>
  <c r="D15" i="44"/>
  <c r="D79" i="44"/>
  <c r="D98" i="6"/>
  <c r="D52" i="6"/>
  <c r="D67" i="21"/>
  <c r="D52" i="22"/>
  <c r="D38" i="22"/>
  <c r="E284" i="1"/>
  <c r="D150" i="26"/>
  <c r="D45" i="47"/>
  <c r="D130" i="25"/>
  <c r="D15" i="6"/>
  <c r="D32" i="22"/>
  <c r="D18" i="6"/>
  <c r="D23" i="53"/>
  <c r="D86" i="44"/>
  <c r="D42" i="6"/>
  <c r="D41" i="44"/>
  <c r="D113" i="21"/>
  <c r="D76" i="48"/>
  <c r="E249" i="1"/>
  <c r="E117" i="1"/>
  <c r="J9" i="36"/>
  <c r="E273" i="1"/>
  <c r="D20" i="22"/>
  <c r="D173" i="22"/>
  <c r="D24" i="6"/>
  <c r="D17" i="44"/>
  <c r="D85" i="44"/>
  <c r="D36" i="47"/>
  <c r="D46" i="22"/>
  <c r="E280" i="1"/>
  <c r="D27" i="53"/>
  <c r="D73" i="6"/>
  <c r="D121" i="21"/>
  <c r="D49" i="48"/>
  <c r="E246" i="1"/>
  <c r="D30" i="44"/>
  <c r="F10" i="48" l="1"/>
  <c r="O14" i="48"/>
  <c r="P14" i="48" s="1"/>
  <c r="Q14" i="48" s="1"/>
  <c r="R14" i="48" s="1"/>
  <c r="S14" i="48" s="1"/>
  <c r="T14" i="48" s="1"/>
  <c r="U14" i="48" s="1"/>
  <c r="V14" i="48" s="1"/>
  <c r="W14" i="48" s="1"/>
  <c r="X14" i="48" s="1"/>
  <c r="Y14" i="48" s="1"/>
  <c r="Z14" i="48" s="1"/>
  <c r="AA14" i="48" s="1"/>
  <c r="AB14" i="48" s="1"/>
  <c r="AC14" i="48" s="1"/>
  <c r="AD14" i="48" s="1"/>
  <c r="AE14" i="48" s="1"/>
  <c r="AF14" i="48" s="1"/>
  <c r="AG14" i="48" s="1"/>
  <c r="K7" i="52"/>
  <c r="K7" i="48"/>
  <c r="K47" i="48" s="1"/>
  <c r="J7" i="48"/>
  <c r="J47" i="48" s="1"/>
  <c r="K7" i="53"/>
  <c r="J7" i="44"/>
  <c r="K7" i="6"/>
  <c r="K9" i="6" s="1"/>
  <c r="K7" i="51"/>
  <c r="J7" i="51"/>
  <c r="C59" i="21"/>
  <c r="C44" i="36"/>
  <c r="B29" i="48"/>
  <c r="G55" i="1"/>
  <c r="V55" i="38"/>
  <c r="C168" i="21"/>
  <c r="C143" i="36"/>
  <c r="E111" i="25"/>
  <c r="C9" i="26"/>
  <c r="C89" i="6"/>
  <c r="F330" i="1"/>
  <c r="F10" i="52"/>
  <c r="E107" i="25"/>
  <c r="C61" i="36"/>
  <c r="AW273" i="36" s="1"/>
  <c r="C17" i="22"/>
  <c r="C55" i="22"/>
  <c r="C2" i="52"/>
  <c r="C109" i="1"/>
  <c r="C85" i="21" s="1"/>
  <c r="F166" i="48"/>
  <c r="G85" i="48"/>
  <c r="F82" i="48"/>
  <c r="E101" i="25"/>
  <c r="N41" i="6"/>
  <c r="AW258" i="36"/>
  <c r="F10" i="49"/>
  <c r="T17" i="6"/>
  <c r="Q17" i="6"/>
  <c r="C16" i="26"/>
  <c r="C15" i="35" s="1"/>
  <c r="K41" i="6"/>
  <c r="C62" i="53"/>
  <c r="C112" i="22"/>
  <c r="C37" i="22"/>
  <c r="C128" i="6"/>
  <c r="AW271" i="36"/>
  <c r="C94" i="44"/>
  <c r="C46" i="36"/>
  <c r="C140" i="36"/>
  <c r="C97" i="21"/>
  <c r="C160" i="26"/>
  <c r="C192" i="36" s="1"/>
  <c r="L41" i="6"/>
  <c r="C86" i="22"/>
  <c r="C119" i="6"/>
  <c r="C158" i="26"/>
  <c r="C190" i="36" s="1"/>
  <c r="C174" i="26"/>
  <c r="C31" i="39" s="1"/>
  <c r="C238" i="1"/>
  <c r="C268" i="1"/>
  <c r="I154" i="26"/>
  <c r="I156" i="26" s="1"/>
  <c r="C167" i="26"/>
  <c r="V185" i="36" s="1"/>
  <c r="C197" i="1"/>
  <c r="C20" i="6"/>
  <c r="C88" i="26"/>
  <c r="C88" i="35" s="1"/>
  <c r="C20" i="22"/>
  <c r="C158" i="21"/>
  <c r="C156" i="21"/>
  <c r="C14" i="6"/>
  <c r="H33" i="2"/>
  <c r="C61" i="1"/>
  <c r="C118" i="6"/>
  <c r="I49" i="39"/>
  <c r="I20" i="39"/>
  <c r="C100" i="21"/>
  <c r="A1" i="6"/>
  <c r="D72" i="53"/>
  <c r="E82" i="48"/>
  <c r="I11" i="39"/>
  <c r="I13" i="39" s="1"/>
  <c r="I123" i="22"/>
  <c r="G95" i="44"/>
  <c r="F78" i="48"/>
  <c r="I33" i="39"/>
  <c r="F280" i="1"/>
  <c r="C139" i="22"/>
  <c r="C58" i="36"/>
  <c r="C67" i="47"/>
  <c r="C160" i="21"/>
  <c r="C82" i="36"/>
  <c r="C27" i="22"/>
  <c r="C6" i="35"/>
  <c r="C301" i="1"/>
  <c r="F139" i="1"/>
  <c r="C22" i="22"/>
  <c r="C11" i="26"/>
  <c r="C10" i="35" s="1"/>
  <c r="C165" i="21"/>
  <c r="A1" i="35"/>
  <c r="C26" i="53"/>
  <c r="C33" i="53" s="1"/>
  <c r="C81" i="21"/>
  <c r="C107" i="22"/>
  <c r="C30" i="22"/>
  <c r="C88" i="36"/>
  <c r="C47" i="6"/>
  <c r="C142" i="36"/>
  <c r="C275" i="1"/>
  <c r="C176" i="22"/>
  <c r="C132" i="6"/>
  <c r="C75" i="1"/>
  <c r="C91" i="44"/>
  <c r="C144" i="22"/>
  <c r="C180" i="22"/>
  <c r="C45" i="6"/>
  <c r="C91" i="6"/>
  <c r="F66" i="48"/>
  <c r="C113" i="26"/>
  <c r="C22" i="38" s="1"/>
  <c r="F102" i="6"/>
  <c r="C151" i="36"/>
  <c r="C13" i="21"/>
  <c r="C50" i="21" s="1"/>
  <c r="C95" i="44"/>
  <c r="C81" i="26"/>
  <c r="C81" i="35" s="1"/>
  <c r="C81" i="22"/>
  <c r="C93" i="44"/>
  <c r="C32" i="47"/>
  <c r="H19" i="2"/>
  <c r="V188" i="36"/>
  <c r="C45" i="47"/>
  <c r="C69" i="48"/>
  <c r="C267" i="1"/>
  <c r="C19" i="22"/>
  <c r="C107" i="21"/>
  <c r="C71" i="21"/>
  <c r="C46" i="6"/>
  <c r="H114" i="1"/>
  <c r="H113" i="1"/>
  <c r="C273" i="1"/>
  <c r="C358" i="1"/>
  <c r="C254" i="1" s="1"/>
  <c r="C9" i="44"/>
  <c r="C34" i="25"/>
  <c r="V49" i="36" s="1"/>
  <c r="C332" i="1"/>
  <c r="C13" i="6"/>
  <c r="C304" i="1"/>
  <c r="C125" i="26"/>
  <c r="C34" i="38" s="1"/>
  <c r="C20" i="25"/>
  <c r="V40" i="36" s="1"/>
  <c r="C60" i="22"/>
  <c r="C78" i="36"/>
  <c r="C12" i="6"/>
  <c r="C164" i="22"/>
  <c r="C19" i="26"/>
  <c r="C18" i="35" s="1"/>
  <c r="O41" i="6"/>
  <c r="F58" i="53"/>
  <c r="J50" i="48"/>
  <c r="J39" i="6" s="1"/>
  <c r="AC17" i="6"/>
  <c r="Z17" i="6"/>
  <c r="V17" i="6"/>
  <c r="AG17" i="6"/>
  <c r="X17" i="6"/>
  <c r="M17" i="6"/>
  <c r="AD17" i="6"/>
  <c r="AB17" i="6"/>
  <c r="U17" i="6"/>
  <c r="N17" i="6"/>
  <c r="J17" i="6"/>
  <c r="AF17" i="6"/>
  <c r="Y17" i="6"/>
  <c r="R17" i="6"/>
  <c r="P17" i="6"/>
  <c r="L17" i="6"/>
  <c r="X41" i="6"/>
  <c r="Z41" i="6"/>
  <c r="M41" i="6"/>
  <c r="Y41" i="6"/>
  <c r="AG41" i="6"/>
  <c r="AB41" i="6"/>
  <c r="AC41" i="6"/>
  <c r="AA41" i="6"/>
  <c r="AF41" i="6"/>
  <c r="R41" i="6"/>
  <c r="S41" i="6"/>
  <c r="T41" i="6"/>
  <c r="P41" i="6"/>
  <c r="U41" i="6"/>
  <c r="AE41" i="6"/>
  <c r="AD41" i="6"/>
  <c r="J41" i="6"/>
  <c r="M42" i="6"/>
  <c r="AC42" i="6"/>
  <c r="S42" i="6"/>
  <c r="Q42" i="6"/>
  <c r="C55" i="21"/>
  <c r="C102" i="21"/>
  <c r="C98" i="21"/>
  <c r="C110" i="21"/>
  <c r="C99" i="21"/>
  <c r="C75" i="21"/>
  <c r="C72" i="21"/>
  <c r="C106" i="21"/>
  <c r="C101" i="21"/>
  <c r="C109" i="21"/>
  <c r="C22" i="39"/>
  <c r="C12" i="39"/>
  <c r="C18" i="39"/>
  <c r="C42" i="38"/>
  <c r="I176" i="26"/>
  <c r="I163" i="26"/>
  <c r="I192" i="26"/>
  <c r="C183" i="26"/>
  <c r="C40" i="39" s="1"/>
  <c r="C185" i="36"/>
  <c r="C307" i="1"/>
  <c r="C42" i="39"/>
  <c r="C184" i="36"/>
  <c r="C184" i="26"/>
  <c r="C39" i="39"/>
  <c r="J20" i="6"/>
  <c r="J29" i="47"/>
  <c r="J33" i="25" s="1"/>
  <c r="J124" i="26" s="1"/>
  <c r="J8" i="6"/>
  <c r="J10" i="6"/>
  <c r="J89" i="6"/>
  <c r="I48" i="47"/>
  <c r="C2" i="47"/>
  <c r="C2" i="6"/>
  <c r="C2" i="44"/>
  <c r="O50" i="48"/>
  <c r="O39" i="6" s="1"/>
  <c r="AE50" i="48"/>
  <c r="AE39" i="6" s="1"/>
  <c r="K50" i="48"/>
  <c r="K39" i="6" s="1"/>
  <c r="AA50" i="48"/>
  <c r="AA39" i="6" s="1"/>
  <c r="L50" i="48"/>
  <c r="L39" i="6" s="1"/>
  <c r="T50" i="48"/>
  <c r="T39" i="6" s="1"/>
  <c r="P50" i="48"/>
  <c r="P39" i="6" s="1"/>
  <c r="X50" i="48"/>
  <c r="X39" i="6" s="1"/>
  <c r="AF50" i="48"/>
  <c r="AF39" i="6" s="1"/>
  <c r="U50" i="48"/>
  <c r="U39" i="6" s="1"/>
  <c r="N50" i="48"/>
  <c r="N39" i="6" s="1"/>
  <c r="M50" i="48"/>
  <c r="M39" i="6" s="1"/>
  <c r="V50" i="48"/>
  <c r="V39" i="6" s="1"/>
  <c r="AC50" i="48"/>
  <c r="AC39" i="6" s="1"/>
  <c r="AB50" i="48"/>
  <c r="AB39" i="6" s="1"/>
  <c r="S50" i="48"/>
  <c r="S39" i="6" s="1"/>
  <c r="W50" i="48"/>
  <c r="W39" i="6" s="1"/>
  <c r="Y50" i="48"/>
  <c r="Y39" i="6" s="1"/>
  <c r="C2" i="26"/>
  <c r="C2" i="38"/>
  <c r="C2" i="48"/>
  <c r="C112" i="21"/>
  <c r="C90" i="21"/>
  <c r="C54" i="21"/>
  <c r="C77" i="21"/>
  <c r="C113" i="21"/>
  <c r="AF42" i="6"/>
  <c r="P42" i="6"/>
  <c r="AD42" i="6"/>
  <c r="N42" i="6"/>
  <c r="AA42" i="6"/>
  <c r="AE42" i="6"/>
  <c r="AG42" i="6"/>
  <c r="AB42" i="6"/>
  <c r="L42" i="6"/>
  <c r="Z42" i="6"/>
  <c r="G42" i="48"/>
  <c r="G35" i="48"/>
  <c r="AG50" i="48"/>
  <c r="AG39" i="6" s="1"/>
  <c r="W42" i="6"/>
  <c r="R42" i="6"/>
  <c r="T42" i="6"/>
  <c r="Y42" i="6"/>
  <c r="V42" i="6"/>
  <c r="X42" i="6"/>
  <c r="C2" i="1"/>
  <c r="C2" i="25"/>
  <c r="C2" i="21"/>
  <c r="C2" i="53"/>
  <c r="C2" i="35"/>
  <c r="C96" i="21"/>
  <c r="AW260" i="36"/>
  <c r="C45" i="36"/>
  <c r="F166" i="1"/>
  <c r="F90" i="25" s="1"/>
  <c r="E90" i="25"/>
  <c r="F165" i="1"/>
  <c r="AD50" i="48"/>
  <c r="AD39" i="6" s="1"/>
  <c r="Z50" i="48"/>
  <c r="Z39" i="6" s="1"/>
  <c r="R50" i="48"/>
  <c r="R39" i="6" s="1"/>
  <c r="I329" i="1"/>
  <c r="U42" i="6"/>
  <c r="K42" i="6"/>
  <c r="C2" i="39"/>
  <c r="C2" i="51"/>
  <c r="C3" i="36"/>
  <c r="C2" i="22"/>
  <c r="C45" i="38"/>
  <c r="W41" i="6"/>
  <c r="Q41" i="6"/>
  <c r="C32" i="36"/>
  <c r="AE17" i="6"/>
  <c r="AA17" i="6"/>
  <c r="W17" i="6"/>
  <c r="S17" i="6"/>
  <c r="O17" i="6"/>
  <c r="D120" i="21"/>
  <c r="E122" i="1"/>
  <c r="D122" i="25"/>
  <c r="D88" i="22"/>
  <c r="E121" i="1"/>
  <c r="D121" i="6"/>
  <c r="D358" i="1"/>
  <c r="D57" i="6"/>
  <c r="D98" i="25"/>
  <c r="D50" i="47"/>
  <c r="D29" i="47"/>
  <c r="D36" i="22"/>
  <c r="D65" i="6"/>
  <c r="D61" i="44"/>
  <c r="D114" i="21"/>
  <c r="D62" i="21"/>
  <c r="D140" i="25"/>
  <c r="E199" i="1"/>
  <c r="D80" i="21"/>
  <c r="D32" i="6"/>
  <c r="D23" i="47"/>
  <c r="D81" i="21"/>
  <c r="D32" i="53"/>
  <c r="D71" i="6"/>
  <c r="D63" i="21"/>
  <c r="D22" i="53"/>
  <c r="D72" i="44"/>
  <c r="D112" i="21"/>
  <c r="D33" i="48"/>
  <c r="D25" i="48"/>
  <c r="E269" i="1"/>
  <c r="D70" i="21"/>
  <c r="E267" i="1"/>
  <c r="D26" i="47"/>
  <c r="E259" i="1"/>
  <c r="D24" i="22"/>
  <c r="D18" i="22"/>
  <c r="D164" i="22"/>
  <c r="D103" i="22"/>
  <c r="D25" i="44"/>
  <c r="D44" i="53"/>
  <c r="D91" i="21"/>
  <c r="D76" i="21"/>
  <c r="D62" i="48"/>
  <c r="E240" i="1"/>
  <c r="D53" i="44"/>
  <c r="D58" i="53"/>
  <c r="D49" i="22"/>
  <c r="E42" i="1"/>
  <c r="D63" i="22"/>
  <c r="D34" i="53"/>
  <c r="D161" i="22"/>
  <c r="E113" i="1"/>
  <c r="D153" i="21"/>
  <c r="D158" i="21"/>
  <c r="D96" i="21"/>
  <c r="D97" i="22"/>
  <c r="D138" i="25"/>
  <c r="D22" i="47"/>
  <c r="D84" i="44"/>
  <c r="D15" i="22"/>
  <c r="D133" i="21"/>
  <c r="D347" i="1"/>
  <c r="D18" i="44"/>
  <c r="D94" i="44"/>
  <c r="D33" i="6"/>
  <c r="D143" i="21"/>
  <c r="D153" i="22"/>
  <c r="D40" i="44"/>
  <c r="E251" i="1"/>
  <c r="E278" i="1"/>
  <c r="D75" i="22"/>
  <c r="D16" i="22"/>
  <c r="D93" i="6"/>
  <c r="D39" i="48"/>
  <c r="D88" i="44"/>
  <c r="D38" i="48"/>
  <c r="D172" i="21"/>
  <c r="D85" i="6"/>
  <c r="D75" i="21"/>
  <c r="D28" i="48"/>
  <c r="D163" i="22"/>
  <c r="D147" i="25"/>
  <c r="D111" i="22"/>
  <c r="D128" i="25"/>
  <c r="D54" i="21"/>
  <c r="D139" i="25"/>
  <c r="D123" i="6"/>
  <c r="D110" i="25"/>
  <c r="D141" i="21"/>
  <c r="D62" i="44"/>
  <c r="D72" i="47"/>
  <c r="D38" i="6"/>
  <c r="D22" i="44"/>
  <c r="D87" i="21"/>
  <c r="E130" i="1"/>
  <c r="D31" i="48"/>
  <c r="C24" i="36"/>
  <c r="D57" i="44"/>
  <c r="D207" i="26"/>
  <c r="D64" i="53"/>
  <c r="D68" i="53"/>
  <c r="D61" i="53"/>
  <c r="D15" i="47"/>
  <c r="D201" i="26"/>
  <c r="D211" i="26"/>
  <c r="D54" i="44"/>
  <c r="D47" i="48"/>
  <c r="D65" i="21"/>
  <c r="D130" i="21"/>
  <c r="D45" i="22"/>
  <c r="D97" i="21"/>
  <c r="AC34" i="36"/>
  <c r="D29" i="48"/>
  <c r="D86" i="21"/>
  <c r="D41" i="53"/>
  <c r="D102" i="21"/>
  <c r="D68" i="6"/>
  <c r="D39" i="53"/>
  <c r="D107" i="21"/>
  <c r="E191" i="1"/>
  <c r="D53" i="48"/>
  <c r="D40" i="48"/>
  <c r="D129" i="21"/>
  <c r="D67" i="48"/>
  <c r="D101" i="25"/>
  <c r="D66" i="44"/>
  <c r="D142" i="22"/>
  <c r="D39" i="44"/>
  <c r="D53" i="53"/>
  <c r="D62" i="53"/>
  <c r="D26" i="48"/>
  <c r="D87" i="44"/>
  <c r="C59" i="36"/>
  <c r="D87" i="6"/>
  <c r="D72" i="22"/>
  <c r="D180" i="22"/>
  <c r="D78" i="44"/>
  <c r="D116" i="21"/>
  <c r="C7" i="38"/>
  <c r="E123" i="1"/>
  <c r="D84" i="6"/>
  <c r="D19" i="44"/>
  <c r="D169" i="21"/>
  <c r="D12" i="44"/>
  <c r="D30" i="48"/>
  <c r="D89" i="44"/>
  <c r="E274" i="1"/>
  <c r="D155" i="22"/>
  <c r="D60" i="48"/>
  <c r="D113" i="6"/>
  <c r="D87" i="22"/>
  <c r="D352" i="1"/>
  <c r="E84" i="1"/>
  <c r="E69" i="1"/>
  <c r="D69" i="47"/>
  <c r="D149" i="21"/>
  <c r="D82" i="44"/>
  <c r="D81" i="44"/>
  <c r="D13" i="22"/>
  <c r="E59" i="1"/>
  <c r="E77" i="1"/>
  <c r="D50" i="48"/>
  <c r="D127" i="25"/>
  <c r="E172" i="1"/>
  <c r="D115" i="25"/>
  <c r="D98" i="22"/>
  <c r="D42" i="53"/>
  <c r="D175" i="21"/>
  <c r="D71" i="44"/>
  <c r="D100" i="21"/>
  <c r="D61" i="48"/>
  <c r="D72" i="21"/>
  <c r="E159" i="1"/>
  <c r="D152" i="21"/>
  <c r="D129" i="25"/>
  <c r="D51" i="6"/>
  <c r="D342" i="1"/>
  <c r="D117" i="22"/>
  <c r="D76" i="6"/>
  <c r="D53" i="22"/>
  <c r="C136" i="36"/>
  <c r="D75" i="48"/>
  <c r="D341" i="1"/>
  <c r="D27" i="6"/>
  <c r="D139" i="21"/>
  <c r="E118" i="1"/>
  <c r="D100" i="22"/>
  <c r="D128" i="22"/>
  <c r="D129" i="22"/>
  <c r="D140" i="21"/>
  <c r="D71" i="47"/>
  <c r="D9" i="25"/>
  <c r="D132" i="22"/>
  <c r="D340" i="1"/>
  <c r="D64" i="6"/>
  <c r="D77" i="21"/>
  <c r="D90" i="21"/>
  <c r="D56" i="21"/>
  <c r="D136" i="25"/>
  <c r="E264" i="1"/>
  <c r="D146" i="22"/>
  <c r="D25" i="22"/>
  <c r="D59" i="22"/>
  <c r="E142" i="1"/>
  <c r="D339" i="1"/>
  <c r="E286" i="1"/>
  <c r="D78" i="22"/>
  <c r="D115" i="6"/>
  <c r="D14" i="44"/>
  <c r="D70" i="47"/>
  <c r="D121" i="22"/>
  <c r="D92" i="6"/>
  <c r="E72" i="1"/>
  <c r="E80" i="1"/>
  <c r="D21" i="44"/>
  <c r="D39" i="47"/>
  <c r="D103" i="25"/>
  <c r="E131" i="1"/>
  <c r="E44" i="1"/>
  <c r="D165" i="21"/>
  <c r="D13" i="44"/>
  <c r="D122" i="21"/>
  <c r="D24" i="44"/>
  <c r="D78" i="48"/>
  <c r="D81" i="6"/>
  <c r="D69" i="48"/>
  <c r="D121" i="25"/>
  <c r="D99" i="22"/>
  <c r="D61" i="22"/>
  <c r="D77" i="44"/>
  <c r="D59" i="21"/>
  <c r="D14" i="47"/>
  <c r="D62" i="6"/>
  <c r="D19" i="22"/>
  <c r="D175" i="22"/>
  <c r="D67" i="44"/>
  <c r="D51" i="48"/>
  <c r="D122" i="22"/>
  <c r="E261" i="1"/>
  <c r="D353" i="1"/>
  <c r="D68" i="47"/>
  <c r="D16" i="44"/>
  <c r="D50" i="6"/>
  <c r="D95" i="6"/>
  <c r="D96" i="22"/>
  <c r="D30" i="22"/>
  <c r="D63" i="44"/>
  <c r="D24" i="53"/>
  <c r="D125" i="21"/>
  <c r="E153" i="1"/>
  <c r="E203" i="1"/>
  <c r="D92" i="21"/>
  <c r="E202" i="1"/>
  <c r="D25" i="6"/>
  <c r="E263" i="1"/>
  <c r="D170" i="22"/>
  <c r="D83" i="44"/>
  <c r="D48" i="22"/>
  <c r="D40" i="47"/>
  <c r="D144" i="21"/>
  <c r="E262" i="1"/>
  <c r="AB136" i="36"/>
  <c r="D25" i="53"/>
  <c r="D26" i="22"/>
  <c r="D34" i="6"/>
  <c r="D95" i="44"/>
  <c r="D345" i="1"/>
  <c r="D83" i="22"/>
  <c r="D354" i="1"/>
  <c r="E275" i="1"/>
  <c r="D65" i="22"/>
  <c r="D66" i="6"/>
  <c r="D80" i="6"/>
  <c r="D114" i="6"/>
  <c r="D64" i="44"/>
  <c r="D58" i="22"/>
  <c r="D79" i="6"/>
  <c r="D56" i="47"/>
  <c r="D147" i="21"/>
  <c r="D178" i="22"/>
  <c r="E110" i="1"/>
  <c r="D98" i="21"/>
  <c r="D156" i="21"/>
  <c r="C179" i="36"/>
  <c r="D86" i="6"/>
  <c r="D50" i="21"/>
  <c r="D66" i="48"/>
  <c r="E245" i="1"/>
  <c r="D125" i="25"/>
  <c r="D31" i="6"/>
  <c r="D141" i="22"/>
  <c r="E64" i="1"/>
  <c r="D14" i="22"/>
  <c r="E68" i="1"/>
  <c r="D21" i="47"/>
  <c r="D145" i="22"/>
  <c r="D26" i="53"/>
  <c r="D70" i="44"/>
  <c r="D19" i="6"/>
  <c r="D69" i="6"/>
  <c r="D101" i="21"/>
  <c r="E239" i="1"/>
  <c r="D117" i="25"/>
  <c r="D79" i="22"/>
  <c r="D112" i="25"/>
  <c r="D84" i="22"/>
  <c r="D120" i="22"/>
  <c r="D89" i="6"/>
  <c r="D65" i="44"/>
  <c r="D149" i="22"/>
  <c r="D66" i="21"/>
  <c r="E241" i="1"/>
  <c r="D61" i="21"/>
  <c r="D108" i="25"/>
  <c r="D100" i="25"/>
  <c r="D172" i="22"/>
  <c r="D73" i="22"/>
  <c r="D47" i="22"/>
  <c r="D60" i="44"/>
  <c r="D101" i="22"/>
  <c r="D120" i="6"/>
  <c r="D132" i="21"/>
  <c r="D72" i="48"/>
  <c r="D13" i="47"/>
  <c r="E128" i="1"/>
  <c r="D169" i="22"/>
  <c r="D57" i="22"/>
  <c r="D9" i="26"/>
  <c r="D60" i="47"/>
  <c r="D115" i="22"/>
  <c r="D135" i="22"/>
  <c r="D35" i="22"/>
  <c r="D75" i="6"/>
  <c r="D160" i="22"/>
  <c r="D77" i="6"/>
  <c r="D131" i="21"/>
  <c r="D142" i="21"/>
  <c r="E119" i="1"/>
  <c r="D37" i="53"/>
  <c r="D114" i="22"/>
  <c r="D73" i="44"/>
  <c r="D54" i="48"/>
  <c r="D62" i="47"/>
  <c r="D30" i="47"/>
  <c r="D351" i="1"/>
  <c r="D97" i="25"/>
  <c r="D58" i="6"/>
  <c r="D41" i="47"/>
  <c r="D174" i="22"/>
  <c r="D71" i="22"/>
  <c r="D134" i="21"/>
  <c r="D137" i="25"/>
  <c r="E248" i="1"/>
  <c r="D43" i="6"/>
  <c r="D20" i="53"/>
  <c r="D59" i="53"/>
  <c r="D29" i="44"/>
  <c r="D57" i="53"/>
  <c r="D55" i="53"/>
  <c r="D65" i="53"/>
  <c r="D203" i="26"/>
  <c r="D55" i="44"/>
  <c r="D205" i="26"/>
  <c r="E254" i="1"/>
  <c r="D68" i="48"/>
  <c r="D35" i="48"/>
  <c r="D32" i="48"/>
  <c r="D110" i="21"/>
  <c r="D68" i="44"/>
  <c r="D83" i="6"/>
  <c r="D31" i="53"/>
  <c r="D41" i="6"/>
  <c r="D80" i="25"/>
  <c r="D61" i="47"/>
  <c r="D105" i="22"/>
  <c r="D103" i="6"/>
  <c r="D348" i="1"/>
  <c r="D166" i="22"/>
  <c r="D27" i="47"/>
  <c r="D99" i="25"/>
  <c r="D48" i="47"/>
  <c r="D28" i="22"/>
  <c r="D95" i="21"/>
  <c r="D62" i="22"/>
  <c r="D120" i="25"/>
  <c r="D108" i="21"/>
  <c r="D29" i="22"/>
  <c r="D60" i="21"/>
  <c r="E141" i="1"/>
  <c r="D147" i="22"/>
  <c r="D151" i="21"/>
  <c r="C7" i="35"/>
  <c r="D164" i="21"/>
  <c r="D64" i="48"/>
  <c r="D57" i="48"/>
  <c r="D74" i="21"/>
  <c r="D123" i="21"/>
  <c r="D20" i="44"/>
  <c r="D56" i="6"/>
  <c r="D45" i="53"/>
  <c r="D56" i="44"/>
  <c r="D51" i="21"/>
  <c r="D42" i="44"/>
  <c r="D82" i="6"/>
  <c r="D19" i="53"/>
  <c r="D39" i="6"/>
  <c r="D91" i="22"/>
  <c r="D20" i="6"/>
  <c r="D106" i="25"/>
  <c r="D106" i="6"/>
  <c r="D65" i="47"/>
  <c r="E129" i="1"/>
  <c r="E272" i="1"/>
  <c r="D162" i="21"/>
  <c r="D73" i="21"/>
  <c r="D70" i="6"/>
  <c r="D35" i="53"/>
  <c r="D132" i="25"/>
  <c r="D123" i="22"/>
  <c r="D346" i="1"/>
  <c r="D49" i="6"/>
  <c r="J191" i="1"/>
  <c r="D77" i="22"/>
  <c r="D118" i="25"/>
  <c r="D67" i="6"/>
  <c r="D109" i="21"/>
  <c r="D152" i="22"/>
  <c r="D17" i="47"/>
  <c r="D109" i="6"/>
  <c r="D51" i="22"/>
  <c r="D44" i="22"/>
  <c r="D109" i="22"/>
  <c r="D131" i="22"/>
  <c r="E268" i="1"/>
  <c r="D16" i="47"/>
  <c r="D94" i="6"/>
  <c r="E140" i="1"/>
  <c r="D106" i="21"/>
  <c r="E283" i="1"/>
  <c r="D143" i="22"/>
  <c r="D155" i="21"/>
  <c r="D138" i="21"/>
  <c r="D78" i="21"/>
  <c r="D55" i="6"/>
  <c r="D42" i="48"/>
  <c r="D177" i="22"/>
  <c r="D16" i="6"/>
  <c r="E43" i="1"/>
  <c r="D91" i="44"/>
  <c r="E71" i="1"/>
  <c r="D69" i="53"/>
  <c r="D63" i="53"/>
  <c r="D66" i="53"/>
  <c r="D210" i="26"/>
  <c r="D206" i="26"/>
  <c r="D162" i="22"/>
  <c r="D163" i="21"/>
  <c r="D70" i="48"/>
  <c r="D65" i="48"/>
  <c r="E132" i="1"/>
  <c r="D111" i="21"/>
  <c r="D124" i="21"/>
  <c r="D76" i="44"/>
  <c r="D59" i="6"/>
  <c r="D43" i="53"/>
  <c r="D202" i="26"/>
  <c r="D54" i="6"/>
  <c r="D12" i="22"/>
  <c r="D130" i="22"/>
  <c r="D63" i="6"/>
  <c r="D136" i="22"/>
  <c r="D102" i="6"/>
  <c r="D70" i="22"/>
  <c r="D148" i="21"/>
  <c r="D179" i="22"/>
  <c r="D108" i="6"/>
  <c r="D146" i="25"/>
  <c r="D107" i="25"/>
  <c r="D110" i="22"/>
  <c r="D131" i="25"/>
  <c r="J34" i="36"/>
  <c r="D104" i="25"/>
  <c r="D119" i="25"/>
  <c r="E134" i="1"/>
  <c r="E151" i="1"/>
  <c r="D116" i="25"/>
  <c r="E127" i="1"/>
  <c r="E252" i="1"/>
  <c r="D77" i="48"/>
  <c r="D63" i="48"/>
  <c r="E133" i="1"/>
  <c r="D99" i="21"/>
  <c r="D126" i="21"/>
  <c r="D69" i="44"/>
  <c r="D33" i="53"/>
  <c r="D17" i="6"/>
  <c r="D64" i="21"/>
  <c r="D28" i="44"/>
  <c r="D43" i="44"/>
  <c r="D60" i="6"/>
  <c r="D40" i="53"/>
  <c r="D21" i="53"/>
  <c r="D116" i="6"/>
  <c r="D126" i="25"/>
  <c r="D137" i="22"/>
  <c r="D111" i="25"/>
  <c r="D103" i="21"/>
  <c r="D145" i="25"/>
  <c r="D149" i="25"/>
  <c r="C7" i="39"/>
  <c r="E120" i="1"/>
  <c r="D23" i="44"/>
  <c r="D21" i="6"/>
  <c r="D85" i="22"/>
  <c r="D113" i="22"/>
  <c r="D80" i="44"/>
  <c r="D74" i="22"/>
  <c r="D55" i="21"/>
  <c r="D182" i="22"/>
  <c r="D154" i="22"/>
  <c r="D26" i="6"/>
  <c r="D40" i="6"/>
  <c r="D43" i="47"/>
  <c r="D18" i="47"/>
  <c r="D53" i="6"/>
  <c r="D37" i="22"/>
  <c r="D150" i="21"/>
  <c r="D141" i="25"/>
  <c r="E114" i="1"/>
  <c r="D107" i="6"/>
  <c r="D89" i="22"/>
  <c r="D133" i="22"/>
  <c r="D135" i="21"/>
  <c r="D142" i="25"/>
  <c r="D161" i="21"/>
  <c r="D98" i="26"/>
  <c r="D28" i="6"/>
  <c r="D168" i="22"/>
  <c r="D71" i="21"/>
  <c r="D55" i="48"/>
  <c r="D122" i="6"/>
  <c r="D135" i="25"/>
  <c r="G238" i="1"/>
  <c r="AF136" i="36"/>
  <c r="F59" i="47"/>
  <c r="AF3" i="36"/>
  <c r="F85" i="48" l="1" a="1"/>
  <c r="K89" i="6"/>
  <c r="K20" i="6"/>
  <c r="K8" i="6"/>
  <c r="F86" i="48"/>
  <c r="F85" i="48"/>
  <c r="F93" i="48"/>
  <c r="F101" i="48"/>
  <c r="F88" i="48"/>
  <c r="F96" i="48"/>
  <c r="F104" i="48"/>
  <c r="F89" i="48"/>
  <c r="F97" i="48"/>
  <c r="F105" i="48"/>
  <c r="F92" i="48"/>
  <c r="F100" i="48"/>
  <c r="F108" i="48"/>
  <c r="F107" i="48"/>
  <c r="F91" i="48"/>
  <c r="F98" i="48"/>
  <c r="F103" i="48"/>
  <c r="F87" i="48"/>
  <c r="F94" i="48"/>
  <c r="F99" i="48"/>
  <c r="F106" i="48"/>
  <c r="F90" i="48"/>
  <c r="F95" i="48"/>
  <c r="F102" i="48"/>
  <c r="K10" i="6"/>
  <c r="L7" i="52"/>
  <c r="L7" i="53"/>
  <c r="L7" i="48"/>
  <c r="L47" i="48" s="1"/>
  <c r="L57" i="48" s="1"/>
  <c r="L7" i="6"/>
  <c r="L7" i="44"/>
  <c r="L7" i="49"/>
  <c r="L7" i="51"/>
  <c r="J78" i="48"/>
  <c r="J102" i="6" s="1"/>
  <c r="C24" i="39"/>
  <c r="J82" i="48"/>
  <c r="I35" i="39"/>
  <c r="K82" i="48"/>
  <c r="AW280" i="36"/>
  <c r="C124" i="36" s="1"/>
  <c r="C119" i="21"/>
  <c r="C12" i="21"/>
  <c r="C161" i="21" s="1"/>
  <c r="C49" i="21"/>
  <c r="C309" i="1"/>
  <c r="C15" i="39"/>
  <c r="C17" i="39"/>
  <c r="C86" i="21"/>
  <c r="I36" i="39"/>
  <c r="I45" i="39" s="1"/>
  <c r="K78" i="48"/>
  <c r="K102" i="6" s="1"/>
  <c r="J99" i="26"/>
  <c r="G287" i="1"/>
  <c r="F287" i="1"/>
  <c r="F297" i="1" s="1"/>
  <c r="H297" i="1" s="1"/>
  <c r="J328" i="1"/>
  <c r="K57" i="48"/>
  <c r="J57" i="48"/>
  <c r="I178" i="26"/>
  <c r="I179" i="26"/>
  <c r="I188" i="26" s="1"/>
  <c r="I193" i="26" s="1"/>
  <c r="C41" i="39"/>
  <c r="C310" i="1"/>
  <c r="I17" i="6"/>
  <c r="I39" i="6"/>
  <c r="I41" i="6"/>
  <c r="J42" i="6"/>
  <c r="I42" i="6" s="1"/>
  <c r="I50" i="48"/>
  <c r="J103" i="25"/>
  <c r="F92" i="25"/>
  <c r="E95" i="25"/>
  <c r="J7" i="25"/>
  <c r="L89" i="6" l="1"/>
  <c r="L20" i="6"/>
  <c r="L78" i="48"/>
  <c r="L102" i="6" s="1"/>
  <c r="M7" i="49"/>
  <c r="M7" i="51"/>
  <c r="M7" i="44"/>
  <c r="M7" i="48"/>
  <c r="M82" i="48" s="1"/>
  <c r="M7" i="52"/>
  <c r="M7" i="6"/>
  <c r="M89" i="6" s="1"/>
  <c r="M7" i="53"/>
  <c r="L82" i="48"/>
  <c r="L8" i="6"/>
  <c r="L9" i="6"/>
  <c r="L10" i="6"/>
  <c r="J10" i="26"/>
  <c r="J151" i="26"/>
  <c r="J10" i="25"/>
  <c r="J7" i="26"/>
  <c r="AX288" i="36"/>
  <c r="J329" i="1"/>
  <c r="AX278" i="36"/>
  <c r="M20" i="6" l="1"/>
  <c r="M8" i="6"/>
  <c r="M10" i="6"/>
  <c r="M9" i="6"/>
  <c r="N7" i="51"/>
  <c r="N7" i="44"/>
  <c r="N7" i="6"/>
  <c r="N89" i="6" s="1"/>
  <c r="N7" i="49"/>
  <c r="N7" i="48"/>
  <c r="N82" i="48" s="1"/>
  <c r="N7" i="52"/>
  <c r="N7" i="53"/>
  <c r="J89" i="25"/>
  <c r="J90" i="25"/>
  <c r="K328" i="1"/>
  <c r="K7" i="25"/>
  <c r="J8" i="21"/>
  <c r="AE180" i="36"/>
  <c r="J180" i="36"/>
  <c r="L59" i="36"/>
  <c r="J115" i="36"/>
  <c r="AX279" i="36"/>
  <c r="AX272" i="36"/>
  <c r="J122" i="36"/>
  <c r="L136" i="36"/>
  <c r="AY278" i="36"/>
  <c r="AX277" i="36"/>
  <c r="J35" i="47"/>
  <c r="M35" i="47"/>
  <c r="K35" i="47"/>
  <c r="N35" i="47"/>
  <c r="J62" i="6"/>
  <c r="J79" i="6"/>
  <c r="J64" i="6"/>
  <c r="J86" i="6"/>
  <c r="J77" i="6"/>
  <c r="J78" i="6"/>
  <c r="J59" i="6"/>
  <c r="J50" i="6"/>
  <c r="J71" i="6"/>
  <c r="J57" i="6"/>
  <c r="J83" i="6"/>
  <c r="J76" i="6"/>
  <c r="J68" i="6"/>
  <c r="J51" i="6"/>
  <c r="J85" i="6"/>
  <c r="J55" i="6"/>
  <c r="J66" i="6"/>
  <c r="J52" i="6"/>
  <c r="J81" i="6"/>
  <c r="J84" i="6"/>
  <c r="J65" i="6"/>
  <c r="J63" i="6"/>
  <c r="J49" i="6"/>
  <c r="J58" i="6"/>
  <c r="J56" i="6"/>
  <c r="J73" i="6"/>
  <c r="J53" i="6"/>
  <c r="J69" i="6"/>
  <c r="J67" i="6"/>
  <c r="J82" i="6"/>
  <c r="L35" i="47"/>
  <c r="J70" i="6"/>
  <c r="J54" i="6"/>
  <c r="J80" i="6"/>
  <c r="J75" i="6"/>
  <c r="J60" i="6"/>
  <c r="J72" i="6"/>
  <c r="K7" i="47"/>
  <c r="L7" i="47"/>
  <c r="P7" i="47"/>
  <c r="T7" i="47"/>
  <c r="X7" i="47"/>
  <c r="AB7" i="47"/>
  <c r="AF7" i="47"/>
  <c r="N7" i="47"/>
  <c r="U7" i="47"/>
  <c r="W7" i="47"/>
  <c r="AD7" i="47"/>
  <c r="O7" i="47"/>
  <c r="R7" i="47"/>
  <c r="AE7" i="47"/>
  <c r="K60" i="36"/>
  <c r="S7" i="47"/>
  <c r="V7" i="47"/>
  <c r="Y7" i="47"/>
  <c r="AC7" i="47"/>
  <c r="C21" i="1"/>
  <c r="K137" i="36"/>
  <c r="Q7" i="47"/>
  <c r="M7" i="47"/>
  <c r="Z7" i="47"/>
  <c r="AA7" i="47"/>
  <c r="AG7" i="47"/>
  <c r="O7" i="6" l="1"/>
  <c r="O89" i="6" s="1"/>
  <c r="O7" i="44"/>
  <c r="O7" i="49"/>
  <c r="O7" i="51"/>
  <c r="O7" i="53"/>
  <c r="O7" i="48"/>
  <c r="O82" i="48" s="1"/>
  <c r="O7" i="52"/>
  <c r="N9" i="6"/>
  <c r="N10" i="6"/>
  <c r="N8" i="6"/>
  <c r="N20" i="6"/>
  <c r="J8" i="51"/>
  <c r="J8" i="48"/>
  <c r="J8" i="49"/>
  <c r="J8" i="53"/>
  <c r="J8" i="52"/>
  <c r="K10" i="26"/>
  <c r="K151" i="26"/>
  <c r="K99" i="26"/>
  <c r="J91" i="25"/>
  <c r="J94" i="25" s="1"/>
  <c r="J92" i="25"/>
  <c r="J93" i="25" s="1"/>
  <c r="K7" i="26"/>
  <c r="K329" i="1"/>
  <c r="AY288" i="36"/>
  <c r="K89" i="25"/>
  <c r="K103" i="25"/>
  <c r="K10" i="25"/>
  <c r="M61" i="47"/>
  <c r="M60" i="47"/>
  <c r="S61" i="47"/>
  <c r="S60" i="47"/>
  <c r="P61" i="47"/>
  <c r="P60" i="47"/>
  <c r="AY277" i="36"/>
  <c r="O61" i="47"/>
  <c r="O60" i="47"/>
  <c r="Q60" i="47"/>
  <c r="Q61" i="47"/>
  <c r="J7" i="47"/>
  <c r="N60" i="47"/>
  <c r="N61" i="47"/>
  <c r="L61" i="47"/>
  <c r="L60" i="47"/>
  <c r="J87" i="6"/>
  <c r="R60" i="47"/>
  <c r="R61" i="47"/>
  <c r="K61" i="47"/>
  <c r="K60" i="47"/>
  <c r="G330" i="1"/>
  <c r="O20" i="6" l="1"/>
  <c r="O8" i="6"/>
  <c r="O9" i="6"/>
  <c r="O10" i="6"/>
  <c r="P7" i="51"/>
  <c r="P7" i="49"/>
  <c r="P7" i="52"/>
  <c r="P7" i="6"/>
  <c r="P7" i="53"/>
  <c r="P7" i="48"/>
  <c r="P82" i="48" s="1"/>
  <c r="P7" i="44"/>
  <c r="K90" i="25"/>
  <c r="K92" i="25" s="1"/>
  <c r="K93" i="25" s="1"/>
  <c r="J95" i="25"/>
  <c r="J110" i="25" s="1"/>
  <c r="K54" i="6"/>
  <c r="K73" i="6"/>
  <c r="K82" i="6"/>
  <c r="K86" i="6"/>
  <c r="K51" i="6"/>
  <c r="K57" i="6"/>
  <c r="K63" i="6"/>
  <c r="K77" i="6"/>
  <c r="K52" i="6"/>
  <c r="K79" i="6"/>
  <c r="K78" i="6"/>
  <c r="K85" i="6"/>
  <c r="K56" i="6"/>
  <c r="K76" i="6"/>
  <c r="K66" i="6"/>
  <c r="K68" i="6"/>
  <c r="K70" i="6"/>
  <c r="K67" i="6"/>
  <c r="K53" i="6"/>
  <c r="K59" i="6"/>
  <c r="K81" i="6"/>
  <c r="K84" i="6"/>
  <c r="K64" i="6"/>
  <c r="K55" i="6"/>
  <c r="K83" i="6"/>
  <c r="K71" i="6"/>
  <c r="K60" i="6"/>
  <c r="K75" i="6"/>
  <c r="K80" i="6"/>
  <c r="K65" i="6"/>
  <c r="K72" i="6"/>
  <c r="K58" i="6"/>
  <c r="K62" i="6"/>
  <c r="K69" i="6"/>
  <c r="K8" i="21"/>
  <c r="L328" i="1"/>
  <c r="L7" i="25"/>
  <c r="L135" i="36"/>
  <c r="J330" i="1"/>
  <c r="K28" i="44"/>
  <c r="K330" i="1"/>
  <c r="J94" i="6"/>
  <c r="J98" i="6"/>
  <c r="J115" i="6" s="1"/>
  <c r="J61" i="47"/>
  <c r="J60" i="47"/>
  <c r="P9" i="6" l="1"/>
  <c r="P10" i="6"/>
  <c r="P8" i="6"/>
  <c r="P20" i="6"/>
  <c r="Q7" i="48"/>
  <c r="Q82" i="48" s="1"/>
  <c r="Q7" i="53"/>
  <c r="Q7" i="49"/>
  <c r="Q7" i="51"/>
  <c r="Q7" i="44"/>
  <c r="Q7" i="52"/>
  <c r="Q7" i="6"/>
  <c r="P89" i="6"/>
  <c r="K91" i="25"/>
  <c r="K94" i="25" s="1"/>
  <c r="K95" i="25" s="1"/>
  <c r="K110" i="25" s="1"/>
  <c r="L329" i="1"/>
  <c r="L7" i="26"/>
  <c r="AZ288" i="36"/>
  <c r="K8" i="53"/>
  <c r="K8" i="51"/>
  <c r="K8" i="49"/>
  <c r="K8" i="52"/>
  <c r="K8" i="48"/>
  <c r="L10" i="25"/>
  <c r="L103" i="25"/>
  <c r="L151" i="26"/>
  <c r="L10" i="26"/>
  <c r="L99" i="26"/>
  <c r="K39" i="26"/>
  <c r="K58" i="26"/>
  <c r="K38" i="26"/>
  <c r="K73" i="26"/>
  <c r="K59" i="26"/>
  <c r="K48" i="26"/>
  <c r="K86" i="26"/>
  <c r="K53" i="26"/>
  <c r="K74" i="26"/>
  <c r="K134" i="26"/>
  <c r="K85" i="26"/>
  <c r="K50" i="26"/>
  <c r="K68" i="26"/>
  <c r="K56" i="26"/>
  <c r="K41" i="26"/>
  <c r="K75" i="26"/>
  <c r="K65" i="26"/>
  <c r="K66" i="26"/>
  <c r="K40" i="26"/>
  <c r="K136" i="26"/>
  <c r="K54" i="26"/>
  <c r="K67" i="26"/>
  <c r="K37" i="26"/>
  <c r="K36" i="26"/>
  <c r="K142" i="26"/>
  <c r="K35" i="26"/>
  <c r="K72" i="26"/>
  <c r="K52" i="26"/>
  <c r="K71" i="26"/>
  <c r="K57" i="26"/>
  <c r="K43" i="26"/>
  <c r="K69" i="26"/>
  <c r="K42" i="26"/>
  <c r="K51" i="26"/>
  <c r="K49" i="26"/>
  <c r="K34" i="26"/>
  <c r="K55" i="26"/>
  <c r="K64" i="26"/>
  <c r="K70" i="26"/>
  <c r="K135" i="26"/>
  <c r="K177" i="22"/>
  <c r="K170" i="22"/>
  <c r="K133" i="22"/>
  <c r="K101" i="22"/>
  <c r="K117" i="22" s="1"/>
  <c r="K75" i="22"/>
  <c r="K91" i="22" s="1"/>
  <c r="K168" i="22"/>
  <c r="K173" i="22" s="1"/>
  <c r="K179" i="22"/>
  <c r="K178" i="22"/>
  <c r="K16" i="22"/>
  <c r="K169" i="22"/>
  <c r="K24" i="25" s="1"/>
  <c r="K117" i="26" s="1"/>
  <c r="K49" i="22"/>
  <c r="K166" i="22"/>
  <c r="K78" i="26" s="1"/>
  <c r="J59" i="47"/>
  <c r="J62" i="47" s="1"/>
  <c r="J28" i="47"/>
  <c r="J55" i="47"/>
  <c r="J68" i="47"/>
  <c r="J40" i="48"/>
  <c r="J124" i="48"/>
  <c r="J206" i="48"/>
  <c r="J96" i="48"/>
  <c r="K96" i="48" s="1"/>
  <c r="J171" i="48"/>
  <c r="J187" i="48"/>
  <c r="J119" i="48"/>
  <c r="J201" i="48"/>
  <c r="J91" i="48"/>
  <c r="K91" i="48" s="1"/>
  <c r="J172" i="48"/>
  <c r="J115" i="48"/>
  <c r="J101" i="48"/>
  <c r="K101" i="48" s="1"/>
  <c r="J176" i="48"/>
  <c r="J139" i="48"/>
  <c r="J195" i="48"/>
  <c r="J98" i="48"/>
  <c r="K98" i="48" s="1"/>
  <c r="J200" i="48"/>
  <c r="J103" i="48"/>
  <c r="K103" i="48" s="1"/>
  <c r="J203" i="48"/>
  <c r="J105" i="48"/>
  <c r="K105" i="48" s="1"/>
  <c r="J189" i="48"/>
  <c r="J118" i="48"/>
  <c r="J213" i="48"/>
  <c r="J208" i="48"/>
  <c r="J185" i="48"/>
  <c r="J174" i="48"/>
  <c r="J75" i="48"/>
  <c r="J158" i="48"/>
  <c r="J149" i="48"/>
  <c r="J153" i="48"/>
  <c r="J157" i="48"/>
  <c r="J155" i="48"/>
  <c r="J49" i="48"/>
  <c r="J51" i="48" s="1"/>
  <c r="J151" i="48"/>
  <c r="J62" i="48"/>
  <c r="J112" i="48"/>
  <c r="J128" i="48"/>
  <c r="J194" i="48"/>
  <c r="J210" i="48"/>
  <c r="J100" i="48"/>
  <c r="K100" i="48" s="1"/>
  <c r="J175" i="48"/>
  <c r="J125" i="48"/>
  <c r="J207" i="48"/>
  <c r="J97" i="48"/>
  <c r="K97" i="48" s="1"/>
  <c r="J177" i="48"/>
  <c r="J122" i="48"/>
  <c r="J197" i="48"/>
  <c r="J184" i="48"/>
  <c r="J13" i="48"/>
  <c r="J205" i="48"/>
  <c r="J106" i="48"/>
  <c r="K106" i="48" s="1"/>
  <c r="J117" i="48"/>
  <c r="J209" i="48"/>
  <c r="J168" i="48"/>
  <c r="J127" i="48"/>
  <c r="J90" i="48"/>
  <c r="K90" i="48" s="1"/>
  <c r="J123" i="48"/>
  <c r="J161" i="48"/>
  <c r="J152" i="48"/>
  <c r="J46" i="48"/>
  <c r="J142" i="48"/>
  <c r="J160" i="48"/>
  <c r="J141" i="48"/>
  <c r="J120" i="48"/>
  <c r="J202" i="48"/>
  <c r="J92" i="48"/>
  <c r="K92" i="48" s="1"/>
  <c r="J167" i="48"/>
  <c r="J114" i="48"/>
  <c r="J217" i="48"/>
  <c r="J86" i="48"/>
  <c r="J188" i="48"/>
  <c r="J131" i="48"/>
  <c r="J93" i="48"/>
  <c r="K93" i="48" s="1"/>
  <c r="J186" i="48"/>
  <c r="J85" i="48"/>
  <c r="J26" i="48"/>
  <c r="J95" i="48"/>
  <c r="K95" i="48" s="1"/>
  <c r="J99" i="48"/>
  <c r="K99" i="48" s="1"/>
  <c r="J216" i="48"/>
  <c r="J156" i="48"/>
  <c r="J145" i="48"/>
  <c r="J53" i="48"/>
  <c r="J132" i="48"/>
  <c r="J214" i="48"/>
  <c r="J104" i="48"/>
  <c r="K104" i="48" s="1"/>
  <c r="J179" i="48"/>
  <c r="J130" i="48"/>
  <c r="J102" i="48"/>
  <c r="K102" i="48" s="1"/>
  <c r="J129" i="48"/>
  <c r="J204" i="48"/>
  <c r="J87" i="48"/>
  <c r="K87" i="48" s="1"/>
  <c r="J173" i="48"/>
  <c r="J126" i="48"/>
  <c r="J180" i="48"/>
  <c r="J162" i="48"/>
  <c r="J148" i="48"/>
  <c r="J143" i="48"/>
  <c r="J218" i="48"/>
  <c r="J108" i="48"/>
  <c r="K108" i="48" s="1"/>
  <c r="J183" i="48"/>
  <c r="J135" i="48"/>
  <c r="J196" i="48"/>
  <c r="J107" i="48"/>
  <c r="K107" i="48" s="1"/>
  <c r="J166" i="48"/>
  <c r="J211" i="48"/>
  <c r="J94" i="48"/>
  <c r="K94" i="48" s="1"/>
  <c r="J169" i="48"/>
  <c r="J89" i="48"/>
  <c r="K89" i="48" s="1"/>
  <c r="J181" i="48"/>
  <c r="J134" i="48"/>
  <c r="J170" i="48"/>
  <c r="J29" i="48"/>
  <c r="J159" i="48"/>
  <c r="J154" i="48"/>
  <c r="J150" i="48"/>
  <c r="J182" i="48"/>
  <c r="J178" i="48"/>
  <c r="J133" i="48"/>
  <c r="J198" i="48"/>
  <c r="J25" i="48"/>
  <c r="J76" i="48" s="1"/>
  <c r="J212" i="48"/>
  <c r="J190" i="48"/>
  <c r="J113" i="48"/>
  <c r="J147" i="48"/>
  <c r="J140" i="48"/>
  <c r="J121" i="48"/>
  <c r="J199" i="48"/>
  <c r="J146" i="48"/>
  <c r="J144" i="48"/>
  <c r="J116" i="48"/>
  <c r="J88" i="48"/>
  <c r="K88" i="48" s="1"/>
  <c r="J215" i="48"/>
  <c r="J38" i="26"/>
  <c r="J58" i="26"/>
  <c r="J35" i="26"/>
  <c r="J59" i="26"/>
  <c r="J37" i="26"/>
  <c r="J41" i="26"/>
  <c r="J52" i="26"/>
  <c r="J75" i="26"/>
  <c r="J205" i="26"/>
  <c r="J136" i="26"/>
  <c r="J34" i="26"/>
  <c r="J65" i="26"/>
  <c r="J48" i="26"/>
  <c r="J86" i="26"/>
  <c r="J55" i="26"/>
  <c r="J36" i="26"/>
  <c r="J49" i="26"/>
  <c r="J142" i="26"/>
  <c r="J42" i="26"/>
  <c r="J69" i="26"/>
  <c r="J53" i="26"/>
  <c r="J51" i="26"/>
  <c r="J67" i="26"/>
  <c r="J56" i="26"/>
  <c r="J68" i="26"/>
  <c r="J134" i="26"/>
  <c r="J135" i="26"/>
  <c r="J50" i="26"/>
  <c r="J73" i="26"/>
  <c r="J66" i="26"/>
  <c r="J57" i="26"/>
  <c r="J74" i="26"/>
  <c r="J39" i="26"/>
  <c r="J43" i="26"/>
  <c r="J94" i="26"/>
  <c r="J40" i="26"/>
  <c r="J64" i="26"/>
  <c r="J71" i="26"/>
  <c r="J146" i="26"/>
  <c r="J85" i="26"/>
  <c r="J70" i="26"/>
  <c r="J54" i="26"/>
  <c r="J72" i="26"/>
  <c r="J135" i="25"/>
  <c r="J22" i="25"/>
  <c r="J116" i="25"/>
  <c r="J126" i="25"/>
  <c r="J137" i="25"/>
  <c r="J35" i="25"/>
  <c r="J32" i="25"/>
  <c r="J136" i="25"/>
  <c r="J127" i="25"/>
  <c r="J21" i="25"/>
  <c r="J114" i="26" s="1"/>
  <c r="J13" i="25"/>
  <c r="J26" i="25"/>
  <c r="J145" i="25"/>
  <c r="J115" i="25"/>
  <c r="J97" i="25"/>
  <c r="J27" i="25"/>
  <c r="J66" i="25"/>
  <c r="J82" i="25"/>
  <c r="J85" i="25" s="1"/>
  <c r="J125" i="25"/>
  <c r="J15" i="25"/>
  <c r="J117" i="25"/>
  <c r="J12" i="25"/>
  <c r="L150" i="36"/>
  <c r="L145" i="36"/>
  <c r="L144" i="36"/>
  <c r="J177" i="22"/>
  <c r="J170" i="22"/>
  <c r="J166" i="22"/>
  <c r="J179" i="22"/>
  <c r="J172" i="22"/>
  <c r="J78" i="22"/>
  <c r="J79" i="22" s="1"/>
  <c r="J168" i="22"/>
  <c r="J49" i="22"/>
  <c r="J101" i="22"/>
  <c r="J104" i="22"/>
  <c r="J105" i="22" s="1"/>
  <c r="J133" i="22"/>
  <c r="J52" i="22"/>
  <c r="J120" i="22"/>
  <c r="J169" i="22"/>
  <c r="J16" i="22"/>
  <c r="J178" i="22"/>
  <c r="J136" i="22"/>
  <c r="J75" i="22"/>
  <c r="J19" i="22"/>
  <c r="J35" i="22"/>
  <c r="J152" i="22"/>
  <c r="K30" i="44"/>
  <c r="K29" i="44"/>
  <c r="J28" i="44"/>
  <c r="J26" i="47"/>
  <c r="J31" i="6"/>
  <c r="J15" i="6"/>
  <c r="L115" i="36"/>
  <c r="Q59" i="36"/>
  <c r="O136" i="36"/>
  <c r="L180" i="36"/>
  <c r="AG180" i="36"/>
  <c r="AY272" i="36"/>
  <c r="AY279" i="36"/>
  <c r="L122" i="36"/>
  <c r="K59" i="47"/>
  <c r="K62" i="47" s="1"/>
  <c r="K55" i="47"/>
  <c r="K28" i="47"/>
  <c r="J351" i="1"/>
  <c r="J354" i="1" s="1"/>
  <c r="J339" i="1"/>
  <c r="J342" i="1" s="1"/>
  <c r="J345" i="1"/>
  <c r="J348" i="1" s="1"/>
  <c r="K127" i="25"/>
  <c r="K136" i="25"/>
  <c r="K137" i="25"/>
  <c r="K26" i="25"/>
  <c r="K119" i="26" s="1"/>
  <c r="K32" i="25"/>
  <c r="K132" i="26" s="1"/>
  <c r="K12" i="25"/>
  <c r="K102" i="26" s="1"/>
  <c r="K22" i="25"/>
  <c r="K115" i="26" s="1"/>
  <c r="K117" i="25"/>
  <c r="K13" i="25"/>
  <c r="K103" i="26" s="1"/>
  <c r="K27" i="25"/>
  <c r="K120" i="26" s="1"/>
  <c r="K126" i="25"/>
  <c r="K116" i="25"/>
  <c r="K62" i="21"/>
  <c r="K98" i="21" s="1"/>
  <c r="K76" i="21"/>
  <c r="K112" i="21" s="1"/>
  <c r="K60" i="21"/>
  <c r="K96" i="21" s="1"/>
  <c r="K65" i="21"/>
  <c r="K101" i="21" s="1"/>
  <c r="K17" i="21"/>
  <c r="K71" i="21"/>
  <c r="K107" i="21" s="1"/>
  <c r="K64" i="21"/>
  <c r="K100" i="21" s="1"/>
  <c r="K74" i="21"/>
  <c r="K110" i="21" s="1"/>
  <c r="K61" i="21"/>
  <c r="K97" i="21" s="1"/>
  <c r="K77" i="21"/>
  <c r="K113" i="21" s="1"/>
  <c r="K75" i="21"/>
  <c r="K111" i="21" s="1"/>
  <c r="K41" i="21"/>
  <c r="K70" i="21"/>
  <c r="K73" i="21"/>
  <c r="K109" i="21" s="1"/>
  <c r="K63" i="21"/>
  <c r="K99" i="21" s="1"/>
  <c r="K66" i="21"/>
  <c r="K102" i="21" s="1"/>
  <c r="K30" i="21"/>
  <c r="K59" i="21"/>
  <c r="K72" i="21"/>
  <c r="K108" i="21" s="1"/>
  <c r="K177" i="48"/>
  <c r="K168" i="48"/>
  <c r="K190" i="48"/>
  <c r="K86" i="48"/>
  <c r="K167" i="48"/>
  <c r="K186" i="48"/>
  <c r="K120" i="48"/>
  <c r="K202" i="48"/>
  <c r="K218" i="48"/>
  <c r="K122" i="48"/>
  <c r="K204" i="48"/>
  <c r="K118" i="48"/>
  <c r="K129" i="48"/>
  <c r="K203" i="48"/>
  <c r="K119" i="48"/>
  <c r="K195" i="48"/>
  <c r="K216" i="48"/>
  <c r="K155" i="48"/>
  <c r="K145" i="48"/>
  <c r="K143" i="48"/>
  <c r="K144" i="48"/>
  <c r="K160" i="48"/>
  <c r="K62" i="48"/>
  <c r="K185" i="48"/>
  <c r="K175" i="48"/>
  <c r="K183" i="48"/>
  <c r="K180" i="48"/>
  <c r="K116" i="48"/>
  <c r="K198" i="48"/>
  <c r="K117" i="48"/>
  <c r="K131" i="48"/>
  <c r="K114" i="48"/>
  <c r="K211" i="48"/>
  <c r="K123" i="48"/>
  <c r="K212" i="48"/>
  <c r="K126" i="48"/>
  <c r="K130" i="48"/>
  <c r="K159" i="48"/>
  <c r="K148" i="48"/>
  <c r="K141" i="48"/>
  <c r="K46" i="48"/>
  <c r="K142" i="48"/>
  <c r="K151" i="48"/>
  <c r="K147" i="48"/>
  <c r="K169" i="48"/>
  <c r="K189" i="48"/>
  <c r="K174" i="48"/>
  <c r="K182" i="48"/>
  <c r="K25" i="48"/>
  <c r="K76" i="48" s="1"/>
  <c r="K172" i="48"/>
  <c r="K124" i="48"/>
  <c r="K206" i="48"/>
  <c r="K127" i="48"/>
  <c r="K199" i="48"/>
  <c r="K200" i="48"/>
  <c r="K121" i="48"/>
  <c r="K217" i="48"/>
  <c r="K208" i="48"/>
  <c r="K205" i="48"/>
  <c r="K153" i="48"/>
  <c r="K152" i="48"/>
  <c r="K157" i="48"/>
  <c r="K173" i="48"/>
  <c r="K179" i="48"/>
  <c r="K188" i="48"/>
  <c r="K26" i="48"/>
  <c r="K29" i="48"/>
  <c r="K178" i="48"/>
  <c r="K170" i="48"/>
  <c r="K187" i="48"/>
  <c r="K128" i="48"/>
  <c r="K210" i="48"/>
  <c r="K133" i="48"/>
  <c r="K209" i="48"/>
  <c r="K75" i="48"/>
  <c r="K207" i="48"/>
  <c r="K135" i="48"/>
  <c r="K134" i="48"/>
  <c r="K115" i="48"/>
  <c r="K158" i="48"/>
  <c r="K149" i="48"/>
  <c r="K146" i="48"/>
  <c r="K154" i="48"/>
  <c r="K162" i="48"/>
  <c r="K156" i="48"/>
  <c r="K184" i="48"/>
  <c r="K171" i="48"/>
  <c r="K201" i="48"/>
  <c r="K161" i="48"/>
  <c r="K140" i="48"/>
  <c r="K194" i="48"/>
  <c r="K125" i="48"/>
  <c r="K176" i="48"/>
  <c r="K112" i="48"/>
  <c r="K214" i="48"/>
  <c r="K196" i="48"/>
  <c r="K197" i="48"/>
  <c r="K139" i="48"/>
  <c r="K40" i="48"/>
  <c r="K215" i="48"/>
  <c r="K181" i="48"/>
  <c r="K213" i="48"/>
  <c r="K132" i="48"/>
  <c r="K150" i="48"/>
  <c r="K113" i="48"/>
  <c r="J77" i="21"/>
  <c r="J30" i="21"/>
  <c r="J72" i="21"/>
  <c r="J76" i="21"/>
  <c r="J41" i="21"/>
  <c r="J17" i="21"/>
  <c r="J61" i="21"/>
  <c r="J71" i="21"/>
  <c r="J64" i="21"/>
  <c r="J59" i="21"/>
  <c r="J66" i="21"/>
  <c r="J60" i="21"/>
  <c r="J63" i="21"/>
  <c r="J74" i="21"/>
  <c r="J65" i="21"/>
  <c r="J62" i="21"/>
  <c r="J70" i="21"/>
  <c r="J75" i="21"/>
  <c r="J73" i="21"/>
  <c r="K92" i="26" l="1"/>
  <c r="Q10" i="6"/>
  <c r="Q9" i="6"/>
  <c r="Q8" i="6"/>
  <c r="Q20" i="6"/>
  <c r="Q89" i="6"/>
  <c r="R7" i="48"/>
  <c r="R82" i="48" s="1"/>
  <c r="R7" i="53"/>
  <c r="R7" i="44"/>
  <c r="R7" i="49"/>
  <c r="R7" i="52"/>
  <c r="R7" i="6"/>
  <c r="R7" i="51"/>
  <c r="L28" i="44"/>
  <c r="L330" i="1"/>
  <c r="L89" i="25"/>
  <c r="L90" i="25"/>
  <c r="L85" i="6"/>
  <c r="L60" i="6"/>
  <c r="L73" i="6"/>
  <c r="L78" i="6"/>
  <c r="L56" i="6"/>
  <c r="L59" i="6"/>
  <c r="L68" i="6"/>
  <c r="L83" i="6"/>
  <c r="L58" i="6"/>
  <c r="L54" i="6"/>
  <c r="L80" i="6"/>
  <c r="L67" i="6"/>
  <c r="L69" i="6"/>
  <c r="L86" i="6"/>
  <c r="L52" i="6"/>
  <c r="L53" i="6"/>
  <c r="L81" i="6"/>
  <c r="L63" i="6"/>
  <c r="L57" i="6"/>
  <c r="L77" i="6"/>
  <c r="L72" i="6"/>
  <c r="L76" i="6"/>
  <c r="L79" i="6"/>
  <c r="L71" i="6"/>
  <c r="L70" i="6"/>
  <c r="L64" i="6"/>
  <c r="L55" i="6"/>
  <c r="L65" i="6"/>
  <c r="L51" i="6"/>
  <c r="L75" i="6"/>
  <c r="L82" i="6"/>
  <c r="L66" i="6"/>
  <c r="L84" i="6"/>
  <c r="L62" i="6"/>
  <c r="L8" i="21"/>
  <c r="M328" i="1"/>
  <c r="M7" i="25"/>
  <c r="J54" i="21"/>
  <c r="J90" i="21" s="1"/>
  <c r="J53" i="22"/>
  <c r="J122" i="22"/>
  <c r="J110" i="21"/>
  <c r="J149" i="21"/>
  <c r="J147" i="21"/>
  <c r="J148" i="21"/>
  <c r="K42" i="48"/>
  <c r="K24" i="6" s="1"/>
  <c r="K14" i="44"/>
  <c r="K345" i="1"/>
  <c r="K348" i="1" s="1"/>
  <c r="J166" i="26"/>
  <c r="J37" i="22"/>
  <c r="J20" i="22"/>
  <c r="J164" i="22"/>
  <c r="J81" i="26" s="1"/>
  <c r="J137" i="22"/>
  <c r="J154" i="22"/>
  <c r="J153" i="22"/>
  <c r="J163" i="22"/>
  <c r="J135" i="22"/>
  <c r="J149" i="22"/>
  <c r="J173" i="22"/>
  <c r="J78" i="26"/>
  <c r="J120" i="26"/>
  <c r="J149" i="25"/>
  <c r="J31" i="25" s="1"/>
  <c r="J123" i="26" s="1"/>
  <c r="J147" i="25"/>
  <c r="J115" i="26"/>
  <c r="J92" i="26"/>
  <c r="J14" i="44"/>
  <c r="J163" i="48"/>
  <c r="K161" i="22"/>
  <c r="K160" i="22"/>
  <c r="K36" i="22"/>
  <c r="K32" i="22"/>
  <c r="K14" i="25"/>
  <c r="K104" i="26" s="1"/>
  <c r="J102" i="21"/>
  <c r="J140" i="21"/>
  <c r="J138" i="21"/>
  <c r="J139" i="21"/>
  <c r="K148" i="21"/>
  <c r="K149" i="21"/>
  <c r="K147" i="21"/>
  <c r="K174" i="22"/>
  <c r="K25" i="25"/>
  <c r="K118" i="26" s="1"/>
  <c r="J106" i="21"/>
  <c r="J78" i="21"/>
  <c r="J95" i="21"/>
  <c r="J67" i="21"/>
  <c r="J100" i="21"/>
  <c r="J113" i="21"/>
  <c r="J109" i="21"/>
  <c r="J107" i="21"/>
  <c r="K219" i="48"/>
  <c r="J159" i="26"/>
  <c r="K351" i="1"/>
  <c r="K354" i="1" s="1"/>
  <c r="K27" i="6"/>
  <c r="J91" i="22"/>
  <c r="J77" i="22"/>
  <c r="J103" i="22"/>
  <c r="J117" i="22"/>
  <c r="J25" i="25"/>
  <c r="J174" i="22"/>
  <c r="J71" i="25"/>
  <c r="J70" i="25"/>
  <c r="J106" i="25"/>
  <c r="J101" i="25"/>
  <c r="J104" i="25" s="1"/>
  <c r="J29" i="25" s="1"/>
  <c r="J122" i="26" s="1"/>
  <c r="J107" i="25"/>
  <c r="J111" i="25" s="1"/>
  <c r="J112" i="25" s="1"/>
  <c r="J99" i="25" s="1"/>
  <c r="J30" i="25" s="1"/>
  <c r="J119" i="26"/>
  <c r="J132" i="26"/>
  <c r="J139" i="25"/>
  <c r="J141" i="25" s="1"/>
  <c r="J138" i="25"/>
  <c r="J191" i="48"/>
  <c r="J23" i="48" s="1"/>
  <c r="K166" i="48"/>
  <c r="J219" i="48"/>
  <c r="J136" i="48"/>
  <c r="K49" i="48"/>
  <c r="K51" i="48" s="1"/>
  <c r="K54" i="21"/>
  <c r="K90" i="21" s="1"/>
  <c r="J170" i="26"/>
  <c r="K339" i="1"/>
  <c r="K342" i="1" s="1"/>
  <c r="J129" i="25"/>
  <c r="J131" i="25" s="1"/>
  <c r="J128" i="25"/>
  <c r="J119" i="25"/>
  <c r="J121" i="25" s="1"/>
  <c r="J118" i="25"/>
  <c r="J103" i="26"/>
  <c r="J13" i="44"/>
  <c r="J109" i="48"/>
  <c r="J22" i="48" s="1"/>
  <c r="K85" i="48"/>
  <c r="J99" i="21"/>
  <c r="J112" i="21"/>
  <c r="K163" i="48"/>
  <c r="K13" i="44"/>
  <c r="K67" i="21"/>
  <c r="K95" i="21"/>
  <c r="K103" i="21" s="1"/>
  <c r="K46" i="26" s="1"/>
  <c r="J111" i="21"/>
  <c r="J98" i="21"/>
  <c r="J101" i="21"/>
  <c r="J96" i="21"/>
  <c r="J97" i="21"/>
  <c r="J108" i="21"/>
  <c r="K136" i="48"/>
  <c r="K140" i="21"/>
  <c r="K138" i="21"/>
  <c r="K139" i="21"/>
  <c r="K106" i="21"/>
  <c r="K114" i="21" s="1"/>
  <c r="K62" i="26" s="1"/>
  <c r="K78" i="21"/>
  <c r="J29" i="44"/>
  <c r="J30" i="44"/>
  <c r="J18" i="22"/>
  <c r="J36" i="22"/>
  <c r="J32" i="22"/>
  <c r="J160" i="22"/>
  <c r="J161" i="22"/>
  <c r="J24" i="25"/>
  <c r="J162" i="22"/>
  <c r="J65" i="22"/>
  <c r="J121" i="22"/>
  <c r="J51" i="22"/>
  <c r="J180" i="22"/>
  <c r="J14" i="25"/>
  <c r="J102" i="26"/>
  <c r="J84" i="26"/>
  <c r="J105" i="26"/>
  <c r="J42" i="48"/>
  <c r="K65" i="22"/>
  <c r="K121" i="22"/>
  <c r="K162" i="22"/>
  <c r="K153" i="22"/>
  <c r="K163" i="22"/>
  <c r="K149" i="22"/>
  <c r="R10" i="6" l="1"/>
  <c r="R9" i="6"/>
  <c r="R8" i="6"/>
  <c r="R89" i="6"/>
  <c r="R20" i="6"/>
  <c r="S7" i="49"/>
  <c r="S7" i="52"/>
  <c r="S7" i="6"/>
  <c r="S7" i="44"/>
  <c r="S7" i="51"/>
  <c r="S7" i="48"/>
  <c r="S82" i="48" s="1"/>
  <c r="S7" i="53"/>
  <c r="L97" i="48"/>
  <c r="L108" i="48"/>
  <c r="L93" i="48"/>
  <c r="L105" i="48"/>
  <c r="L102" i="48"/>
  <c r="L86" i="48"/>
  <c r="L101" i="48"/>
  <c r="L89" i="48"/>
  <c r="L92" i="48"/>
  <c r="K15" i="48"/>
  <c r="K18" i="48" s="1"/>
  <c r="L106" i="48"/>
  <c r="L98" i="48"/>
  <c r="L88" i="48"/>
  <c r="L103" i="48"/>
  <c r="L104" i="48"/>
  <c r="L94" i="48"/>
  <c r="L107" i="48"/>
  <c r="J123" i="22"/>
  <c r="J154" i="26" s="1"/>
  <c r="J155" i="22"/>
  <c r="K152" i="22" s="1"/>
  <c r="L100" i="48"/>
  <c r="L96" i="48"/>
  <c r="L90" i="48"/>
  <c r="L95" i="48"/>
  <c r="M55" i="47"/>
  <c r="M330" i="1"/>
  <c r="L92" i="25"/>
  <c r="L93" i="25" s="1"/>
  <c r="L91" i="25"/>
  <c r="L94" i="25" s="1"/>
  <c r="L49" i="22"/>
  <c r="L170" i="22"/>
  <c r="L168" i="22"/>
  <c r="L173" i="22" s="1"/>
  <c r="L178" i="22"/>
  <c r="L101" i="22"/>
  <c r="L117" i="22" s="1"/>
  <c r="L16" i="22"/>
  <c r="L177" i="22"/>
  <c r="L133" i="22"/>
  <c r="L75" i="22"/>
  <c r="L91" i="22" s="1"/>
  <c r="L179" i="22"/>
  <c r="L166" i="22"/>
  <c r="L78" i="26" s="1"/>
  <c r="L169" i="22"/>
  <c r="L24" i="25" s="1"/>
  <c r="L117" i="26" s="1"/>
  <c r="L22" i="25"/>
  <c r="L115" i="26" s="1"/>
  <c r="L32" i="25"/>
  <c r="L132" i="26" s="1"/>
  <c r="L137" i="25"/>
  <c r="L13" i="25"/>
  <c r="L103" i="26" s="1"/>
  <c r="L126" i="25"/>
  <c r="L26" i="25"/>
  <c r="L119" i="26" s="1"/>
  <c r="L27" i="25"/>
  <c r="L120" i="26" s="1"/>
  <c r="L117" i="25"/>
  <c r="L136" i="25"/>
  <c r="L127" i="25"/>
  <c r="L12" i="25"/>
  <c r="L102" i="26" s="1"/>
  <c r="L116" i="25"/>
  <c r="M10" i="25"/>
  <c r="M103" i="25"/>
  <c r="L8" i="52"/>
  <c r="L8" i="53"/>
  <c r="L8" i="49"/>
  <c r="L8" i="48"/>
  <c r="L8" i="51"/>
  <c r="L29" i="48"/>
  <c r="L181" i="48"/>
  <c r="L141" i="48"/>
  <c r="L210" i="48"/>
  <c r="L120" i="48"/>
  <c r="L198" i="48"/>
  <c r="L168" i="48"/>
  <c r="L211" i="48"/>
  <c r="L125" i="48"/>
  <c r="L62" i="48"/>
  <c r="L140" i="48"/>
  <c r="L152" i="48"/>
  <c r="L160" i="48"/>
  <c r="L218" i="48"/>
  <c r="L205" i="48"/>
  <c r="L189" i="48"/>
  <c r="L122" i="48"/>
  <c r="L213" i="48"/>
  <c r="L87" i="48"/>
  <c r="L144" i="48"/>
  <c r="L195" i="48"/>
  <c r="L204" i="48"/>
  <c r="L206" i="48"/>
  <c r="L203" i="48"/>
  <c r="L171" i="48"/>
  <c r="L154" i="48"/>
  <c r="L134" i="48"/>
  <c r="L129" i="48"/>
  <c r="L158" i="48"/>
  <c r="L170" i="48"/>
  <c r="L179" i="48"/>
  <c r="L124" i="48"/>
  <c r="L209" i="48"/>
  <c r="L156" i="48"/>
  <c r="L178" i="48"/>
  <c r="L217" i="48"/>
  <c r="L202" i="48"/>
  <c r="L161" i="48"/>
  <c r="L187" i="48"/>
  <c r="L177" i="48"/>
  <c r="L117" i="48"/>
  <c r="L153" i="48"/>
  <c r="L196" i="48"/>
  <c r="L145" i="48"/>
  <c r="L155" i="48"/>
  <c r="L26" i="48"/>
  <c r="L40" i="48"/>
  <c r="L208" i="48"/>
  <c r="L75" i="48"/>
  <c r="L46" i="48"/>
  <c r="L180" i="48"/>
  <c r="L215" i="48"/>
  <c r="L162" i="48"/>
  <c r="L148" i="48"/>
  <c r="L212" i="48"/>
  <c r="L147" i="48"/>
  <c r="L114" i="48"/>
  <c r="L132" i="48"/>
  <c r="L159" i="48"/>
  <c r="L113" i="48"/>
  <c r="L131" i="48"/>
  <c r="L182" i="48"/>
  <c r="L214" i="48"/>
  <c r="L174" i="48"/>
  <c r="L200" i="48"/>
  <c r="L116" i="48"/>
  <c r="L127" i="48"/>
  <c r="L146" i="48"/>
  <c r="L188" i="48"/>
  <c r="L185" i="48"/>
  <c r="L169" i="48"/>
  <c r="L130" i="48"/>
  <c r="L126" i="48"/>
  <c r="L194" i="48"/>
  <c r="L199" i="48"/>
  <c r="L150" i="48"/>
  <c r="L167" i="48"/>
  <c r="L172" i="48"/>
  <c r="L176" i="48"/>
  <c r="L149" i="48"/>
  <c r="L143" i="48"/>
  <c r="L128" i="48"/>
  <c r="L186" i="48"/>
  <c r="L135" i="48"/>
  <c r="L123" i="48"/>
  <c r="L25" i="48"/>
  <c r="L76" i="48" s="1"/>
  <c r="L119" i="48"/>
  <c r="L157" i="48"/>
  <c r="L190" i="48"/>
  <c r="L121" i="48"/>
  <c r="L184" i="48"/>
  <c r="L175" i="48"/>
  <c r="L133" i="48"/>
  <c r="L201" i="48"/>
  <c r="L112" i="48"/>
  <c r="L183" i="48"/>
  <c r="L118" i="48"/>
  <c r="L197" i="48"/>
  <c r="L173" i="48"/>
  <c r="L151" i="48"/>
  <c r="L207" i="48"/>
  <c r="L142" i="48"/>
  <c r="L216" i="48"/>
  <c r="L139" i="48"/>
  <c r="L115" i="48"/>
  <c r="L30" i="44"/>
  <c r="L29" i="44"/>
  <c r="L91" i="48"/>
  <c r="M151" i="26"/>
  <c r="M10" i="26"/>
  <c r="M99" i="26"/>
  <c r="BA288" i="36"/>
  <c r="M329" i="1"/>
  <c r="M7" i="26"/>
  <c r="L74" i="21"/>
  <c r="L110" i="21" s="1"/>
  <c r="L76" i="21"/>
  <c r="L112" i="21" s="1"/>
  <c r="L70" i="21"/>
  <c r="L59" i="21"/>
  <c r="L65" i="21"/>
  <c r="L101" i="21" s="1"/>
  <c r="L77" i="21"/>
  <c r="L113" i="21" s="1"/>
  <c r="L60" i="21"/>
  <c r="L96" i="21" s="1"/>
  <c r="L73" i="21"/>
  <c r="L109" i="21" s="1"/>
  <c r="L66" i="21"/>
  <c r="L102" i="21" s="1"/>
  <c r="L62" i="21"/>
  <c r="L98" i="21" s="1"/>
  <c r="L64" i="21"/>
  <c r="L100" i="21" s="1"/>
  <c r="L71" i="21"/>
  <c r="L107" i="21" s="1"/>
  <c r="L61" i="21"/>
  <c r="L97" i="21" s="1"/>
  <c r="L75" i="21"/>
  <c r="L111" i="21" s="1"/>
  <c r="L72" i="21"/>
  <c r="L108" i="21" s="1"/>
  <c r="L63" i="21"/>
  <c r="L99" i="21" s="1"/>
  <c r="L55" i="47"/>
  <c r="L28" i="47"/>
  <c r="L59" i="47"/>
  <c r="L62" i="47" s="1"/>
  <c r="L30" i="21"/>
  <c r="L41" i="21"/>
  <c r="L17" i="21"/>
  <c r="L54" i="21" s="1"/>
  <c r="L90" i="21" s="1"/>
  <c r="L68" i="26"/>
  <c r="L58" i="26"/>
  <c r="L66" i="26"/>
  <c r="L35" i="26"/>
  <c r="L134" i="26"/>
  <c r="L40" i="26"/>
  <c r="L53" i="26"/>
  <c r="L72" i="26"/>
  <c r="L69" i="26"/>
  <c r="L86" i="26"/>
  <c r="L34" i="26"/>
  <c r="L67" i="26"/>
  <c r="L73" i="26"/>
  <c r="L43" i="26"/>
  <c r="L136" i="26"/>
  <c r="L135" i="26"/>
  <c r="L42" i="26"/>
  <c r="L49" i="26"/>
  <c r="L41" i="26"/>
  <c r="L64" i="26"/>
  <c r="L70" i="26"/>
  <c r="L85" i="26"/>
  <c r="L59" i="26"/>
  <c r="L71" i="26"/>
  <c r="L39" i="26"/>
  <c r="L52" i="26"/>
  <c r="L36" i="26"/>
  <c r="L74" i="26"/>
  <c r="L142" i="26"/>
  <c r="L51" i="26"/>
  <c r="L75" i="26"/>
  <c r="L56" i="26"/>
  <c r="L55" i="26"/>
  <c r="L48" i="26"/>
  <c r="L38" i="26"/>
  <c r="L57" i="26"/>
  <c r="L50" i="26"/>
  <c r="L65" i="26"/>
  <c r="L37" i="26"/>
  <c r="L54" i="26"/>
  <c r="L99" i="48"/>
  <c r="J15" i="48"/>
  <c r="J16" i="48" s="1"/>
  <c r="J13" i="21" s="1"/>
  <c r="J103" i="21"/>
  <c r="K182" i="22"/>
  <c r="K17" i="47" s="1"/>
  <c r="J104" i="26"/>
  <c r="K52" i="22"/>
  <c r="K51" i="22"/>
  <c r="J38" i="22"/>
  <c r="K32" i="26"/>
  <c r="L49" i="6"/>
  <c r="L85" i="48"/>
  <c r="K109" i="48"/>
  <c r="K22" i="48" s="1"/>
  <c r="K49" i="6"/>
  <c r="J32" i="26"/>
  <c r="K115" i="25"/>
  <c r="J183" i="26"/>
  <c r="J184" i="26"/>
  <c r="K125" i="25"/>
  <c r="K170" i="26"/>
  <c r="L339" i="1"/>
  <c r="L342" i="1" s="1"/>
  <c r="J185" i="26"/>
  <c r="K135" i="25"/>
  <c r="K78" i="22"/>
  <c r="K79" i="22" s="1"/>
  <c r="K77" i="22"/>
  <c r="K159" i="26"/>
  <c r="L351" i="1"/>
  <c r="L354" i="1" s="1"/>
  <c r="J141" i="21"/>
  <c r="J45" i="26"/>
  <c r="J142" i="21"/>
  <c r="J143" i="21"/>
  <c r="J61" i="26"/>
  <c r="J152" i="21"/>
  <c r="J151" i="21"/>
  <c r="J150" i="21"/>
  <c r="J33" i="26"/>
  <c r="K50" i="6"/>
  <c r="J30" i="48"/>
  <c r="J24" i="6"/>
  <c r="J175" i="22"/>
  <c r="K18" i="22"/>
  <c r="K19" i="22"/>
  <c r="K20" i="22" s="1"/>
  <c r="L49" i="48"/>
  <c r="L51" i="48" s="1"/>
  <c r="J181" i="26"/>
  <c r="K145" i="25"/>
  <c r="J80" i="26"/>
  <c r="J117" i="26"/>
  <c r="J182" i="22"/>
  <c r="K61" i="26"/>
  <c r="K150" i="21"/>
  <c r="K151" i="21"/>
  <c r="K152" i="21"/>
  <c r="J28" i="48"/>
  <c r="K191" i="48"/>
  <c r="K23" i="48" s="1"/>
  <c r="L166" i="48"/>
  <c r="J108" i="25"/>
  <c r="J28" i="25" s="1"/>
  <c r="J114" i="21"/>
  <c r="J26" i="6"/>
  <c r="K166" i="26"/>
  <c r="L345" i="1"/>
  <c r="L348" i="1" s="1"/>
  <c r="J27" i="6"/>
  <c r="K142" i="21"/>
  <c r="K45" i="26"/>
  <c r="K143" i="21"/>
  <c r="K141" i="21"/>
  <c r="J118" i="26"/>
  <c r="K104" i="22"/>
  <c r="K105" i="22" s="1"/>
  <c r="K103" i="22"/>
  <c r="K136" i="22"/>
  <c r="K154" i="22" s="1"/>
  <c r="K135" i="22"/>
  <c r="L50" i="6"/>
  <c r="K33" i="26"/>
  <c r="K23" i="25" l="1"/>
  <c r="K116" i="26" s="1"/>
  <c r="L92" i="26"/>
  <c r="M28" i="44"/>
  <c r="M29" i="44" s="1"/>
  <c r="S10" i="6"/>
  <c r="S9" i="6"/>
  <c r="S8" i="6"/>
  <c r="S20" i="6"/>
  <c r="S89" i="6"/>
  <c r="M170" i="22"/>
  <c r="M142" i="26"/>
  <c r="T7" i="51"/>
  <c r="T7" i="49"/>
  <c r="T7" i="52"/>
  <c r="T7" i="6"/>
  <c r="T7" i="44"/>
  <c r="T7" i="48"/>
  <c r="T82" i="48" s="1"/>
  <c r="T7" i="53"/>
  <c r="K120" i="22"/>
  <c r="J155" i="26"/>
  <c r="M59" i="47"/>
  <c r="M62" i="47" s="1"/>
  <c r="J61" i="48"/>
  <c r="K13" i="48"/>
  <c r="K16" i="48" s="1"/>
  <c r="J60" i="48"/>
  <c r="J153" i="21"/>
  <c r="J76" i="44" s="1"/>
  <c r="J144" i="21"/>
  <c r="J60" i="44" s="1"/>
  <c r="J73" i="44" s="1"/>
  <c r="J18" i="48"/>
  <c r="L163" i="48"/>
  <c r="J18" i="21"/>
  <c r="J55" i="21" s="1"/>
  <c r="J24" i="48"/>
  <c r="J64" i="48"/>
  <c r="J63" i="48"/>
  <c r="L149" i="22"/>
  <c r="L163" i="22"/>
  <c r="L153" i="22"/>
  <c r="L147" i="21"/>
  <c r="L149" i="21"/>
  <c r="L148" i="21"/>
  <c r="L67" i="21"/>
  <c r="L95" i="21"/>
  <c r="L103" i="21" s="1"/>
  <c r="L46" i="26" s="1"/>
  <c r="L27" i="6"/>
  <c r="L14" i="25"/>
  <c r="L104" i="26" s="1"/>
  <c r="L180" i="22"/>
  <c r="L80" i="26" s="1"/>
  <c r="L95" i="25"/>
  <c r="L110" i="25" s="1"/>
  <c r="M30" i="44"/>
  <c r="M28" i="47"/>
  <c r="M67" i="6"/>
  <c r="M80" i="6"/>
  <c r="M77" i="6"/>
  <c r="M51" i="6"/>
  <c r="M69" i="6"/>
  <c r="M79" i="6"/>
  <c r="M57" i="6"/>
  <c r="M76" i="6"/>
  <c r="M55" i="6"/>
  <c r="M59" i="6"/>
  <c r="M64" i="6"/>
  <c r="M53" i="6"/>
  <c r="M65" i="6"/>
  <c r="M85" i="6"/>
  <c r="M82" i="6"/>
  <c r="M54" i="6"/>
  <c r="M81" i="6"/>
  <c r="M83" i="6"/>
  <c r="M56" i="6"/>
  <c r="M73" i="6"/>
  <c r="M60" i="6"/>
  <c r="M58" i="6"/>
  <c r="M84" i="6"/>
  <c r="M78" i="6"/>
  <c r="M62" i="6"/>
  <c r="M72" i="6"/>
  <c r="M63" i="6"/>
  <c r="M75" i="6"/>
  <c r="M86" i="6"/>
  <c r="M52" i="6"/>
  <c r="M66" i="6"/>
  <c r="M68" i="6"/>
  <c r="M70" i="6"/>
  <c r="M71" i="6"/>
  <c r="L78" i="21"/>
  <c r="L106" i="21"/>
  <c r="L114" i="21" s="1"/>
  <c r="L62" i="26" s="1"/>
  <c r="M8" i="21"/>
  <c r="M89" i="25"/>
  <c r="M90" i="25"/>
  <c r="N328" i="1"/>
  <c r="N7" i="25"/>
  <c r="K122" i="22"/>
  <c r="L136" i="48"/>
  <c r="L13" i="44"/>
  <c r="L14" i="44"/>
  <c r="L33" i="26" s="1"/>
  <c r="L140" i="21"/>
  <c r="L138" i="21"/>
  <c r="L139" i="21"/>
  <c r="L219" i="48"/>
  <c r="L42" i="48"/>
  <c r="L24" i="6" s="1"/>
  <c r="L36" i="22"/>
  <c r="L160" i="22"/>
  <c r="L32" i="22"/>
  <c r="L161" i="22"/>
  <c r="L25" i="25"/>
  <c r="L118" i="26" s="1"/>
  <c r="L174" i="22"/>
  <c r="M22" i="25"/>
  <c r="M115" i="26" s="1"/>
  <c r="M26" i="25"/>
  <c r="M119" i="26" s="1"/>
  <c r="M127" i="25"/>
  <c r="M116" i="25"/>
  <c r="M32" i="25"/>
  <c r="M132" i="26" s="1"/>
  <c r="M137" i="25"/>
  <c r="M136" i="25"/>
  <c r="M12" i="25"/>
  <c r="M102" i="26" s="1"/>
  <c r="M117" i="25"/>
  <c r="M126" i="25"/>
  <c r="M13" i="25"/>
  <c r="M103" i="26" s="1"/>
  <c r="M27" i="25"/>
  <c r="M120" i="26" s="1"/>
  <c r="L162" i="22"/>
  <c r="L121" i="22"/>
  <c r="L65" i="22"/>
  <c r="M133" i="22"/>
  <c r="M30" i="21"/>
  <c r="M17" i="21"/>
  <c r="M55" i="26"/>
  <c r="M53" i="26"/>
  <c r="M69" i="26"/>
  <c r="M66" i="26"/>
  <c r="M48" i="26"/>
  <c r="M72" i="26"/>
  <c r="M65" i="26"/>
  <c r="M56" i="26"/>
  <c r="M49" i="26"/>
  <c r="M86" i="26"/>
  <c r="M52" i="26"/>
  <c r="M134" i="26"/>
  <c r="M42" i="26"/>
  <c r="M64" i="26"/>
  <c r="M41" i="26"/>
  <c r="M36" i="26"/>
  <c r="M54" i="26"/>
  <c r="M73" i="26"/>
  <c r="M57" i="26"/>
  <c r="M67" i="26"/>
  <c r="M43" i="26"/>
  <c r="M40" i="26"/>
  <c r="M37" i="26"/>
  <c r="M59" i="26"/>
  <c r="M51" i="26"/>
  <c r="M136" i="26"/>
  <c r="M71" i="26"/>
  <c r="M35" i="26"/>
  <c r="M39" i="26"/>
  <c r="M68" i="26"/>
  <c r="L87" i="6"/>
  <c r="L98" i="6" s="1"/>
  <c r="L115" i="6" s="1"/>
  <c r="K144" i="21"/>
  <c r="K163" i="21" s="1"/>
  <c r="J121" i="26"/>
  <c r="J83" i="26"/>
  <c r="J50" i="21"/>
  <c r="K30" i="48"/>
  <c r="K149" i="25"/>
  <c r="K31" i="25" s="1"/>
  <c r="K123" i="26" s="1"/>
  <c r="K147" i="25"/>
  <c r="L135" i="22"/>
  <c r="L103" i="22"/>
  <c r="L104" i="22"/>
  <c r="L105" i="22" s="1"/>
  <c r="J77" i="48"/>
  <c r="J31" i="48"/>
  <c r="J23" i="25"/>
  <c r="J17" i="47"/>
  <c r="K172" i="22"/>
  <c r="K175" i="22" s="1"/>
  <c r="J171" i="26"/>
  <c r="K53" i="22"/>
  <c r="L52" i="22" s="1"/>
  <c r="K137" i="22"/>
  <c r="K118" i="25"/>
  <c r="K119" i="25"/>
  <c r="K121" i="25" s="1"/>
  <c r="K87" i="6"/>
  <c r="K155" i="22"/>
  <c r="M345" i="1"/>
  <c r="M348" i="1" s="1"/>
  <c r="L166" i="26"/>
  <c r="J62" i="26"/>
  <c r="L18" i="22"/>
  <c r="L19" i="22"/>
  <c r="L77" i="22"/>
  <c r="L78" i="22"/>
  <c r="L79" i="22" s="1"/>
  <c r="L109" i="48"/>
  <c r="L22" i="48" s="1"/>
  <c r="L191" i="48"/>
  <c r="L23" i="48" s="1"/>
  <c r="K153" i="21"/>
  <c r="O135" i="36"/>
  <c r="K164" i="22"/>
  <c r="K81" i="26" s="1"/>
  <c r="K37" i="22"/>
  <c r="M351" i="1"/>
  <c r="M354" i="1" s="1"/>
  <c r="L159" i="26"/>
  <c r="K139" i="25"/>
  <c r="K141" i="25" s="1"/>
  <c r="K138" i="25"/>
  <c r="M339" i="1"/>
  <c r="M342" i="1" s="1"/>
  <c r="L170" i="26"/>
  <c r="K128" i="25"/>
  <c r="K129" i="25"/>
  <c r="K131" i="25" s="1"/>
  <c r="K28" i="48"/>
  <c r="K35" i="22"/>
  <c r="J153" i="26"/>
  <c r="L51" i="22"/>
  <c r="J46" i="26"/>
  <c r="M70" i="26" l="1"/>
  <c r="M38" i="26"/>
  <c r="M58" i="26"/>
  <c r="M50" i="26"/>
  <c r="M34" i="26"/>
  <c r="M74" i="26"/>
  <c r="M135" i="26"/>
  <c r="M75" i="26"/>
  <c r="M85" i="26"/>
  <c r="M189" i="48"/>
  <c r="M118" i="48"/>
  <c r="M152" i="48"/>
  <c r="M88" i="48"/>
  <c r="M98" i="48"/>
  <c r="M119" i="48"/>
  <c r="M107" i="48"/>
  <c r="M91" i="48"/>
  <c r="M169" i="22"/>
  <c r="M24" i="25" s="1"/>
  <c r="M117" i="26" s="1"/>
  <c r="M178" i="22"/>
  <c r="M86" i="48"/>
  <c r="M161" i="48"/>
  <c r="M190" i="48"/>
  <c r="M174" i="48"/>
  <c r="M16" i="22"/>
  <c r="M32" i="22" s="1"/>
  <c r="M95" i="48"/>
  <c r="M89" i="48"/>
  <c r="M135" i="48"/>
  <c r="M160" i="48"/>
  <c r="M46" i="48"/>
  <c r="M178" i="48"/>
  <c r="M196" i="48"/>
  <c r="M151" i="48"/>
  <c r="M147" i="48"/>
  <c r="M143" i="48"/>
  <c r="M126" i="48"/>
  <c r="M159" i="48"/>
  <c r="M123" i="48"/>
  <c r="M106" i="48"/>
  <c r="M168" i="48"/>
  <c r="M97" i="48"/>
  <c r="M101" i="22"/>
  <c r="M117" i="22" s="1"/>
  <c r="M179" i="22"/>
  <c r="M185" i="48"/>
  <c r="M150" i="48"/>
  <c r="M202" i="48"/>
  <c r="M180" i="48"/>
  <c r="M145" i="48"/>
  <c r="M170" i="48"/>
  <c r="M198" i="48"/>
  <c r="M214" i="48"/>
  <c r="M142" i="48"/>
  <c r="M209" i="48"/>
  <c r="M153" i="48"/>
  <c r="M124" i="48"/>
  <c r="M197" i="48"/>
  <c r="M127" i="48"/>
  <c r="M156" i="48"/>
  <c r="M187" i="48"/>
  <c r="M117" i="48"/>
  <c r="M101" i="48"/>
  <c r="M96" i="48"/>
  <c r="M49" i="22"/>
  <c r="M51" i="22" s="1"/>
  <c r="M49" i="48"/>
  <c r="M51" i="48" s="1"/>
  <c r="M168" i="22"/>
  <c r="M173" i="22" s="1"/>
  <c r="M177" i="22"/>
  <c r="M75" i="22"/>
  <c r="M91" i="22" s="1"/>
  <c r="M166" i="22"/>
  <c r="M78" i="26" s="1"/>
  <c r="M104" i="48"/>
  <c r="M132" i="48"/>
  <c r="M206" i="48"/>
  <c r="M207" i="48"/>
  <c r="M120" i="48"/>
  <c r="M203" i="48"/>
  <c r="M121" i="48"/>
  <c r="M133" i="48"/>
  <c r="M129" i="48"/>
  <c r="M75" i="48"/>
  <c r="M212" i="48"/>
  <c r="M210" i="48"/>
  <c r="U7" i="48"/>
  <c r="U82" i="48" s="1"/>
  <c r="U7" i="44"/>
  <c r="U7" i="51"/>
  <c r="U7" i="49"/>
  <c r="U7" i="52"/>
  <c r="U7" i="6"/>
  <c r="U7" i="53"/>
  <c r="M85" i="48"/>
  <c r="M139" i="48" s="1"/>
  <c r="M87" i="48"/>
  <c r="M105" i="48"/>
  <c r="M94" i="48"/>
  <c r="M216" i="48"/>
  <c r="M113" i="48"/>
  <c r="M186" i="48"/>
  <c r="M182" i="48"/>
  <c r="M208" i="48"/>
  <c r="M116" i="48"/>
  <c r="M29" i="48"/>
  <c r="M125" i="48"/>
  <c r="M173" i="48"/>
  <c r="M199" i="48"/>
  <c r="M177" i="48"/>
  <c r="M188" i="48"/>
  <c r="M181" i="48"/>
  <c r="M218" i="48"/>
  <c r="M171" i="48"/>
  <c r="M140" i="48"/>
  <c r="M205" i="48"/>
  <c r="M172" i="48"/>
  <c r="M114" i="48"/>
  <c r="M200" i="48"/>
  <c r="M175" i="48"/>
  <c r="M100" i="48"/>
  <c r="M90" i="48"/>
  <c r="J156" i="26"/>
  <c r="T8" i="6"/>
  <c r="T9" i="6"/>
  <c r="T10" i="6"/>
  <c r="T20" i="6"/>
  <c r="T89" i="6"/>
  <c r="M92" i="26"/>
  <c r="M41" i="21"/>
  <c r="M147" i="21" s="1"/>
  <c r="M25" i="48"/>
  <c r="M76" i="48" s="1"/>
  <c r="M13" i="44" s="1"/>
  <c r="M32" i="26" s="1"/>
  <c r="M102" i="48"/>
  <c r="M166" i="48"/>
  <c r="M194" i="48" s="1"/>
  <c r="M148" i="48"/>
  <c r="M183" i="48"/>
  <c r="M134" i="48"/>
  <c r="M204" i="48"/>
  <c r="M211" i="48"/>
  <c r="M176" i="48"/>
  <c r="M149" i="48"/>
  <c r="M215" i="48"/>
  <c r="M155" i="48"/>
  <c r="M154" i="48"/>
  <c r="M128" i="48"/>
  <c r="M184" i="48"/>
  <c r="M130" i="48"/>
  <c r="M146" i="48"/>
  <c r="M141" i="48"/>
  <c r="M201" i="48"/>
  <c r="M115" i="48"/>
  <c r="M122" i="48"/>
  <c r="M131" i="48"/>
  <c r="M179" i="48"/>
  <c r="M158" i="48"/>
  <c r="M144" i="48"/>
  <c r="M162" i="48"/>
  <c r="M213" i="48"/>
  <c r="M217" i="48"/>
  <c r="M157" i="48"/>
  <c r="M40" i="48"/>
  <c r="M42" i="48" s="1"/>
  <c r="M92" i="48"/>
  <c r="M26" i="48"/>
  <c r="M169" i="48"/>
  <c r="M93" i="48"/>
  <c r="M99" i="48"/>
  <c r="M103" i="48"/>
  <c r="M108" i="48"/>
  <c r="K123" i="22"/>
  <c r="K154" i="26" s="1"/>
  <c r="J164" i="21"/>
  <c r="K60" i="44"/>
  <c r="K73" i="44" s="1"/>
  <c r="J63" i="26"/>
  <c r="K47" i="26"/>
  <c r="L94" i="6"/>
  <c r="J163" i="21"/>
  <c r="J47" i="26"/>
  <c r="M50" i="6"/>
  <c r="L182" i="22"/>
  <c r="L17" i="47" s="1"/>
  <c r="L32" i="26"/>
  <c r="M49" i="6"/>
  <c r="N10" i="25"/>
  <c r="N103" i="25"/>
  <c r="N28" i="44"/>
  <c r="N30" i="44" s="1"/>
  <c r="M66" i="21"/>
  <c r="M102" i="21" s="1"/>
  <c r="M63" i="21"/>
  <c r="M99" i="21" s="1"/>
  <c r="M75" i="21"/>
  <c r="M111" i="21" s="1"/>
  <c r="M73" i="21"/>
  <c r="M109" i="21" s="1"/>
  <c r="M62" i="21"/>
  <c r="M98" i="21" s="1"/>
  <c r="M74" i="21"/>
  <c r="M110" i="21" s="1"/>
  <c r="M60" i="21"/>
  <c r="M96" i="21" s="1"/>
  <c r="M65" i="21"/>
  <c r="M101" i="21" s="1"/>
  <c r="M71" i="21"/>
  <c r="M107" i="21" s="1"/>
  <c r="M64" i="21"/>
  <c r="M100" i="21" s="1"/>
  <c r="M77" i="21"/>
  <c r="M113" i="21" s="1"/>
  <c r="M72" i="21"/>
  <c r="M108" i="21" s="1"/>
  <c r="M59" i="21"/>
  <c r="M70" i="21"/>
  <c r="M76" i="21"/>
  <c r="M112" i="21" s="1"/>
  <c r="M61" i="21"/>
  <c r="M97" i="21" s="1"/>
  <c r="M140" i="21"/>
  <c r="M138" i="21"/>
  <c r="M139" i="21"/>
  <c r="M14" i="25"/>
  <c r="M104" i="26" s="1"/>
  <c r="L15" i="48"/>
  <c r="M92" i="25"/>
  <c r="M93" i="25" s="1"/>
  <c r="M91" i="25"/>
  <c r="M94" i="25" s="1"/>
  <c r="L141" i="21"/>
  <c r="L143" i="21"/>
  <c r="L142" i="21"/>
  <c r="L45" i="26"/>
  <c r="M174" i="22"/>
  <c r="M25" i="25"/>
  <c r="M118" i="26" s="1"/>
  <c r="N151" i="26"/>
  <c r="N99" i="26"/>
  <c r="N10" i="26"/>
  <c r="M54" i="21"/>
  <c r="M90" i="21" s="1"/>
  <c r="M149" i="22"/>
  <c r="M153" i="22"/>
  <c r="M163" i="22"/>
  <c r="N7" i="26"/>
  <c r="N89" i="25"/>
  <c r="N329" i="1"/>
  <c r="BB288" i="36"/>
  <c r="M8" i="52"/>
  <c r="M8" i="48"/>
  <c r="M8" i="49"/>
  <c r="M8" i="53"/>
  <c r="M8" i="51"/>
  <c r="L61" i="26"/>
  <c r="L152" i="21"/>
  <c r="L151" i="21"/>
  <c r="L150" i="21"/>
  <c r="L122" i="22"/>
  <c r="L145" i="25"/>
  <c r="K181" i="26"/>
  <c r="K77" i="48"/>
  <c r="K12" i="26" s="1"/>
  <c r="K31" i="48"/>
  <c r="K32" i="48" s="1"/>
  <c r="K33" i="48" s="1"/>
  <c r="M170" i="26"/>
  <c r="M159" i="26"/>
  <c r="L30" i="48"/>
  <c r="J91" i="21"/>
  <c r="J89" i="44"/>
  <c r="K155" i="26"/>
  <c r="L152" i="22"/>
  <c r="L115" i="25"/>
  <c r="K183" i="26"/>
  <c r="K63" i="26"/>
  <c r="K164" i="21"/>
  <c r="K76" i="44"/>
  <c r="K89" i="44" s="1"/>
  <c r="L53" i="22"/>
  <c r="M52" i="22" s="1"/>
  <c r="K171" i="26"/>
  <c r="L172" i="22"/>
  <c r="L175" i="22" s="1"/>
  <c r="L28" i="48"/>
  <c r="M78" i="22"/>
  <c r="M79" i="22" s="1"/>
  <c r="J66" i="48"/>
  <c r="M104" i="22"/>
  <c r="M105" i="22" s="1"/>
  <c r="K61" i="48"/>
  <c r="L13" i="48"/>
  <c r="K24" i="48"/>
  <c r="K63" i="48"/>
  <c r="K18" i="21"/>
  <c r="K13" i="21"/>
  <c r="K60" i="48"/>
  <c r="K64" i="48"/>
  <c r="M166" i="26"/>
  <c r="J32" i="48"/>
  <c r="J33" i="48" s="1"/>
  <c r="M135" i="22"/>
  <c r="O144" i="36"/>
  <c r="O150" i="36"/>
  <c r="O145" i="36"/>
  <c r="K38" i="22"/>
  <c r="L125" i="25"/>
  <c r="K184" i="26"/>
  <c r="L135" i="25"/>
  <c r="K185" i="26"/>
  <c r="L20" i="22"/>
  <c r="M19" i="22" s="1"/>
  <c r="L37" i="22"/>
  <c r="K94" i="6"/>
  <c r="K98" i="6"/>
  <c r="J116" i="26"/>
  <c r="J12" i="26"/>
  <c r="L136" i="22"/>
  <c r="L154" i="22" s="1"/>
  <c r="J86" i="21"/>
  <c r="U20" i="6" l="1"/>
  <c r="M149" i="21"/>
  <c r="M148" i="21"/>
  <c r="M121" i="22"/>
  <c r="M180" i="22"/>
  <c r="M80" i="26" s="1"/>
  <c r="M109" i="48"/>
  <c r="M22" i="48" s="1"/>
  <c r="M36" i="22"/>
  <c r="M162" i="22"/>
  <c r="M18" i="22"/>
  <c r="M161" i="22"/>
  <c r="L120" i="22"/>
  <c r="L123" i="22" s="1"/>
  <c r="L154" i="26" s="1"/>
  <c r="M103" i="22"/>
  <c r="N104" i="22" s="1"/>
  <c r="N105" i="22" s="1"/>
  <c r="N56" i="26"/>
  <c r="M160" i="22"/>
  <c r="M77" i="22"/>
  <c r="N78" i="22" s="1"/>
  <c r="N79" i="22" s="1"/>
  <c r="N330" i="1"/>
  <c r="N41" i="21"/>
  <c r="M65" i="22"/>
  <c r="M182" i="22" s="1"/>
  <c r="M17" i="47" s="1"/>
  <c r="M14" i="44"/>
  <c r="J60" i="26"/>
  <c r="V7" i="48"/>
  <c r="V82" i="48" s="1"/>
  <c r="V7" i="53"/>
  <c r="V7" i="44"/>
  <c r="V7" i="49"/>
  <c r="V7" i="52"/>
  <c r="V7" i="6"/>
  <c r="V7" i="51"/>
  <c r="J44" i="26"/>
  <c r="K44" i="26"/>
  <c r="U8" i="6"/>
  <c r="U10" i="6"/>
  <c r="U9" i="6"/>
  <c r="U89" i="6"/>
  <c r="N29" i="44"/>
  <c r="L23" i="25"/>
  <c r="L116" i="26" s="1"/>
  <c r="M87" i="6"/>
  <c r="M94" i="6" s="1"/>
  <c r="L144" i="21"/>
  <c r="L60" i="44" s="1"/>
  <c r="L73" i="44" s="1"/>
  <c r="L153" i="21"/>
  <c r="L164" i="21" s="1"/>
  <c r="N105" i="48"/>
  <c r="N49" i="6"/>
  <c r="N75" i="6"/>
  <c r="N53" i="6"/>
  <c r="N70" i="6"/>
  <c r="N56" i="6"/>
  <c r="N64" i="6"/>
  <c r="N83" i="6"/>
  <c r="N71" i="6"/>
  <c r="N52" i="6"/>
  <c r="N69" i="6"/>
  <c r="N73" i="6"/>
  <c r="N55" i="6"/>
  <c r="N65" i="6"/>
  <c r="N66" i="6"/>
  <c r="N84" i="6"/>
  <c r="N51" i="6"/>
  <c r="N72" i="6"/>
  <c r="N62" i="6"/>
  <c r="N86" i="6"/>
  <c r="N57" i="6"/>
  <c r="N54" i="6"/>
  <c r="N60" i="6"/>
  <c r="N77" i="6"/>
  <c r="N58" i="6"/>
  <c r="N85" i="6"/>
  <c r="N68" i="6"/>
  <c r="N67" i="6"/>
  <c r="N63" i="6"/>
  <c r="N79" i="6"/>
  <c r="N81" i="6"/>
  <c r="N78" i="6"/>
  <c r="N76" i="6"/>
  <c r="N82" i="6"/>
  <c r="N59" i="6"/>
  <c r="N80" i="6"/>
  <c r="N8" i="21"/>
  <c r="M95" i="25"/>
  <c r="M110" i="25" s="1"/>
  <c r="N75" i="22"/>
  <c r="N91" i="22" s="1"/>
  <c r="N101" i="22"/>
  <c r="N117" i="22" s="1"/>
  <c r="N133" i="22"/>
  <c r="N135" i="22" s="1"/>
  <c r="N49" i="22"/>
  <c r="N51" i="22" s="1"/>
  <c r="N170" i="22"/>
  <c r="N168" i="22"/>
  <c r="N173" i="22" s="1"/>
  <c r="N166" i="22"/>
  <c r="N177" i="22"/>
  <c r="N16" i="22"/>
  <c r="N178" i="22"/>
  <c r="N179" i="22"/>
  <c r="N169" i="22"/>
  <c r="N24" i="25" s="1"/>
  <c r="N117" i="26" s="1"/>
  <c r="N127" i="25"/>
  <c r="N13" i="25"/>
  <c r="N103" i="26" s="1"/>
  <c r="N137" i="25"/>
  <c r="N22" i="25"/>
  <c r="N115" i="26" s="1"/>
  <c r="N26" i="25"/>
  <c r="N119" i="26" s="1"/>
  <c r="N32" i="25"/>
  <c r="N132" i="26" s="1"/>
  <c r="N12" i="25"/>
  <c r="N102" i="26" s="1"/>
  <c r="M78" i="21"/>
  <c r="M106" i="21"/>
  <c r="M114" i="21" s="1"/>
  <c r="M62" i="26" s="1"/>
  <c r="N52" i="26"/>
  <c r="N39" i="26"/>
  <c r="N67" i="26"/>
  <c r="N135" i="26"/>
  <c r="N142" i="26"/>
  <c r="N136" i="26"/>
  <c r="N57" i="26"/>
  <c r="N69" i="26"/>
  <c r="N54" i="26"/>
  <c r="N43" i="26"/>
  <c r="N133" i="48"/>
  <c r="N145" i="48"/>
  <c r="N143" i="48"/>
  <c r="N197" i="48"/>
  <c r="N122" i="48"/>
  <c r="N161" i="48"/>
  <c r="N187" i="48"/>
  <c r="N129" i="48"/>
  <c r="N211" i="48"/>
  <c r="N95" i="48"/>
  <c r="N175" i="48"/>
  <c r="N181" i="48"/>
  <c r="N174" i="48"/>
  <c r="N134" i="48"/>
  <c r="N25" i="48"/>
  <c r="N76" i="48" s="1"/>
  <c r="N90" i="25"/>
  <c r="O328" i="1"/>
  <c r="O7" i="25"/>
  <c r="L18" i="48"/>
  <c r="M95" i="21"/>
  <c r="M103" i="21" s="1"/>
  <c r="M46" i="26" s="1"/>
  <c r="M67" i="21"/>
  <c r="L118" i="25"/>
  <c r="L119" i="25"/>
  <c r="L121" i="25" s="1"/>
  <c r="J18" i="26"/>
  <c r="L35" i="22"/>
  <c r="L38" i="22" s="1"/>
  <c r="K153" i="26"/>
  <c r="M20" i="22"/>
  <c r="M37" i="22"/>
  <c r="M172" i="22"/>
  <c r="M175" i="22" s="1"/>
  <c r="L171" i="26"/>
  <c r="L155" i="22"/>
  <c r="K35" i="48"/>
  <c r="K54" i="48"/>
  <c r="K16" i="6" s="1"/>
  <c r="K65" i="48"/>
  <c r="L149" i="25"/>
  <c r="L31" i="25" s="1"/>
  <c r="L123" i="26" s="1"/>
  <c r="L147" i="25"/>
  <c r="J20" i="26"/>
  <c r="L138" i="25"/>
  <c r="L139" i="25"/>
  <c r="L141" i="25" s="1"/>
  <c r="L128" i="25"/>
  <c r="L129" i="25"/>
  <c r="L131" i="25" s="1"/>
  <c r="J54" i="48"/>
  <c r="J35" i="48"/>
  <c r="J65" i="48"/>
  <c r="K50" i="21"/>
  <c r="L16" i="48"/>
  <c r="K19" i="6"/>
  <c r="L137" i="22"/>
  <c r="J14" i="21"/>
  <c r="K115" i="6"/>
  <c r="L164" i="22"/>
  <c r="L81" i="26" s="1"/>
  <c r="J19" i="21"/>
  <c r="J19" i="6"/>
  <c r="M122" i="22"/>
  <c r="K55" i="21"/>
  <c r="L77" i="48"/>
  <c r="L31" i="48"/>
  <c r="M53" i="22"/>
  <c r="K60" i="26"/>
  <c r="M112" i="48"/>
  <c r="M136" i="48" s="1"/>
  <c r="M163" i="48"/>
  <c r="M167" i="48"/>
  <c r="K66" i="48"/>
  <c r="V20" i="6" l="1"/>
  <c r="N103" i="22"/>
  <c r="N19" i="22"/>
  <c r="N20" i="22" s="1"/>
  <c r="M28" i="48"/>
  <c r="N30" i="21"/>
  <c r="N139" i="21" s="1"/>
  <c r="N26" i="48"/>
  <c r="N86" i="48"/>
  <c r="N140" i="48" s="1"/>
  <c r="N168" i="48" s="1"/>
  <c r="N196" i="48" s="1"/>
  <c r="N46" i="48"/>
  <c r="N172" i="48"/>
  <c r="N112" i="48"/>
  <c r="N103" i="48"/>
  <c r="N176" i="48"/>
  <c r="N108" i="48"/>
  <c r="N136" i="25"/>
  <c r="N126" i="25"/>
  <c r="N116" i="25"/>
  <c r="N17" i="21"/>
  <c r="N54" i="21" s="1"/>
  <c r="N90" i="21" s="1"/>
  <c r="N160" i="48"/>
  <c r="N162" i="48"/>
  <c r="N215" i="48"/>
  <c r="N127" i="48"/>
  <c r="N117" i="25"/>
  <c r="N27" i="25"/>
  <c r="N120" i="26" s="1"/>
  <c r="N87" i="48"/>
  <c r="N58" i="26"/>
  <c r="N36" i="26"/>
  <c r="N34" i="26"/>
  <c r="N64" i="26"/>
  <c r="N53" i="26"/>
  <c r="N78" i="26"/>
  <c r="V89" i="6"/>
  <c r="N55" i="26"/>
  <c r="N65" i="26"/>
  <c r="N50" i="26"/>
  <c r="N42" i="26"/>
  <c r="N74" i="26"/>
  <c r="N68" i="26"/>
  <c r="N35" i="26"/>
  <c r="N59" i="26"/>
  <c r="N73" i="26"/>
  <c r="N75" i="26"/>
  <c r="N134" i="26"/>
  <c r="N85" i="26"/>
  <c r="N71" i="26"/>
  <c r="N40" i="26"/>
  <c r="N48" i="26"/>
  <c r="N49" i="26"/>
  <c r="N41" i="26"/>
  <c r="N70" i="26"/>
  <c r="N86" i="26"/>
  <c r="N66" i="26"/>
  <c r="N38" i="26"/>
  <c r="N72" i="26"/>
  <c r="N37" i="26"/>
  <c r="N51" i="26"/>
  <c r="N55" i="47"/>
  <c r="N59" i="47"/>
  <c r="N62" i="47" s="1"/>
  <c r="N28" i="47"/>
  <c r="M33" i="26"/>
  <c r="N50" i="6"/>
  <c r="N87" i="6" s="1"/>
  <c r="N345" i="1"/>
  <c r="N348" i="1" s="1"/>
  <c r="N351" i="1"/>
  <c r="N354" i="1" s="1"/>
  <c r="N339" i="1"/>
  <c r="N342" i="1" s="1"/>
  <c r="N170" i="26" s="1"/>
  <c r="N18" i="22"/>
  <c r="N156" i="48"/>
  <c r="N203" i="48"/>
  <c r="N149" i="48"/>
  <c r="N159" i="48"/>
  <c r="N152" i="48"/>
  <c r="N169" i="48"/>
  <c r="N148" i="48"/>
  <c r="N98" i="48"/>
  <c r="N198" i="48"/>
  <c r="N128" i="48"/>
  <c r="N151" i="48"/>
  <c r="N177" i="48"/>
  <c r="N208" i="48"/>
  <c r="N117" i="48"/>
  <c r="N199" i="48"/>
  <c r="N212" i="48"/>
  <c r="N94" i="48"/>
  <c r="N132" i="48"/>
  <c r="N121" i="48"/>
  <c r="N126" i="48"/>
  <c r="N178" i="48"/>
  <c r="N189" i="48"/>
  <c r="N186" i="48"/>
  <c r="N93" i="48"/>
  <c r="N173" i="48"/>
  <c r="N147" i="48"/>
  <c r="N188" i="48"/>
  <c r="N29" i="48"/>
  <c r="N171" i="48"/>
  <c r="N182" i="48"/>
  <c r="N49" i="48"/>
  <c r="N51" i="48" s="1"/>
  <c r="N90" i="48"/>
  <c r="N142" i="48"/>
  <c r="N131" i="48"/>
  <c r="N118" i="48"/>
  <c r="N92" i="48"/>
  <c r="N144" i="48"/>
  <c r="N120" i="48"/>
  <c r="N96" i="48"/>
  <c r="N209" i="48"/>
  <c r="N216" i="48"/>
  <c r="N124" i="48"/>
  <c r="N119" i="48"/>
  <c r="N158" i="48"/>
  <c r="N202" i="48"/>
  <c r="N213" i="48"/>
  <c r="N104" i="48"/>
  <c r="N101" i="48"/>
  <c r="N195" i="48"/>
  <c r="N179" i="48"/>
  <c r="N218" i="48"/>
  <c r="N204" i="48"/>
  <c r="N214" i="48"/>
  <c r="N154" i="48"/>
  <c r="N114" i="48"/>
  <c r="N153" i="48"/>
  <c r="N146" i="48"/>
  <c r="N200" i="48"/>
  <c r="N155" i="48"/>
  <c r="N85" i="48"/>
  <c r="N166" i="48"/>
  <c r="N206" i="48"/>
  <c r="N157" i="48"/>
  <c r="N40" i="48"/>
  <c r="N201" i="48"/>
  <c r="N89" i="48"/>
  <c r="N100" i="48"/>
  <c r="N135" i="48"/>
  <c r="N91" i="48"/>
  <c r="N106" i="48"/>
  <c r="N123" i="48"/>
  <c r="N125" i="48"/>
  <c r="N207" i="48"/>
  <c r="N210" i="48"/>
  <c r="N183" i="48"/>
  <c r="N170" i="48"/>
  <c r="N88" i="48"/>
  <c r="N97" i="48"/>
  <c r="N185" i="48"/>
  <c r="N116" i="48"/>
  <c r="N141" i="48"/>
  <c r="N75" i="48"/>
  <c r="N217" i="48"/>
  <c r="N190" i="48"/>
  <c r="N115" i="48"/>
  <c r="N130" i="48"/>
  <c r="N107" i="48"/>
  <c r="N99" i="48"/>
  <c r="N139" i="48"/>
  <c r="N150" i="48"/>
  <c r="N184" i="48"/>
  <c r="N180" i="48"/>
  <c r="N194" i="48"/>
  <c r="N205" i="48"/>
  <c r="N102" i="48"/>
  <c r="K156" i="26"/>
  <c r="V10" i="6"/>
  <c r="V9" i="6"/>
  <c r="V8" i="6"/>
  <c r="N92" i="26"/>
  <c r="W7" i="49"/>
  <c r="W7" i="52"/>
  <c r="W7" i="6"/>
  <c r="W7" i="53"/>
  <c r="W7" i="44"/>
  <c r="W7" i="51"/>
  <c r="W7" i="48"/>
  <c r="W82" i="48" s="1"/>
  <c r="L163" i="21"/>
  <c r="M120" i="22"/>
  <c r="M123" i="22" s="1"/>
  <c r="M98" i="6"/>
  <c r="M115" i="6" s="1"/>
  <c r="M23" i="25"/>
  <c r="M116" i="26" s="1"/>
  <c r="L63" i="26"/>
  <c r="L47" i="26"/>
  <c r="L76" i="44"/>
  <c r="L89" i="44" s="1"/>
  <c r="N77" i="22"/>
  <c r="N153" i="22"/>
  <c r="N163" i="22"/>
  <c r="N149" i="22"/>
  <c r="N8" i="48"/>
  <c r="N8" i="53"/>
  <c r="N8" i="51"/>
  <c r="N8" i="52"/>
  <c r="N8" i="49"/>
  <c r="O99" i="26"/>
  <c r="O151" i="26"/>
  <c r="O10" i="26"/>
  <c r="N147" i="21"/>
  <c r="N149" i="21"/>
  <c r="N148" i="21"/>
  <c r="M141" i="21"/>
  <c r="M143" i="21"/>
  <c r="M142" i="21"/>
  <c r="M45" i="26"/>
  <c r="N180" i="22"/>
  <c r="N80" i="26" s="1"/>
  <c r="N14" i="25"/>
  <c r="N104" i="26" s="1"/>
  <c r="N65" i="22"/>
  <c r="N121" i="22"/>
  <c r="N162" i="22"/>
  <c r="N60" i="21"/>
  <c r="N96" i="21" s="1"/>
  <c r="N74" i="21"/>
  <c r="N110" i="21" s="1"/>
  <c r="N64" i="21"/>
  <c r="N100" i="21" s="1"/>
  <c r="N75" i="21"/>
  <c r="N111" i="21" s="1"/>
  <c r="N73" i="21"/>
  <c r="N109" i="21" s="1"/>
  <c r="N70" i="21"/>
  <c r="N66" i="21"/>
  <c r="N102" i="21" s="1"/>
  <c r="N71" i="21"/>
  <c r="N107" i="21" s="1"/>
  <c r="N77" i="21"/>
  <c r="N113" i="21" s="1"/>
  <c r="N62" i="21"/>
  <c r="N98" i="21" s="1"/>
  <c r="N61" i="21"/>
  <c r="N97" i="21" s="1"/>
  <c r="N65" i="21"/>
  <c r="N101" i="21" s="1"/>
  <c r="N72" i="21"/>
  <c r="N108" i="21" s="1"/>
  <c r="N76" i="21"/>
  <c r="N112" i="21" s="1"/>
  <c r="N59" i="21"/>
  <c r="N63" i="21"/>
  <c r="N99" i="21" s="1"/>
  <c r="O7" i="26"/>
  <c r="BC288" i="36"/>
  <c r="O329" i="1"/>
  <c r="N92" i="25"/>
  <c r="N93" i="25" s="1"/>
  <c r="M61" i="26"/>
  <c r="M152" i="21"/>
  <c r="M151" i="21"/>
  <c r="M150" i="21"/>
  <c r="N91" i="25"/>
  <c r="N94" i="25" s="1"/>
  <c r="O10" i="25"/>
  <c r="O103" i="25"/>
  <c r="N161" i="22"/>
  <c r="N160" i="22"/>
  <c r="N36" i="22"/>
  <c r="N32" i="22"/>
  <c r="N174" i="22"/>
  <c r="N25" i="25"/>
  <c r="N118" i="26" s="1"/>
  <c r="L12" i="26"/>
  <c r="L66" i="48"/>
  <c r="M78" i="48"/>
  <c r="M102" i="6" s="1"/>
  <c r="K91" i="21"/>
  <c r="J122" i="21"/>
  <c r="J120" i="21"/>
  <c r="J43" i="21"/>
  <c r="J121" i="21"/>
  <c r="M136" i="22"/>
  <c r="M137" i="22" s="1"/>
  <c r="K86" i="21"/>
  <c r="M135" i="25"/>
  <c r="L185" i="26"/>
  <c r="N52" i="22"/>
  <c r="N122" i="22" s="1"/>
  <c r="L181" i="26"/>
  <c r="M145" i="25"/>
  <c r="L155" i="26"/>
  <c r="M152" i="22"/>
  <c r="L183" i="26"/>
  <c r="M115" i="25"/>
  <c r="L19" i="6"/>
  <c r="J129" i="21"/>
  <c r="J130" i="21"/>
  <c r="J131" i="21"/>
  <c r="J87" i="21"/>
  <c r="J51" i="21"/>
  <c r="N172" i="22"/>
  <c r="M171" i="26"/>
  <c r="L153" i="26"/>
  <c r="M35" i="22"/>
  <c r="M38" i="22" s="1"/>
  <c r="L18" i="21"/>
  <c r="L13" i="21"/>
  <c r="L61" i="48"/>
  <c r="L64" i="48"/>
  <c r="M13" i="48"/>
  <c r="L24" i="48"/>
  <c r="L63" i="48"/>
  <c r="L60" i="48"/>
  <c r="M191" i="48"/>
  <c r="M23" i="48" s="1"/>
  <c r="M195" i="48"/>
  <c r="M219" i="48" s="1"/>
  <c r="M15" i="48" s="1"/>
  <c r="N167" i="48"/>
  <c r="L32" i="48"/>
  <c r="L33" i="48" s="1"/>
  <c r="J56" i="21"/>
  <c r="J16" i="6"/>
  <c r="J55" i="48"/>
  <c r="M125" i="25"/>
  <c r="L184" i="26"/>
  <c r="J103" i="6"/>
  <c r="W20" i="6" l="1"/>
  <c r="N37" i="22"/>
  <c r="N140" i="21"/>
  <c r="N138" i="21"/>
  <c r="N113" i="48"/>
  <c r="N136" i="48" s="1"/>
  <c r="N42" i="48"/>
  <c r="N13" i="44"/>
  <c r="N32" i="26" s="1"/>
  <c r="N166" i="26"/>
  <c r="N219" i="48"/>
  <c r="N163" i="48"/>
  <c r="N109" i="48"/>
  <c r="N22" i="48" s="1"/>
  <c r="N28" i="48" s="1"/>
  <c r="O17" i="21"/>
  <c r="O28" i="44"/>
  <c r="O30" i="44" s="1"/>
  <c r="N159" i="26"/>
  <c r="N14" i="44"/>
  <c r="N33" i="26" s="1"/>
  <c r="L60" i="26"/>
  <c r="O55" i="47"/>
  <c r="O136" i="25"/>
  <c r="W8" i="6"/>
  <c r="W9" i="6"/>
  <c r="W10" i="6"/>
  <c r="O330" i="1"/>
  <c r="O339" i="1" s="1"/>
  <c r="O342" i="1" s="1"/>
  <c r="O170" i="26" s="1"/>
  <c r="O73" i="26"/>
  <c r="L44" i="26"/>
  <c r="X7" i="51"/>
  <c r="X7" i="49"/>
  <c r="X7" i="52"/>
  <c r="X7" i="6"/>
  <c r="X7" i="44"/>
  <c r="X7" i="53"/>
  <c r="X7" i="48"/>
  <c r="X82" i="48" s="1"/>
  <c r="W89" i="6"/>
  <c r="X89" i="6" s="1"/>
  <c r="J44" i="21"/>
  <c r="O78" i="22"/>
  <c r="O79" i="22" s="1"/>
  <c r="O104" i="22"/>
  <c r="O105" i="22" s="1"/>
  <c r="N175" i="22"/>
  <c r="O172" i="22" s="1"/>
  <c r="N95" i="25"/>
  <c r="N110" i="25" s="1"/>
  <c r="O26" i="48"/>
  <c r="N182" i="22"/>
  <c r="N17" i="47" s="1"/>
  <c r="M153" i="21"/>
  <c r="M76" i="44" s="1"/>
  <c r="M89" i="44" s="1"/>
  <c r="O106" i="48"/>
  <c r="O25" i="48"/>
  <c r="O76" i="48" s="1"/>
  <c r="O104" i="48"/>
  <c r="O117" i="25"/>
  <c r="P7" i="25"/>
  <c r="P328" i="1"/>
  <c r="N94" i="6"/>
  <c r="N98" i="6"/>
  <c r="N115" i="6" s="1"/>
  <c r="O8" i="21"/>
  <c r="N67" i="21"/>
  <c r="N95" i="21"/>
  <c r="N103" i="21" s="1"/>
  <c r="N46" i="26" s="1"/>
  <c r="O52" i="26"/>
  <c r="O64" i="26"/>
  <c r="O43" i="26"/>
  <c r="O56" i="26"/>
  <c r="O41" i="26"/>
  <c r="O51" i="26"/>
  <c r="O85" i="26"/>
  <c r="O37" i="26"/>
  <c r="O74" i="26"/>
  <c r="O49" i="26"/>
  <c r="O102" i="48"/>
  <c r="O195" i="48"/>
  <c r="O200" i="48"/>
  <c r="O142" i="48"/>
  <c r="O121" i="48"/>
  <c r="O211" i="48"/>
  <c r="O208" i="48"/>
  <c r="O202" i="48"/>
  <c r="O155" i="48"/>
  <c r="O188" i="48"/>
  <c r="O149" i="48"/>
  <c r="O125" i="48"/>
  <c r="O145" i="48"/>
  <c r="O158" i="48"/>
  <c r="O181" i="48"/>
  <c r="O184" i="48"/>
  <c r="O199" i="48"/>
  <c r="O162" i="48"/>
  <c r="O216" i="48"/>
  <c r="O130" i="48"/>
  <c r="O178" i="48"/>
  <c r="O205" i="48"/>
  <c r="O146" i="48"/>
  <c r="O151" i="48"/>
  <c r="O97" i="48"/>
  <c r="O108" i="48"/>
  <c r="O140" i="48"/>
  <c r="O122" i="48"/>
  <c r="O176" i="48"/>
  <c r="O179" i="48"/>
  <c r="O129" i="48"/>
  <c r="O210" i="48"/>
  <c r="O117" i="48"/>
  <c r="O154" i="48"/>
  <c r="O152" i="48"/>
  <c r="O123" i="48"/>
  <c r="O112" i="48"/>
  <c r="O194" i="48"/>
  <c r="O126" i="48"/>
  <c r="O144" i="48"/>
  <c r="O119" i="48"/>
  <c r="O174" i="48"/>
  <c r="O189" i="48"/>
  <c r="O107" i="48"/>
  <c r="O175" i="48"/>
  <c r="O206" i="48"/>
  <c r="O161" i="48"/>
  <c r="O127" i="48"/>
  <c r="O212" i="48"/>
  <c r="O172" i="48"/>
  <c r="O75" i="48"/>
  <c r="O139" i="48"/>
  <c r="O183" i="48"/>
  <c r="O160" i="48"/>
  <c r="O147" i="48"/>
  <c r="O128" i="48"/>
  <c r="O124" i="48"/>
  <c r="O159" i="48"/>
  <c r="O156" i="48"/>
  <c r="O203" i="48"/>
  <c r="O201" i="48"/>
  <c r="O150" i="48"/>
  <c r="O196" i="48"/>
  <c r="O134" i="48"/>
  <c r="O217" i="48"/>
  <c r="O46" i="48"/>
  <c r="O94" i="48"/>
  <c r="O89" i="48"/>
  <c r="O96" i="48"/>
  <c r="O87" i="48"/>
  <c r="O141" i="48" s="1"/>
  <c r="O105" i="48"/>
  <c r="O49" i="48"/>
  <c r="O51" i="48" s="1"/>
  <c r="O215" i="48"/>
  <c r="O214" i="48"/>
  <c r="O157" i="48"/>
  <c r="O173" i="48"/>
  <c r="O113" i="48"/>
  <c r="O40" i="48"/>
  <c r="O218" i="48"/>
  <c r="O116" i="48"/>
  <c r="O185" i="48"/>
  <c r="O177" i="48"/>
  <c r="O213" i="48"/>
  <c r="O120" i="48"/>
  <c r="O93" i="48"/>
  <c r="O98" i="48"/>
  <c r="O100" i="48"/>
  <c r="O85" i="48"/>
  <c r="O135" i="48"/>
  <c r="O207" i="48"/>
  <c r="O131" i="48"/>
  <c r="O132" i="48"/>
  <c r="O171" i="48"/>
  <c r="O29" i="48"/>
  <c r="O148" i="48"/>
  <c r="O133" i="48"/>
  <c r="O180" i="48"/>
  <c r="O90" i="48"/>
  <c r="O115" i="48"/>
  <c r="O153" i="48"/>
  <c r="O209" i="48"/>
  <c r="O170" i="48"/>
  <c r="O187" i="48"/>
  <c r="O168" i="48"/>
  <c r="O99" i="48"/>
  <c r="O103" i="48"/>
  <c r="O190" i="48"/>
  <c r="O143" i="48"/>
  <c r="O204" i="48"/>
  <c r="O118" i="48"/>
  <c r="O198" i="48"/>
  <c r="O186" i="48"/>
  <c r="O182" i="48"/>
  <c r="O86" i="48"/>
  <c r="O95" i="48"/>
  <c r="O101" i="48"/>
  <c r="O88" i="48"/>
  <c r="O91" i="48"/>
  <c r="O89" i="25"/>
  <c r="O90" i="25"/>
  <c r="O55" i="6"/>
  <c r="O81" i="6"/>
  <c r="O69" i="6"/>
  <c r="O71" i="6"/>
  <c r="O51" i="6"/>
  <c r="O64" i="6"/>
  <c r="O78" i="6"/>
  <c r="O58" i="6"/>
  <c r="O76" i="6"/>
  <c r="O70" i="6"/>
  <c r="O86" i="6"/>
  <c r="O77" i="6"/>
  <c r="O65" i="6"/>
  <c r="O75" i="6"/>
  <c r="O53" i="6"/>
  <c r="O72" i="6"/>
  <c r="O63" i="6"/>
  <c r="O84" i="6"/>
  <c r="O56" i="6"/>
  <c r="O59" i="6"/>
  <c r="O67" i="6"/>
  <c r="O57" i="6"/>
  <c r="O80" i="6"/>
  <c r="O79" i="6"/>
  <c r="O54" i="6"/>
  <c r="O82" i="6"/>
  <c r="O85" i="6"/>
  <c r="O83" i="6"/>
  <c r="O60" i="6"/>
  <c r="O66" i="6"/>
  <c r="O52" i="6"/>
  <c r="O62" i="6"/>
  <c r="O68" i="6"/>
  <c r="O73" i="6"/>
  <c r="N78" i="21"/>
  <c r="N106" i="21"/>
  <c r="N114" i="21" s="1"/>
  <c r="N62" i="26" s="1"/>
  <c r="L156" i="26"/>
  <c r="O75" i="22"/>
  <c r="O179" i="22"/>
  <c r="O101" i="22"/>
  <c r="O49" i="22"/>
  <c r="O170" i="22"/>
  <c r="O16" i="22"/>
  <c r="O168" i="22"/>
  <c r="O173" i="22" s="1"/>
  <c r="O169" i="22"/>
  <c r="O24" i="25" s="1"/>
  <c r="O117" i="26" s="1"/>
  <c r="O166" i="22"/>
  <c r="O178" i="22"/>
  <c r="O133" i="22"/>
  <c r="O177" i="22"/>
  <c r="M144" i="21"/>
  <c r="O92" i="48"/>
  <c r="O166" i="48"/>
  <c r="L35" i="48"/>
  <c r="L65" i="48"/>
  <c r="L54" i="48"/>
  <c r="L16" i="6" s="1"/>
  <c r="M47" i="48"/>
  <c r="N136" i="22"/>
  <c r="M18" i="48"/>
  <c r="L50" i="21"/>
  <c r="L86" i="21" s="1"/>
  <c r="N53" i="22"/>
  <c r="M129" i="25"/>
  <c r="M131" i="25" s="1"/>
  <c r="M128" i="25"/>
  <c r="M30" i="48"/>
  <c r="M16" i="48"/>
  <c r="L55" i="21"/>
  <c r="M149" i="25"/>
  <c r="M31" i="25" s="1"/>
  <c r="M123" i="26" s="1"/>
  <c r="M147" i="25"/>
  <c r="M154" i="22"/>
  <c r="M155" i="22" s="1"/>
  <c r="M164" i="22"/>
  <c r="M81" i="26" s="1"/>
  <c r="K53" i="48"/>
  <c r="K55" i="48" s="1"/>
  <c r="J133" i="21"/>
  <c r="J29" i="26"/>
  <c r="J132" i="21"/>
  <c r="J134" i="21"/>
  <c r="M153" i="26"/>
  <c r="N35" i="22"/>
  <c r="N38" i="22" s="1"/>
  <c r="N120" i="22"/>
  <c r="N123" i="22" s="1"/>
  <c r="M154" i="26"/>
  <c r="J125" i="21"/>
  <c r="J80" i="21"/>
  <c r="J123" i="21"/>
  <c r="J124" i="21"/>
  <c r="M27" i="6"/>
  <c r="M139" i="25"/>
  <c r="M141" i="25" s="1"/>
  <c r="M138" i="25"/>
  <c r="J108" i="6"/>
  <c r="J92" i="21"/>
  <c r="O167" i="48"/>
  <c r="N191" i="48"/>
  <c r="N23" i="48" s="1"/>
  <c r="M118" i="25"/>
  <c r="M119" i="25"/>
  <c r="M121" i="25" s="1"/>
  <c r="O19" i="22"/>
  <c r="O49" i="6" l="1"/>
  <c r="N15" i="48"/>
  <c r="O50" i="6"/>
  <c r="O345" i="1"/>
  <c r="O348" i="1" s="1"/>
  <c r="O166" i="26" s="1"/>
  <c r="O351" i="1"/>
  <c r="O354" i="1" s="1"/>
  <c r="O159" i="26" s="1"/>
  <c r="O41" i="21"/>
  <c r="O148" i="21" s="1"/>
  <c r="O30" i="21"/>
  <c r="O139" i="21" s="1"/>
  <c r="O58" i="26"/>
  <c r="O75" i="26"/>
  <c r="O134" i="26"/>
  <c r="O40" i="26"/>
  <c r="O135" i="26"/>
  <c r="O71" i="26"/>
  <c r="O86" i="26"/>
  <c r="O57" i="26"/>
  <c r="O55" i="26"/>
  <c r="O39" i="26"/>
  <c r="O29" i="44"/>
  <c r="O137" i="25"/>
  <c r="O32" i="25"/>
  <c r="O132" i="26" s="1"/>
  <c r="O70" i="26"/>
  <c r="O136" i="26"/>
  <c r="O72" i="26"/>
  <c r="O67" i="26"/>
  <c r="O48" i="26"/>
  <c r="O53" i="26"/>
  <c r="O38" i="26"/>
  <c r="O42" i="26"/>
  <c r="O68" i="26"/>
  <c r="O35" i="26"/>
  <c r="O127" i="25"/>
  <c r="O116" i="25"/>
  <c r="O78" i="26"/>
  <c r="O65" i="26"/>
  <c r="O142" i="26"/>
  <c r="O92" i="26" s="1"/>
  <c r="O54" i="26"/>
  <c r="O59" i="26"/>
  <c r="O50" i="26"/>
  <c r="O66" i="26"/>
  <c r="O34" i="26"/>
  <c r="O69" i="26"/>
  <c r="O36" i="26"/>
  <c r="O126" i="25"/>
  <c r="O28" i="47"/>
  <c r="O22" i="25"/>
  <c r="O115" i="26" s="1"/>
  <c r="O26" i="25"/>
  <c r="O119" i="26" s="1"/>
  <c r="O13" i="25"/>
  <c r="O103" i="26" s="1"/>
  <c r="X10" i="6"/>
  <c r="X8" i="6"/>
  <c r="X9" i="6"/>
  <c r="O59" i="47"/>
  <c r="O62" i="47" s="1"/>
  <c r="O27" i="25"/>
  <c r="O120" i="26" s="1"/>
  <c r="O12" i="25"/>
  <c r="O102" i="26" s="1"/>
  <c r="Y7" i="48"/>
  <c r="Y82" i="48" s="1"/>
  <c r="Y7" i="51"/>
  <c r="Y7" i="53"/>
  <c r="Y7" i="49"/>
  <c r="Y7" i="52"/>
  <c r="Y7" i="6"/>
  <c r="Y7" i="44"/>
  <c r="X20" i="6"/>
  <c r="O54" i="21"/>
  <c r="O90" i="21" s="1"/>
  <c r="N171" i="26"/>
  <c r="N23" i="25"/>
  <c r="N116" i="26" s="1"/>
  <c r="M63" i="26"/>
  <c r="M164" i="21"/>
  <c r="N151" i="21"/>
  <c r="N152" i="21"/>
  <c r="N61" i="26"/>
  <c r="N150" i="21"/>
  <c r="N45" i="26"/>
  <c r="N142" i="21"/>
  <c r="N141" i="21"/>
  <c r="N143" i="21"/>
  <c r="P10" i="25"/>
  <c r="P103" i="25"/>
  <c r="O163" i="48"/>
  <c r="P10" i="26"/>
  <c r="P151" i="26"/>
  <c r="P99" i="26"/>
  <c r="O25" i="25"/>
  <c r="O118" i="26" s="1"/>
  <c r="O174" i="22"/>
  <c r="O175" i="22" s="1"/>
  <c r="O91" i="22"/>
  <c r="O77" i="22"/>
  <c r="O114" i="48"/>
  <c r="O136" i="48" s="1"/>
  <c r="M60" i="44"/>
  <c r="M73" i="44" s="1"/>
  <c r="M47" i="26"/>
  <c r="M163" i="21"/>
  <c r="O14" i="25"/>
  <c r="O104" i="26" s="1"/>
  <c r="O180" i="22"/>
  <c r="O80" i="26" s="1"/>
  <c r="O162" i="22"/>
  <c r="O51" i="22"/>
  <c r="O65" i="22"/>
  <c r="O121" i="22"/>
  <c r="O161" i="22"/>
  <c r="O36" i="22"/>
  <c r="O32" i="22"/>
  <c r="O18" i="22"/>
  <c r="O160" i="22"/>
  <c r="O42" i="48"/>
  <c r="O8" i="51"/>
  <c r="O8" i="49"/>
  <c r="O8" i="53"/>
  <c r="O8" i="52"/>
  <c r="O8" i="48"/>
  <c r="BD288" i="36"/>
  <c r="P329" i="1"/>
  <c r="P7" i="26"/>
  <c r="P89" i="25"/>
  <c r="O169" i="48"/>
  <c r="O153" i="22"/>
  <c r="O163" i="22"/>
  <c r="O149" i="22"/>
  <c r="O135" i="22"/>
  <c r="O117" i="22"/>
  <c r="O103" i="22"/>
  <c r="O92" i="25"/>
  <c r="O93" i="25" s="1"/>
  <c r="O91" i="25"/>
  <c r="O94" i="25" s="1"/>
  <c r="O109" i="48"/>
  <c r="O22" i="48" s="1"/>
  <c r="O73" i="21"/>
  <c r="O109" i="21" s="1"/>
  <c r="O72" i="21"/>
  <c r="O108" i="21" s="1"/>
  <c r="O76" i="21"/>
  <c r="O112" i="21" s="1"/>
  <c r="O62" i="21"/>
  <c r="O98" i="21" s="1"/>
  <c r="O77" i="21"/>
  <c r="O113" i="21" s="1"/>
  <c r="O61" i="21"/>
  <c r="O97" i="21" s="1"/>
  <c r="O75" i="21"/>
  <c r="O111" i="21" s="1"/>
  <c r="O66" i="21"/>
  <c r="O102" i="21" s="1"/>
  <c r="O60" i="21"/>
  <c r="O96" i="21" s="1"/>
  <c r="O65" i="21"/>
  <c r="O101" i="21" s="1"/>
  <c r="O64" i="21"/>
  <c r="O100" i="21" s="1"/>
  <c r="O74" i="21"/>
  <c r="O110" i="21" s="1"/>
  <c r="O63" i="21"/>
  <c r="O99" i="21" s="1"/>
  <c r="O70" i="21"/>
  <c r="O71" i="21"/>
  <c r="O107" i="21" s="1"/>
  <c r="O59" i="21"/>
  <c r="J126" i="21"/>
  <c r="J135" i="21"/>
  <c r="J31" i="26" s="1"/>
  <c r="O37" i="22"/>
  <c r="N30" i="48"/>
  <c r="N135" i="25"/>
  <c r="M185" i="26"/>
  <c r="M155" i="26"/>
  <c r="N152" i="22"/>
  <c r="O20" i="22"/>
  <c r="N115" i="25"/>
  <c r="M183" i="26"/>
  <c r="J30" i="26"/>
  <c r="J116" i="21"/>
  <c r="J121" i="6" s="1"/>
  <c r="J81" i="21"/>
  <c r="O35" i="22"/>
  <c r="N153" i="26"/>
  <c r="K25" i="6"/>
  <c r="K40" i="6"/>
  <c r="M24" i="48"/>
  <c r="M63" i="48"/>
  <c r="M64" i="48"/>
  <c r="N13" i="48"/>
  <c r="M18" i="21"/>
  <c r="M13" i="21"/>
  <c r="M60" i="48"/>
  <c r="M61" i="48"/>
  <c r="O52" i="22"/>
  <c r="O122" i="22" s="1"/>
  <c r="N154" i="22"/>
  <c r="N164" i="22"/>
  <c r="N81" i="26" s="1"/>
  <c r="N137" i="22"/>
  <c r="L53" i="48"/>
  <c r="L55" i="48" s="1"/>
  <c r="L91" i="21"/>
  <c r="M184" i="26"/>
  <c r="N125" i="25"/>
  <c r="O120" i="22"/>
  <c r="N154" i="26"/>
  <c r="N145" i="25"/>
  <c r="M181" i="26"/>
  <c r="M77" i="48"/>
  <c r="M31" i="48"/>
  <c r="M62" i="48"/>
  <c r="M57" i="48"/>
  <c r="M24" i="6" s="1"/>
  <c r="O140" i="21" l="1"/>
  <c r="O138" i="21"/>
  <c r="O147" i="21"/>
  <c r="O13" i="44"/>
  <c r="O32" i="26" s="1"/>
  <c r="O87" i="6"/>
  <c r="O94" i="6" s="1"/>
  <c r="N18" i="48"/>
  <c r="O149" i="21"/>
  <c r="O14" i="44"/>
  <c r="O33" i="26" s="1"/>
  <c r="P28" i="44"/>
  <c r="P29" i="44" s="1"/>
  <c r="P78" i="22"/>
  <c r="P79" i="22" s="1"/>
  <c r="P12" i="25"/>
  <c r="P102" i="26" s="1"/>
  <c r="P330" i="1"/>
  <c r="P351" i="1" s="1"/>
  <c r="P354" i="1" s="1"/>
  <c r="P159" i="26" s="1"/>
  <c r="Y20" i="6"/>
  <c r="M156" i="26"/>
  <c r="M44" i="26"/>
  <c r="Z7" i="53"/>
  <c r="Z7" i="48"/>
  <c r="Z82" i="48" s="1"/>
  <c r="Z7" i="49"/>
  <c r="Z7" i="52"/>
  <c r="Z7" i="6"/>
  <c r="Z7" i="51"/>
  <c r="Z7" i="44"/>
  <c r="Y9" i="6"/>
  <c r="Y10" i="6"/>
  <c r="Y8" i="6"/>
  <c r="Y89" i="6"/>
  <c r="M60" i="26"/>
  <c r="P90" i="25"/>
  <c r="P25" i="48"/>
  <c r="P76" i="48" s="1"/>
  <c r="O123" i="22"/>
  <c r="P93" i="48"/>
  <c r="O95" i="25"/>
  <c r="O110" i="25" s="1"/>
  <c r="P169" i="48"/>
  <c r="P168" i="48"/>
  <c r="O171" i="26"/>
  <c r="P100" i="48"/>
  <c r="P49" i="48"/>
  <c r="P51" i="48" s="1"/>
  <c r="P26" i="48"/>
  <c r="P107" i="48"/>
  <c r="P97" i="48"/>
  <c r="P85" i="48"/>
  <c r="O191" i="48"/>
  <c r="O23" i="48" s="1"/>
  <c r="P90" i="48"/>
  <c r="P87" i="48"/>
  <c r="P108" i="48"/>
  <c r="P98" i="48"/>
  <c r="P92" i="48"/>
  <c r="P89" i="48"/>
  <c r="O197" i="48"/>
  <c r="O219" i="48" s="1"/>
  <c r="O15" i="48" s="1"/>
  <c r="O18" i="48" s="1"/>
  <c r="O95" i="21"/>
  <c r="O103" i="21" s="1"/>
  <c r="O46" i="26" s="1"/>
  <c r="O67" i="21"/>
  <c r="P67" i="26"/>
  <c r="P57" i="26"/>
  <c r="P34" i="26"/>
  <c r="P48" i="26"/>
  <c r="P74" i="26"/>
  <c r="P52" i="26"/>
  <c r="P43" i="26"/>
  <c r="P35" i="26"/>
  <c r="P66" i="26"/>
  <c r="P65" i="26"/>
  <c r="P68" i="26"/>
  <c r="P59" i="26"/>
  <c r="P64" i="26"/>
  <c r="P53" i="26"/>
  <c r="P42" i="26"/>
  <c r="P54" i="26"/>
  <c r="P72" i="26"/>
  <c r="P85" i="26"/>
  <c r="P38" i="26"/>
  <c r="P56" i="26"/>
  <c r="P40" i="26"/>
  <c r="P50" i="26"/>
  <c r="P142" i="26"/>
  <c r="P92" i="26" s="1"/>
  <c r="P41" i="26"/>
  <c r="P69" i="26"/>
  <c r="P73" i="26"/>
  <c r="P136" i="26"/>
  <c r="P86" i="26"/>
  <c r="P75" i="26"/>
  <c r="P71" i="26"/>
  <c r="P37" i="26"/>
  <c r="P39" i="26"/>
  <c r="P70" i="26"/>
  <c r="P134" i="26"/>
  <c r="P49" i="26"/>
  <c r="P36" i="26"/>
  <c r="P135" i="26"/>
  <c r="P51" i="26"/>
  <c r="P55" i="26"/>
  <c r="P58" i="26"/>
  <c r="P17" i="21"/>
  <c r="P30" i="21"/>
  <c r="P41" i="21"/>
  <c r="O28" i="48"/>
  <c r="P104" i="22"/>
  <c r="P105" i="22" s="1"/>
  <c r="P54" i="6"/>
  <c r="P58" i="6"/>
  <c r="P65" i="6"/>
  <c r="P68" i="6"/>
  <c r="P79" i="6"/>
  <c r="P70" i="6"/>
  <c r="P64" i="6"/>
  <c r="P57" i="6"/>
  <c r="P67" i="6"/>
  <c r="P55" i="6"/>
  <c r="P80" i="6"/>
  <c r="P76" i="6"/>
  <c r="P71" i="6"/>
  <c r="P62" i="6"/>
  <c r="P52" i="6"/>
  <c r="P82" i="6"/>
  <c r="P66" i="6"/>
  <c r="P78" i="6"/>
  <c r="P69" i="6"/>
  <c r="P56" i="6"/>
  <c r="P51" i="6"/>
  <c r="P73" i="6"/>
  <c r="P86" i="6"/>
  <c r="P81" i="6"/>
  <c r="P59" i="6"/>
  <c r="P85" i="6"/>
  <c r="P72" i="6"/>
  <c r="P77" i="6"/>
  <c r="P60" i="6"/>
  <c r="P83" i="6"/>
  <c r="P63" i="6"/>
  <c r="P75" i="6"/>
  <c r="P28" i="47"/>
  <c r="P53" i="6"/>
  <c r="P84" i="6"/>
  <c r="P199" i="48"/>
  <c r="P135" i="48"/>
  <c r="P155" i="48"/>
  <c r="P126" i="48"/>
  <c r="P187" i="48"/>
  <c r="P123" i="48"/>
  <c r="P129" i="48"/>
  <c r="P127" i="48"/>
  <c r="P141" i="48"/>
  <c r="P216" i="48"/>
  <c r="P161" i="48"/>
  <c r="P206" i="48"/>
  <c r="P212" i="48"/>
  <c r="P178" i="48"/>
  <c r="P91" i="48"/>
  <c r="P209" i="48"/>
  <c r="P132" i="48"/>
  <c r="P201" i="48"/>
  <c r="P218" i="48"/>
  <c r="P130" i="48"/>
  <c r="P202" i="48"/>
  <c r="P117" i="48"/>
  <c r="P119" i="48"/>
  <c r="P162" i="48"/>
  <c r="P160" i="48"/>
  <c r="P146" i="48"/>
  <c r="P40" i="48"/>
  <c r="P121" i="48"/>
  <c r="P175" i="48"/>
  <c r="P180" i="48"/>
  <c r="P125" i="48"/>
  <c r="P197" i="48"/>
  <c r="P183" i="48"/>
  <c r="P213" i="48"/>
  <c r="P29" i="48"/>
  <c r="P144" i="48"/>
  <c r="P152" i="48"/>
  <c r="P140" i="48"/>
  <c r="P106" i="48"/>
  <c r="P88" i="48"/>
  <c r="P151" i="48"/>
  <c r="P124" i="48"/>
  <c r="P177" i="48"/>
  <c r="P184" i="48"/>
  <c r="P118" i="48"/>
  <c r="P128" i="48"/>
  <c r="P46" i="48"/>
  <c r="P166" i="48"/>
  <c r="P194" i="48" s="1"/>
  <c r="P173" i="48"/>
  <c r="P188" i="48"/>
  <c r="P148" i="48"/>
  <c r="P181" i="48"/>
  <c r="P211" i="48"/>
  <c r="P156" i="48"/>
  <c r="P208" i="48"/>
  <c r="P149" i="48"/>
  <c r="P116" i="48"/>
  <c r="P75" i="48"/>
  <c r="P134" i="48"/>
  <c r="P150" i="48"/>
  <c r="P196" i="48"/>
  <c r="P122" i="48"/>
  <c r="P113" i="48"/>
  <c r="P133" i="48"/>
  <c r="P114" i="48"/>
  <c r="P214" i="48"/>
  <c r="P200" i="48"/>
  <c r="P158" i="48"/>
  <c r="P147" i="48"/>
  <c r="P153" i="48"/>
  <c r="P95" i="48"/>
  <c r="P176" i="48"/>
  <c r="P217" i="48"/>
  <c r="P120" i="48"/>
  <c r="P182" i="48"/>
  <c r="P204" i="48"/>
  <c r="P190" i="48"/>
  <c r="P154" i="48"/>
  <c r="P210" i="48"/>
  <c r="P189" i="48"/>
  <c r="P186" i="48"/>
  <c r="P215" i="48"/>
  <c r="P103" i="48"/>
  <c r="P105" i="48"/>
  <c r="P179" i="48"/>
  <c r="P143" i="48"/>
  <c r="P205" i="48"/>
  <c r="P174" i="48"/>
  <c r="P157" i="48"/>
  <c r="P171" i="48"/>
  <c r="P172" i="48"/>
  <c r="P131" i="48"/>
  <c r="P207" i="48"/>
  <c r="P185" i="48"/>
  <c r="P145" i="48"/>
  <c r="P159" i="48"/>
  <c r="P203" i="48"/>
  <c r="P104" i="48"/>
  <c r="P101" i="48"/>
  <c r="P59" i="47"/>
  <c r="P62" i="47" s="1"/>
  <c r="P55" i="47"/>
  <c r="P94" i="48"/>
  <c r="P96" i="48"/>
  <c r="O106" i="21"/>
  <c r="O114" i="21" s="1"/>
  <c r="O62" i="26" s="1"/>
  <c r="O78" i="21"/>
  <c r="P127" i="25"/>
  <c r="P116" i="25"/>
  <c r="P136" i="25"/>
  <c r="O38" i="22"/>
  <c r="P35" i="22" s="1"/>
  <c r="P8" i="21"/>
  <c r="Q328" i="1"/>
  <c r="Q7" i="25"/>
  <c r="O182" i="22"/>
  <c r="N144" i="21"/>
  <c r="P99" i="48"/>
  <c r="N153" i="21"/>
  <c r="P168" i="22"/>
  <c r="P173" i="22" s="1"/>
  <c r="P178" i="22"/>
  <c r="P101" i="22"/>
  <c r="P117" i="22" s="1"/>
  <c r="P166" i="22"/>
  <c r="P78" i="26" s="1"/>
  <c r="P133" i="22"/>
  <c r="P135" i="22" s="1"/>
  <c r="P169" i="22"/>
  <c r="P24" i="25" s="1"/>
  <c r="P117" i="26" s="1"/>
  <c r="P102" i="48"/>
  <c r="P86" i="48"/>
  <c r="J172" i="21"/>
  <c r="J12" i="44"/>
  <c r="J25" i="44" s="1"/>
  <c r="J91" i="44" s="1"/>
  <c r="J94" i="44" s="1"/>
  <c r="J95" i="44" s="1"/>
  <c r="J175" i="21"/>
  <c r="J162" i="21"/>
  <c r="J169" i="21"/>
  <c r="J155" i="21"/>
  <c r="J156" i="21" s="1"/>
  <c r="J19" i="25" s="1"/>
  <c r="J112" i="26" s="1"/>
  <c r="J20" i="25"/>
  <c r="J113" i="26" s="1"/>
  <c r="J161" i="21"/>
  <c r="O53" i="22"/>
  <c r="M32" i="48"/>
  <c r="M53" i="48"/>
  <c r="N129" i="25"/>
  <c r="N131" i="25" s="1"/>
  <c r="N128" i="25"/>
  <c r="M19" i="6"/>
  <c r="N16" i="48"/>
  <c r="J21" i="26"/>
  <c r="L25" i="6"/>
  <c r="L40" i="6"/>
  <c r="N119" i="25"/>
  <c r="N121" i="25" s="1"/>
  <c r="N118" i="25"/>
  <c r="N155" i="22"/>
  <c r="N31" i="48"/>
  <c r="N77" i="48"/>
  <c r="N12" i="26" s="1"/>
  <c r="J11" i="25"/>
  <c r="J25" i="6"/>
  <c r="J28" i="6" s="1"/>
  <c r="M12" i="26"/>
  <c r="M66" i="48"/>
  <c r="N78" i="48"/>
  <c r="N102" i="6" s="1"/>
  <c r="M50" i="21"/>
  <c r="J40" i="6"/>
  <c r="J43" i="6" s="1"/>
  <c r="N147" i="25"/>
  <c r="N149" i="25"/>
  <c r="N31" i="25" s="1"/>
  <c r="N123" i="26" s="1"/>
  <c r="O136" i="22"/>
  <c r="O154" i="22" s="1"/>
  <c r="J28" i="26"/>
  <c r="J76" i="26" s="1"/>
  <c r="M55" i="21"/>
  <c r="J123" i="6"/>
  <c r="K122" i="6"/>
  <c r="K21" i="25" s="1"/>
  <c r="K114" i="26" s="1"/>
  <c r="N139" i="25"/>
  <c r="N141" i="25" s="1"/>
  <c r="N138" i="25"/>
  <c r="P345" i="1" l="1"/>
  <c r="P348" i="1" s="1"/>
  <c r="P166" i="26" s="1"/>
  <c r="O98" i="6"/>
  <c r="O115" i="6" s="1"/>
  <c r="P49" i="6"/>
  <c r="P19" i="22"/>
  <c r="P20" i="22" s="1"/>
  <c r="P75" i="22"/>
  <c r="P91" i="22" s="1"/>
  <c r="P179" i="22"/>
  <c r="P170" i="22"/>
  <c r="P25" i="25" s="1"/>
  <c r="P118" i="26" s="1"/>
  <c r="P13" i="25"/>
  <c r="P103" i="26" s="1"/>
  <c r="P126" i="25"/>
  <c r="P27" i="25"/>
  <c r="P120" i="26" s="1"/>
  <c r="P172" i="22"/>
  <c r="P26" i="25"/>
  <c r="P119" i="26" s="1"/>
  <c r="P117" i="25"/>
  <c r="P137" i="25"/>
  <c r="P52" i="22"/>
  <c r="P53" i="22" s="1"/>
  <c r="P49" i="22"/>
  <c r="P51" i="22" s="1"/>
  <c r="P177" i="22"/>
  <c r="P16" i="22"/>
  <c r="P18" i="22" s="1"/>
  <c r="P22" i="25"/>
  <c r="P115" i="26" s="1"/>
  <c r="P32" i="25"/>
  <c r="P132" i="26" s="1"/>
  <c r="P50" i="6"/>
  <c r="P120" i="22"/>
  <c r="P339" i="1"/>
  <c r="P342" i="1" s="1"/>
  <c r="P170" i="26" s="1"/>
  <c r="P30" i="44"/>
  <c r="AA7" i="49"/>
  <c r="AA7" i="52"/>
  <c r="AA7" i="6"/>
  <c r="AA7" i="53"/>
  <c r="AA7" i="51"/>
  <c r="AA7" i="48"/>
  <c r="AA82" i="48" s="1"/>
  <c r="AA7" i="44"/>
  <c r="O154" i="26"/>
  <c r="Z8" i="6"/>
  <c r="Z10" i="6"/>
  <c r="Z9" i="6"/>
  <c r="Z20" i="6"/>
  <c r="Z89" i="6"/>
  <c r="J19" i="26"/>
  <c r="P91" i="25"/>
  <c r="P94" i="25" s="1"/>
  <c r="P92" i="25"/>
  <c r="P93" i="25" s="1"/>
  <c r="O30" i="48"/>
  <c r="O31" i="48" s="1"/>
  <c r="O153" i="26"/>
  <c r="P103" i="22"/>
  <c r="P139" i="48"/>
  <c r="P167" i="48" s="1"/>
  <c r="P195" i="48" s="1"/>
  <c r="N76" i="44"/>
  <c r="N89" i="44" s="1"/>
  <c r="N164" i="21"/>
  <c r="N63" i="26"/>
  <c r="P174" i="22"/>
  <c r="P175" i="22" s="1"/>
  <c r="P72" i="21"/>
  <c r="P108" i="21" s="1"/>
  <c r="P71" i="21"/>
  <c r="P107" i="21" s="1"/>
  <c r="P73" i="21"/>
  <c r="P109" i="21" s="1"/>
  <c r="P62" i="21"/>
  <c r="P98" i="21" s="1"/>
  <c r="P60" i="21"/>
  <c r="P96" i="21" s="1"/>
  <c r="P75" i="21"/>
  <c r="P111" i="21" s="1"/>
  <c r="P76" i="21"/>
  <c r="P112" i="21" s="1"/>
  <c r="P74" i="21"/>
  <c r="P110" i="21" s="1"/>
  <c r="P77" i="21"/>
  <c r="P113" i="21" s="1"/>
  <c r="P61" i="21"/>
  <c r="P97" i="21" s="1"/>
  <c r="P59" i="21"/>
  <c r="P63" i="21"/>
  <c r="P99" i="21" s="1"/>
  <c r="P64" i="21"/>
  <c r="P100" i="21" s="1"/>
  <c r="P66" i="21"/>
  <c r="P102" i="21" s="1"/>
  <c r="P65" i="21"/>
  <c r="P101" i="21" s="1"/>
  <c r="P70" i="21"/>
  <c r="P13" i="44"/>
  <c r="P32" i="26" s="1"/>
  <c r="O142" i="21"/>
  <c r="O45" i="26"/>
  <c r="O141" i="21"/>
  <c r="O143" i="21"/>
  <c r="P163" i="22"/>
  <c r="P149" i="22"/>
  <c r="P153" i="22"/>
  <c r="O23" i="25"/>
  <c r="O116" i="26" s="1"/>
  <c r="O17" i="47"/>
  <c r="P8" i="48"/>
  <c r="P8" i="53"/>
  <c r="P8" i="52"/>
  <c r="P8" i="49"/>
  <c r="P8" i="51"/>
  <c r="O151" i="21"/>
  <c r="O152" i="21"/>
  <c r="O61" i="26"/>
  <c r="O150" i="21"/>
  <c r="P140" i="21"/>
  <c r="P138" i="21"/>
  <c r="P139" i="21"/>
  <c r="P147" i="21"/>
  <c r="P148" i="21"/>
  <c r="P149" i="21"/>
  <c r="P109" i="48"/>
  <c r="P22" i="48" s="1"/>
  <c r="P14" i="25"/>
  <c r="P104" i="26" s="1"/>
  <c r="P32" i="22"/>
  <c r="N47" i="26"/>
  <c r="N60" i="44"/>
  <c r="N73" i="44" s="1"/>
  <c r="N163" i="21"/>
  <c r="Q10" i="25"/>
  <c r="Q103" i="25"/>
  <c r="Q151" i="26"/>
  <c r="Q10" i="26"/>
  <c r="Q99" i="26"/>
  <c r="Q7" i="26"/>
  <c r="Q329" i="1"/>
  <c r="BE288" i="36"/>
  <c r="P14" i="44"/>
  <c r="P33" i="26" s="1"/>
  <c r="P142" i="48"/>
  <c r="P170" i="48" s="1"/>
  <c r="P42" i="48"/>
  <c r="P54" i="21"/>
  <c r="P90" i="21" s="1"/>
  <c r="J69" i="48"/>
  <c r="J70" i="48" s="1"/>
  <c r="J93" i="6"/>
  <c r="J95" i="6" s="1"/>
  <c r="J167" i="26" s="1"/>
  <c r="J165" i="21"/>
  <c r="J177" i="21"/>
  <c r="J158" i="21"/>
  <c r="M33" i="48"/>
  <c r="M54" i="48" s="1"/>
  <c r="O137" i="22"/>
  <c r="P136" i="22" s="1"/>
  <c r="J172" i="26"/>
  <c r="K120" i="6"/>
  <c r="O164" i="22"/>
  <c r="O81" i="26" s="1"/>
  <c r="N19" i="6"/>
  <c r="N32" i="48"/>
  <c r="J16" i="47"/>
  <c r="J114" i="6"/>
  <c r="J116" i="6" s="1"/>
  <c r="N18" i="21"/>
  <c r="N60" i="48"/>
  <c r="N61" i="48"/>
  <c r="O13" i="48"/>
  <c r="N64" i="48"/>
  <c r="N13" i="21"/>
  <c r="N63" i="48"/>
  <c r="N24" i="48"/>
  <c r="N27" i="6"/>
  <c r="J33" i="6"/>
  <c r="J22" i="47"/>
  <c r="N155" i="26"/>
  <c r="N156" i="26" s="1"/>
  <c r="O152" i="22"/>
  <c r="O155" i="22" s="1"/>
  <c r="K38" i="6"/>
  <c r="K43" i="6" s="1"/>
  <c r="J168" i="26"/>
  <c r="M86" i="21"/>
  <c r="O78" i="48"/>
  <c r="O102" i="6" s="1"/>
  <c r="J101" i="26"/>
  <c r="N183" i="26"/>
  <c r="O115" i="25"/>
  <c r="N185" i="26"/>
  <c r="O135" i="25"/>
  <c r="M91" i="21"/>
  <c r="O145" i="25"/>
  <c r="N181" i="26"/>
  <c r="N66" i="48"/>
  <c r="N184" i="26"/>
  <c r="O125" i="25"/>
  <c r="P65" i="22" l="1"/>
  <c r="P180" i="22"/>
  <c r="P80" i="26" s="1"/>
  <c r="P162" i="22"/>
  <c r="P37" i="22"/>
  <c r="P122" i="22"/>
  <c r="P87" i="6"/>
  <c r="P98" i="6" s="1"/>
  <c r="P115" i="6" s="1"/>
  <c r="P161" i="22"/>
  <c r="P36" i="22"/>
  <c r="P38" i="22" s="1"/>
  <c r="Q35" i="22" s="1"/>
  <c r="P77" i="22"/>
  <c r="Q78" i="22" s="1"/>
  <c r="Q79" i="22" s="1"/>
  <c r="P160" i="22"/>
  <c r="P121" i="22"/>
  <c r="Q330" i="1"/>
  <c r="Q339" i="1" s="1"/>
  <c r="Q342" i="1" s="1"/>
  <c r="AA20" i="6"/>
  <c r="Q28" i="44"/>
  <c r="Q29" i="44" s="1"/>
  <c r="Q30" i="21"/>
  <c r="Q59" i="47"/>
  <c r="Q62" i="47" s="1"/>
  <c r="N44" i="26"/>
  <c r="AA89" i="6"/>
  <c r="N60" i="26"/>
  <c r="AA8" i="6"/>
  <c r="AA10" i="6"/>
  <c r="AA9" i="6"/>
  <c r="AB7" i="51"/>
  <c r="AB7" i="53"/>
  <c r="AB7" i="49"/>
  <c r="AB7" i="52"/>
  <c r="AB7" i="6"/>
  <c r="AB7" i="44"/>
  <c r="AB7" i="48"/>
  <c r="AB82" i="48" s="1"/>
  <c r="Q30" i="44"/>
  <c r="P95" i="25"/>
  <c r="P110" i="25" s="1"/>
  <c r="Q52" i="22"/>
  <c r="Q53" i="22" s="1"/>
  <c r="O77" i="48"/>
  <c r="P78" i="48" s="1"/>
  <c r="P102" i="6" s="1"/>
  <c r="P182" i="22"/>
  <c r="P154" i="22"/>
  <c r="P164" i="22"/>
  <c r="P81" i="26" s="1"/>
  <c r="P112" i="48"/>
  <c r="O153" i="21"/>
  <c r="P191" i="48"/>
  <c r="P23" i="48" s="1"/>
  <c r="P171" i="26"/>
  <c r="Q172" i="22"/>
  <c r="Q88" i="48"/>
  <c r="Q95" i="48"/>
  <c r="Q96" i="48"/>
  <c r="Q117" i="48"/>
  <c r="Q186" i="48"/>
  <c r="Q181" i="48"/>
  <c r="Q206" i="48"/>
  <c r="Q151" i="48"/>
  <c r="Q213" i="48"/>
  <c r="Q40" i="48"/>
  <c r="Q119" i="48"/>
  <c r="Q118" i="48"/>
  <c r="Q211" i="48"/>
  <c r="Q29" i="48"/>
  <c r="Q131" i="48"/>
  <c r="Q155" i="48"/>
  <c r="Q215" i="48"/>
  <c r="Q182" i="48"/>
  <c r="Q132" i="48"/>
  <c r="Q98" i="48"/>
  <c r="Q25" i="48"/>
  <c r="Q76" i="48" s="1"/>
  <c r="Q178" i="48"/>
  <c r="Q150" i="48"/>
  <c r="Q205" i="48"/>
  <c r="Q120" i="48"/>
  <c r="Q212" i="48"/>
  <c r="Q154" i="48"/>
  <c r="Q129" i="48"/>
  <c r="Q174" i="48"/>
  <c r="Q92" i="48"/>
  <c r="Q209" i="48"/>
  <c r="Q201" i="48"/>
  <c r="Q146" i="48"/>
  <c r="Q149" i="48"/>
  <c r="Q108" i="48"/>
  <c r="Q172" i="48"/>
  <c r="Q46" i="48"/>
  <c r="Q218" i="48"/>
  <c r="Q204" i="48"/>
  <c r="Q183" i="48"/>
  <c r="Q126" i="48"/>
  <c r="Q122" i="48"/>
  <c r="Q185" i="48"/>
  <c r="Q128" i="48"/>
  <c r="Q147" i="48"/>
  <c r="Q175" i="48"/>
  <c r="Q127" i="48"/>
  <c r="Q159" i="48"/>
  <c r="Q207" i="48"/>
  <c r="Q107" i="48"/>
  <c r="Q166" i="48"/>
  <c r="Q26" i="48"/>
  <c r="Q144" i="48"/>
  <c r="Q197" i="48"/>
  <c r="Q148" i="48"/>
  <c r="Q123" i="48"/>
  <c r="Q121" i="48"/>
  <c r="Q214" i="48"/>
  <c r="Q75" i="48"/>
  <c r="Q139" i="48"/>
  <c r="Q125" i="48"/>
  <c r="Q203" i="48"/>
  <c r="Q153" i="48"/>
  <c r="Q160" i="48"/>
  <c r="Q184" i="48"/>
  <c r="Q156" i="48"/>
  <c r="Q190" i="48"/>
  <c r="Q142" i="48"/>
  <c r="Q49" i="48"/>
  <c r="Q51" i="48" s="1"/>
  <c r="Q99" i="48"/>
  <c r="Q90" i="48"/>
  <c r="Q89" i="48"/>
  <c r="Q143" i="48" s="1"/>
  <c r="Q171" i="48" s="1"/>
  <c r="Q167" i="48"/>
  <c r="Q87" i="48"/>
  <c r="Q169" i="48"/>
  <c r="Q198" i="48"/>
  <c r="Q173" i="48"/>
  <c r="Q141" i="48"/>
  <c r="Q202" i="48"/>
  <c r="Q177" i="48"/>
  <c r="Q176" i="48"/>
  <c r="Q161" i="48"/>
  <c r="Q189" i="48"/>
  <c r="Q130" i="48"/>
  <c r="Q180" i="48"/>
  <c r="Q112" i="48"/>
  <c r="Q134" i="48"/>
  <c r="Q135" i="48"/>
  <c r="Q114" i="48"/>
  <c r="Q208" i="48"/>
  <c r="Q210" i="48"/>
  <c r="Q217" i="48"/>
  <c r="Q200" i="48"/>
  <c r="Q115" i="48"/>
  <c r="Q104" i="48"/>
  <c r="Q187" i="48"/>
  <c r="Q194" i="48"/>
  <c r="Q188" i="48"/>
  <c r="Q162" i="48"/>
  <c r="Q145" i="48"/>
  <c r="Q195" i="48"/>
  <c r="Q216" i="48"/>
  <c r="Q179" i="48"/>
  <c r="Q158" i="48"/>
  <c r="Q133" i="48"/>
  <c r="Q157" i="48"/>
  <c r="Q93" i="48"/>
  <c r="Q97" i="48"/>
  <c r="Q94" i="48"/>
  <c r="Q100" i="48"/>
  <c r="Q124" i="48"/>
  <c r="Q152" i="48"/>
  <c r="Q85" i="48"/>
  <c r="Q105" i="48"/>
  <c r="Q117" i="25"/>
  <c r="Q127" i="25"/>
  <c r="Q26" i="25"/>
  <c r="Q119" i="26" s="1"/>
  <c r="Q27" i="25"/>
  <c r="Q120" i="26" s="1"/>
  <c r="Q116" i="25"/>
  <c r="Q136" i="25"/>
  <c r="Q126" i="25"/>
  <c r="Q137" i="25"/>
  <c r="Q22" i="25"/>
  <c r="Q115" i="26" s="1"/>
  <c r="Q32" i="25"/>
  <c r="Q132" i="26" s="1"/>
  <c r="Q12" i="25"/>
  <c r="Q102" i="26" s="1"/>
  <c r="Q13" i="25"/>
  <c r="Q103" i="26" s="1"/>
  <c r="P28" i="48"/>
  <c r="Q101" i="22"/>
  <c r="Q177" i="22"/>
  <c r="Q169" i="22"/>
  <c r="Q24" i="25" s="1"/>
  <c r="Q117" i="26" s="1"/>
  <c r="Q168" i="22"/>
  <c r="Q173" i="22" s="1"/>
  <c r="Q178" i="22"/>
  <c r="Q133" i="22"/>
  <c r="Q166" i="22"/>
  <c r="Q78" i="26" s="1"/>
  <c r="Q49" i="22"/>
  <c r="Q16" i="22"/>
  <c r="Q170" i="22"/>
  <c r="Q75" i="22"/>
  <c r="Q179" i="22"/>
  <c r="Q64" i="26"/>
  <c r="Q48" i="26"/>
  <c r="Q37" i="26"/>
  <c r="Q34" i="26"/>
  <c r="Q36" i="26"/>
  <c r="Q40" i="26"/>
  <c r="Q135" i="26"/>
  <c r="Q38" i="26"/>
  <c r="Q54" i="26"/>
  <c r="Q51" i="26"/>
  <c r="Q42" i="26"/>
  <c r="Q66" i="26"/>
  <c r="Q56" i="26"/>
  <c r="Q86" i="26"/>
  <c r="Q52" i="26"/>
  <c r="Q43" i="26"/>
  <c r="Q57" i="26"/>
  <c r="Q71" i="26"/>
  <c r="Q53" i="26"/>
  <c r="Q85" i="26"/>
  <c r="Q70" i="26"/>
  <c r="Q41" i="26"/>
  <c r="Q49" i="26"/>
  <c r="Q72" i="26"/>
  <c r="Q67" i="26"/>
  <c r="Q74" i="26"/>
  <c r="Q75" i="26"/>
  <c r="Q69" i="26"/>
  <c r="Q59" i="26"/>
  <c r="Q58" i="26"/>
  <c r="Q136" i="26"/>
  <c r="Q73" i="26"/>
  <c r="Q65" i="26"/>
  <c r="Q142" i="26"/>
  <c r="Q92" i="26" s="1"/>
  <c r="Q39" i="26"/>
  <c r="Q68" i="26"/>
  <c r="Q134" i="26"/>
  <c r="Q35" i="26"/>
  <c r="Q50" i="26"/>
  <c r="Q55" i="26"/>
  <c r="P163" i="48"/>
  <c r="R328" i="1"/>
  <c r="R7" i="25"/>
  <c r="P115" i="48"/>
  <c r="Q89" i="25"/>
  <c r="Q90" i="25"/>
  <c r="Q86" i="48"/>
  <c r="Q106" i="48"/>
  <c r="Q55" i="47"/>
  <c r="Q103" i="48"/>
  <c r="P78" i="21"/>
  <c r="P106" i="21"/>
  <c r="P114" i="21" s="1"/>
  <c r="P62" i="26" s="1"/>
  <c r="Q8" i="21"/>
  <c r="Q91" i="48"/>
  <c r="Q102" i="48"/>
  <c r="P198" i="48"/>
  <c r="P219" i="48" s="1"/>
  <c r="Q19" i="22"/>
  <c r="Q37" i="22" s="1"/>
  <c r="Q170" i="48"/>
  <c r="Q75" i="6"/>
  <c r="Q56" i="6"/>
  <c r="Q55" i="6"/>
  <c r="Q84" i="6"/>
  <c r="Q53" i="6"/>
  <c r="Q57" i="6"/>
  <c r="Q65" i="6"/>
  <c r="Q59" i="6"/>
  <c r="Q72" i="6"/>
  <c r="Q50" i="6"/>
  <c r="Q54" i="6"/>
  <c r="Q58" i="6"/>
  <c r="Q67" i="6"/>
  <c r="Q76" i="6"/>
  <c r="Q81" i="6"/>
  <c r="Q69" i="6"/>
  <c r="Q62" i="6"/>
  <c r="Q78" i="6"/>
  <c r="Q70" i="6"/>
  <c r="Q68" i="6"/>
  <c r="Q28" i="47"/>
  <c r="Q71" i="6"/>
  <c r="Q79" i="6"/>
  <c r="Q66" i="6"/>
  <c r="Q73" i="6"/>
  <c r="Q63" i="6"/>
  <c r="Q49" i="6"/>
  <c r="Q52" i="6"/>
  <c r="Q51" i="6"/>
  <c r="Q60" i="6"/>
  <c r="Q77" i="6"/>
  <c r="Q86" i="6"/>
  <c r="Q64" i="6"/>
  <c r="Q85" i="6"/>
  <c r="Q83" i="6"/>
  <c r="Q82" i="6"/>
  <c r="Q80" i="6"/>
  <c r="Q101" i="48"/>
  <c r="Q17" i="21"/>
  <c r="Q41" i="21"/>
  <c r="Q104" i="22"/>
  <c r="Q105" i="22" s="1"/>
  <c r="O144" i="21"/>
  <c r="P95" i="21"/>
  <c r="P103" i="21" s="1"/>
  <c r="P46" i="26" s="1"/>
  <c r="P67" i="21"/>
  <c r="K92" i="6"/>
  <c r="J72" i="48"/>
  <c r="N47" i="48"/>
  <c r="N57" i="48" s="1"/>
  <c r="N24" i="6" s="1"/>
  <c r="M35" i="48"/>
  <c r="M16" i="6"/>
  <c r="M55" i="48"/>
  <c r="M65" i="48"/>
  <c r="O32" i="48"/>
  <c r="O155" i="26"/>
  <c r="O156" i="26" s="1"/>
  <c r="P152" i="22"/>
  <c r="N55" i="21"/>
  <c r="N33" i="48"/>
  <c r="O147" i="25"/>
  <c r="O149" i="25"/>
  <c r="O31" i="25" s="1"/>
  <c r="O123" i="26" s="1"/>
  <c r="J106" i="26"/>
  <c r="P137" i="22"/>
  <c r="O16" i="48"/>
  <c r="O129" i="25"/>
  <c r="O131" i="25" s="1"/>
  <c r="O128" i="25"/>
  <c r="O138" i="25"/>
  <c r="O139" i="25"/>
  <c r="O141" i="25" s="1"/>
  <c r="K168" i="26"/>
  <c r="L38" i="6"/>
  <c r="L43" i="6" s="1"/>
  <c r="O27" i="6"/>
  <c r="O19" i="6"/>
  <c r="O119" i="25"/>
  <c r="O121" i="25" s="1"/>
  <c r="O118" i="25"/>
  <c r="N50" i="21"/>
  <c r="J173" i="26"/>
  <c r="K113" i="6"/>
  <c r="Q345" i="1" l="1"/>
  <c r="Q348" i="1" s="1"/>
  <c r="P123" i="22"/>
  <c r="P154" i="26" s="1"/>
  <c r="Q351" i="1"/>
  <c r="Q354" i="1" s="1"/>
  <c r="P94" i="6"/>
  <c r="P23" i="25"/>
  <c r="P116" i="26" s="1"/>
  <c r="AB8" i="6"/>
  <c r="AB9" i="6"/>
  <c r="AB10" i="6"/>
  <c r="AB89" i="6"/>
  <c r="AB20" i="6"/>
  <c r="AC7" i="48"/>
  <c r="AC82" i="48" s="1"/>
  <c r="AC7" i="51"/>
  <c r="AC7" i="44"/>
  <c r="AC7" i="49"/>
  <c r="AC7" i="52"/>
  <c r="AC7" i="6"/>
  <c r="AC7" i="53"/>
  <c r="Q120" i="22"/>
  <c r="P153" i="26"/>
  <c r="O12" i="26"/>
  <c r="O66" i="48"/>
  <c r="P27" i="6"/>
  <c r="P155" i="22"/>
  <c r="P155" i="26" s="1"/>
  <c r="P136" i="48"/>
  <c r="P15" i="48" s="1"/>
  <c r="P17" i="47"/>
  <c r="Q20" i="22"/>
  <c r="O164" i="21"/>
  <c r="O76" i="44"/>
  <c r="O89" i="44" s="1"/>
  <c r="P30" i="48"/>
  <c r="P77" i="48" s="1"/>
  <c r="P66" i="48" s="1"/>
  <c r="Q116" i="48"/>
  <c r="O63" i="26"/>
  <c r="O60" i="26" s="1"/>
  <c r="Q166" i="26"/>
  <c r="Q91" i="22"/>
  <c r="Q77" i="22"/>
  <c r="Q42" i="48"/>
  <c r="Q148" i="21"/>
  <c r="Q149" i="21"/>
  <c r="Q147" i="21"/>
  <c r="Q87" i="6"/>
  <c r="Q170" i="26"/>
  <c r="R103" i="25"/>
  <c r="R10" i="25"/>
  <c r="Q121" i="22"/>
  <c r="Q65" i="22"/>
  <c r="Q162" i="22"/>
  <c r="P142" i="21"/>
  <c r="P141" i="21"/>
  <c r="P45" i="26"/>
  <c r="P143" i="21"/>
  <c r="O60" i="44"/>
  <c r="O73" i="44" s="1"/>
  <c r="O47" i="26"/>
  <c r="O44" i="26" s="1"/>
  <c r="O163" i="21"/>
  <c r="Q54" i="21"/>
  <c r="Q90" i="21" s="1"/>
  <c r="Q122" i="22"/>
  <c r="P61" i="26"/>
  <c r="P152" i="21"/>
  <c r="P150" i="21"/>
  <c r="P151" i="21"/>
  <c r="M25" i="6"/>
  <c r="M40" i="6"/>
  <c r="Q8" i="53"/>
  <c r="Q8" i="52"/>
  <c r="Q8" i="48"/>
  <c r="Q8" i="51"/>
  <c r="Q8" i="49"/>
  <c r="Q140" i="48"/>
  <c r="Q113" i="48" s="1"/>
  <c r="R10" i="26"/>
  <c r="R99" i="26"/>
  <c r="R151" i="26"/>
  <c r="Q174" i="22"/>
  <c r="Q175" i="22" s="1"/>
  <c r="Q25" i="25"/>
  <c r="Q118" i="26" s="1"/>
  <c r="Q149" i="22"/>
  <c r="Q135" i="22"/>
  <c r="Q153" i="22"/>
  <c r="Q163" i="22"/>
  <c r="Q180" i="22"/>
  <c r="Q80" i="26" s="1"/>
  <c r="Q14" i="25"/>
  <c r="Q104" i="26" s="1"/>
  <c r="Q14" i="44"/>
  <c r="Q33" i="26" s="1"/>
  <c r="Q91" i="25"/>
  <c r="Q94" i="25" s="1"/>
  <c r="Q92" i="25"/>
  <c r="Q93" i="25" s="1"/>
  <c r="Q140" i="21"/>
  <c r="Q139" i="21"/>
  <c r="Q138" i="21"/>
  <c r="Q60" i="21"/>
  <c r="Q96" i="21" s="1"/>
  <c r="Q66" i="21"/>
  <c r="Q102" i="21" s="1"/>
  <c r="Q77" i="21"/>
  <c r="Q113" i="21" s="1"/>
  <c r="Q72" i="21"/>
  <c r="Q108" i="21" s="1"/>
  <c r="Q71" i="21"/>
  <c r="Q107" i="21" s="1"/>
  <c r="Q74" i="21"/>
  <c r="Q110" i="21" s="1"/>
  <c r="Q73" i="21"/>
  <c r="Q109" i="21" s="1"/>
  <c r="Q70" i="21"/>
  <c r="Q59" i="21"/>
  <c r="Q65" i="21"/>
  <c r="Q101" i="21" s="1"/>
  <c r="Q64" i="21"/>
  <c r="Q100" i="21" s="1"/>
  <c r="Q61" i="21"/>
  <c r="Q97" i="21" s="1"/>
  <c r="Q62" i="21"/>
  <c r="Q98" i="21" s="1"/>
  <c r="Q63" i="21"/>
  <c r="Q99" i="21" s="1"/>
  <c r="Q76" i="21"/>
  <c r="Q112" i="21" s="1"/>
  <c r="Q75" i="21"/>
  <c r="Q111" i="21" s="1"/>
  <c r="Q159" i="26"/>
  <c r="R94" i="48"/>
  <c r="R28" i="44"/>
  <c r="R29" i="44" s="1"/>
  <c r="BF288" i="36"/>
  <c r="R329" i="1"/>
  <c r="R7" i="26"/>
  <c r="R89" i="25"/>
  <c r="Q36" i="22"/>
  <c r="Q38" i="22" s="1"/>
  <c r="Q32" i="22"/>
  <c r="Q160" i="22"/>
  <c r="Q18" i="22"/>
  <c r="Q161" i="22"/>
  <c r="Q117" i="22"/>
  <c r="Q103" i="22"/>
  <c r="Q109" i="48"/>
  <c r="Q22" i="48" s="1"/>
  <c r="Q51" i="22"/>
  <c r="N62" i="48"/>
  <c r="N53" i="48"/>
  <c r="O33" i="48"/>
  <c r="O35" i="48" s="1"/>
  <c r="Q199" i="48"/>
  <c r="N86" i="21"/>
  <c r="O184" i="26"/>
  <c r="P125" i="25"/>
  <c r="P145" i="25"/>
  <c r="O181" i="26"/>
  <c r="P115" i="25"/>
  <c r="O183" i="26"/>
  <c r="O24" i="48"/>
  <c r="O13" i="21"/>
  <c r="O60" i="48"/>
  <c r="P13" i="48"/>
  <c r="O64" i="48"/>
  <c r="O61" i="48"/>
  <c r="O63" i="48"/>
  <c r="O18" i="21"/>
  <c r="M38" i="6"/>
  <c r="L168" i="26"/>
  <c r="N54" i="48"/>
  <c r="N16" i="6" s="1"/>
  <c r="N35" i="48"/>
  <c r="N65" i="48"/>
  <c r="O47" i="48"/>
  <c r="P135" i="25"/>
  <c r="O185" i="26"/>
  <c r="Q136" i="22"/>
  <c r="N91" i="21"/>
  <c r="P19" i="6" l="1"/>
  <c r="Q13" i="44"/>
  <c r="Q32" i="26" s="1"/>
  <c r="P156" i="26"/>
  <c r="AC89" i="6"/>
  <c r="R330" i="1"/>
  <c r="R339" i="1" s="1"/>
  <c r="R342" i="1" s="1"/>
  <c r="R170" i="26" s="1"/>
  <c r="R55" i="47"/>
  <c r="R19" i="22"/>
  <c r="AC10" i="6"/>
  <c r="AC8" i="6"/>
  <c r="AC9" i="6"/>
  <c r="R36" i="26"/>
  <c r="AD7" i="44"/>
  <c r="AD7" i="48"/>
  <c r="AD82" i="48" s="1"/>
  <c r="AD7" i="49"/>
  <c r="AD7" i="52"/>
  <c r="AD7" i="6"/>
  <c r="AD7" i="51"/>
  <c r="AD7" i="53"/>
  <c r="AC20" i="6"/>
  <c r="Q152" i="22"/>
  <c r="Q123" i="22"/>
  <c r="Q154" i="26" s="1"/>
  <c r="R85" i="48"/>
  <c r="P18" i="48"/>
  <c r="Q95" i="25"/>
  <c r="Q110" i="25" s="1"/>
  <c r="Q136" i="48"/>
  <c r="R92" i="48"/>
  <c r="R95" i="48"/>
  <c r="P153" i="21"/>
  <c r="R96" i="48"/>
  <c r="R99" i="48"/>
  <c r="Q78" i="48"/>
  <c r="Q102" i="6" s="1"/>
  <c r="R30" i="44"/>
  <c r="R49" i="48"/>
  <c r="R51" i="48" s="1"/>
  <c r="R97" i="48"/>
  <c r="P12" i="26"/>
  <c r="R171" i="48"/>
  <c r="R100" i="48"/>
  <c r="R90" i="48"/>
  <c r="R144" i="48" s="1"/>
  <c r="R172" i="48" s="1"/>
  <c r="R200" i="48" s="1"/>
  <c r="P31" i="48"/>
  <c r="P32" i="48" s="1"/>
  <c r="M43" i="6"/>
  <c r="M168" i="26" s="1"/>
  <c r="Q171" i="26"/>
  <c r="Q28" i="48"/>
  <c r="Q94" i="6"/>
  <c r="Q98" i="6"/>
  <c r="Q115" i="6" s="1"/>
  <c r="R59" i="47"/>
  <c r="R62" i="47" s="1"/>
  <c r="R79" i="6"/>
  <c r="R66" i="6"/>
  <c r="R82" i="6"/>
  <c r="R71" i="6"/>
  <c r="R80" i="6"/>
  <c r="R52" i="6"/>
  <c r="R86" i="6"/>
  <c r="R60" i="6"/>
  <c r="R28" i="47"/>
  <c r="R62" i="6"/>
  <c r="R68" i="6"/>
  <c r="R70" i="6"/>
  <c r="R54" i="6"/>
  <c r="R85" i="6"/>
  <c r="R53" i="6"/>
  <c r="R81" i="6"/>
  <c r="R64" i="6"/>
  <c r="R56" i="6"/>
  <c r="R83" i="6"/>
  <c r="R67" i="6"/>
  <c r="R55" i="6"/>
  <c r="R72" i="6"/>
  <c r="R77" i="6"/>
  <c r="R51" i="6"/>
  <c r="R58" i="6"/>
  <c r="R59" i="6"/>
  <c r="R50" i="6"/>
  <c r="R76" i="6"/>
  <c r="R73" i="6"/>
  <c r="R75" i="6"/>
  <c r="R69" i="6"/>
  <c r="R65" i="6"/>
  <c r="R63" i="6"/>
  <c r="R78" i="6"/>
  <c r="R84" i="6"/>
  <c r="R57" i="6"/>
  <c r="R8" i="21"/>
  <c r="S7" i="25"/>
  <c r="S328" i="1"/>
  <c r="R124" i="48"/>
  <c r="R201" i="48"/>
  <c r="R185" i="48"/>
  <c r="R194" i="48"/>
  <c r="R155" i="48"/>
  <c r="R130" i="48"/>
  <c r="R150" i="48"/>
  <c r="R212" i="48"/>
  <c r="R215" i="48"/>
  <c r="R178" i="48"/>
  <c r="R210" i="48"/>
  <c r="R143" i="48"/>
  <c r="R123" i="48"/>
  <c r="R147" i="48"/>
  <c r="R121" i="48"/>
  <c r="R140" i="48"/>
  <c r="R211" i="48"/>
  <c r="R216" i="48"/>
  <c r="R195" i="48"/>
  <c r="R198" i="48"/>
  <c r="R158" i="48"/>
  <c r="R120" i="48"/>
  <c r="R208" i="48"/>
  <c r="R199" i="48"/>
  <c r="R148" i="48"/>
  <c r="R186" i="48"/>
  <c r="R196" i="48"/>
  <c r="R40" i="48"/>
  <c r="R106" i="48"/>
  <c r="R91" i="48"/>
  <c r="R101" i="48"/>
  <c r="R135" i="48"/>
  <c r="R217" i="48"/>
  <c r="R132" i="48"/>
  <c r="R188" i="48"/>
  <c r="R214" i="48"/>
  <c r="R180" i="48"/>
  <c r="R119" i="48"/>
  <c r="R127" i="48"/>
  <c r="R125" i="48"/>
  <c r="R157" i="48"/>
  <c r="R149" i="48"/>
  <c r="R187" i="48"/>
  <c r="R115" i="48"/>
  <c r="R161" i="48"/>
  <c r="R46" i="48"/>
  <c r="R174" i="48"/>
  <c r="R173" i="48"/>
  <c r="R160" i="48"/>
  <c r="R133" i="48"/>
  <c r="R89" i="48"/>
  <c r="R116" i="48"/>
  <c r="R213" i="48"/>
  <c r="R154" i="48"/>
  <c r="R175" i="48"/>
  <c r="R134" i="48"/>
  <c r="R145" i="48"/>
  <c r="R151" i="48"/>
  <c r="R159" i="48"/>
  <c r="R129" i="48"/>
  <c r="R126" i="48"/>
  <c r="R162" i="48"/>
  <c r="R93" i="48"/>
  <c r="R146" i="48"/>
  <c r="R181" i="48"/>
  <c r="R103" i="48"/>
  <c r="R118" i="48"/>
  <c r="R122" i="48"/>
  <c r="R142" i="48"/>
  <c r="R203" i="48"/>
  <c r="R176" i="48"/>
  <c r="R153" i="48"/>
  <c r="R218" i="48"/>
  <c r="R202" i="48"/>
  <c r="R207" i="48"/>
  <c r="R128" i="48"/>
  <c r="R206" i="48"/>
  <c r="R113" i="48"/>
  <c r="R86" i="48"/>
  <c r="R108" i="48"/>
  <c r="R179" i="48"/>
  <c r="R29" i="48"/>
  <c r="R184" i="48"/>
  <c r="R209" i="48"/>
  <c r="R139" i="48"/>
  <c r="R112" i="48"/>
  <c r="R26" i="48"/>
  <c r="R205" i="48"/>
  <c r="R75" i="48"/>
  <c r="R131" i="48"/>
  <c r="R88" i="48"/>
  <c r="R152" i="48"/>
  <c r="R177" i="48"/>
  <c r="R183" i="48"/>
  <c r="R190" i="48"/>
  <c r="R182" i="48"/>
  <c r="R189" i="48"/>
  <c r="R156" i="48"/>
  <c r="R204" i="48"/>
  <c r="Q67" i="21"/>
  <c r="Q95" i="21"/>
  <c r="Q103" i="21" s="1"/>
  <c r="Q46" i="26" s="1"/>
  <c r="R107" i="48"/>
  <c r="Q168" i="48"/>
  <c r="Q163" i="48"/>
  <c r="R167" i="48"/>
  <c r="R105" i="48"/>
  <c r="R102" i="48"/>
  <c r="R98" i="48"/>
  <c r="Q106" i="21"/>
  <c r="Q114" i="21" s="1"/>
  <c r="Q62" i="26" s="1"/>
  <c r="Q78" i="21"/>
  <c r="R170" i="48"/>
  <c r="R90" i="25"/>
  <c r="R166" i="48"/>
  <c r="Q182" i="22"/>
  <c r="Q17" i="47" s="1"/>
  <c r="R52" i="26"/>
  <c r="R51" i="26"/>
  <c r="R37" i="26"/>
  <c r="R73" i="26"/>
  <c r="R34" i="26"/>
  <c r="R50" i="26"/>
  <c r="R58" i="26"/>
  <c r="R86" i="26"/>
  <c r="R53" i="26"/>
  <c r="R43" i="26"/>
  <c r="R69" i="26"/>
  <c r="R74" i="26"/>
  <c r="R41" i="26"/>
  <c r="R134" i="26"/>
  <c r="R65" i="26"/>
  <c r="R142" i="26"/>
  <c r="R92" i="26" s="1"/>
  <c r="R40" i="26"/>
  <c r="R35" i="26"/>
  <c r="R38" i="26"/>
  <c r="R49" i="26"/>
  <c r="R17" i="21"/>
  <c r="R30" i="21"/>
  <c r="R41" i="21"/>
  <c r="R13" i="25"/>
  <c r="R103" i="26" s="1"/>
  <c r="R126" i="25"/>
  <c r="R22" i="25"/>
  <c r="R115" i="26" s="1"/>
  <c r="R27" i="25"/>
  <c r="R120" i="26" s="1"/>
  <c r="R137" i="25"/>
  <c r="R136" i="25"/>
  <c r="R32" i="25"/>
  <c r="R132" i="26" s="1"/>
  <c r="R116" i="25"/>
  <c r="R12" i="25"/>
  <c r="R102" i="26" s="1"/>
  <c r="R127" i="25"/>
  <c r="R117" i="25"/>
  <c r="R26" i="25"/>
  <c r="R119" i="26" s="1"/>
  <c r="R25" i="48"/>
  <c r="R76" i="48" s="1"/>
  <c r="P144" i="21"/>
  <c r="R104" i="48"/>
  <c r="R87" i="48"/>
  <c r="R141" i="48" s="1"/>
  <c r="R114" i="48" s="1"/>
  <c r="P47" i="48"/>
  <c r="O65" i="48"/>
  <c r="O55" i="21"/>
  <c r="O91" i="21" s="1"/>
  <c r="P16" i="48"/>
  <c r="Q154" i="22"/>
  <c r="Q164" i="22"/>
  <c r="Q81" i="26" s="1"/>
  <c r="Q137" i="22"/>
  <c r="Q27" i="6"/>
  <c r="P118" i="25"/>
  <c r="P119" i="25"/>
  <c r="P121" i="25" s="1"/>
  <c r="Q153" i="26"/>
  <c r="P149" i="25"/>
  <c r="P31" i="25" s="1"/>
  <c r="P123" i="26" s="1"/>
  <c r="P147" i="25"/>
  <c r="N55" i="48"/>
  <c r="P128" i="25"/>
  <c r="P129" i="25"/>
  <c r="P131" i="25" s="1"/>
  <c r="P139" i="25"/>
  <c r="P141" i="25" s="1"/>
  <c r="P138" i="25"/>
  <c r="O57" i="48"/>
  <c r="O24" i="6" s="1"/>
  <c r="O62" i="48"/>
  <c r="O54" i="48"/>
  <c r="O16" i="6" s="1"/>
  <c r="O50" i="21"/>
  <c r="O86" i="21" s="1"/>
  <c r="R54" i="21" l="1"/>
  <c r="R90" i="21" s="1"/>
  <c r="R72" i="26"/>
  <c r="R68" i="26"/>
  <c r="R42" i="26"/>
  <c r="R85" i="26"/>
  <c r="R57" i="26"/>
  <c r="R136" i="26"/>
  <c r="R64" i="26"/>
  <c r="R56" i="26"/>
  <c r="R71" i="26"/>
  <c r="R54" i="26"/>
  <c r="R49" i="6"/>
  <c r="R87" i="6" s="1"/>
  <c r="R70" i="26"/>
  <c r="R59" i="26"/>
  <c r="R75" i="26"/>
  <c r="R66" i="26"/>
  <c r="R67" i="26"/>
  <c r="R55" i="26"/>
  <c r="R48" i="26"/>
  <c r="R135" i="26"/>
  <c r="R39" i="26"/>
  <c r="R179" i="22"/>
  <c r="R166" i="22"/>
  <c r="R78" i="26" s="1"/>
  <c r="R101" i="22"/>
  <c r="R117" i="22" s="1"/>
  <c r="R104" i="22"/>
  <c r="R105" i="22" s="1"/>
  <c r="R49" i="22"/>
  <c r="R51" i="22" s="1"/>
  <c r="R178" i="22"/>
  <c r="R133" i="22"/>
  <c r="R135" i="22" s="1"/>
  <c r="R170" i="22"/>
  <c r="R174" i="22" s="1"/>
  <c r="R172" i="22"/>
  <c r="R52" i="22"/>
  <c r="R53" i="22" s="1"/>
  <c r="R169" i="22"/>
  <c r="R24" i="25" s="1"/>
  <c r="R117" i="26" s="1"/>
  <c r="R168" i="22"/>
  <c r="R173" i="22" s="1"/>
  <c r="R35" i="22"/>
  <c r="R78" i="22"/>
  <c r="R79" i="22" s="1"/>
  <c r="R75" i="22"/>
  <c r="R91" i="22" s="1"/>
  <c r="R177" i="22"/>
  <c r="R14" i="25" s="1"/>
  <c r="R104" i="26" s="1"/>
  <c r="R16" i="22"/>
  <c r="R18" i="22" s="1"/>
  <c r="R351" i="1"/>
  <c r="R354" i="1" s="1"/>
  <c r="R159" i="26" s="1"/>
  <c r="R20" i="22"/>
  <c r="R37" i="22"/>
  <c r="AE7" i="49"/>
  <c r="AE7" i="52"/>
  <c r="AE7" i="6"/>
  <c r="AE7" i="53"/>
  <c r="AE7" i="51"/>
  <c r="AE7" i="48"/>
  <c r="AE82" i="48" s="1"/>
  <c r="AE7" i="44"/>
  <c r="R345" i="1"/>
  <c r="R348" i="1" s="1"/>
  <c r="AD10" i="6"/>
  <c r="AD9" i="6"/>
  <c r="AD8" i="6"/>
  <c r="AD89" i="6"/>
  <c r="AD20" i="6"/>
  <c r="N40" i="6"/>
  <c r="Q155" i="22"/>
  <c r="Q155" i="26" s="1"/>
  <c r="Q156" i="26" s="1"/>
  <c r="R120" i="22"/>
  <c r="P33" i="48"/>
  <c r="P54" i="48" s="1"/>
  <c r="P16" i="6" s="1"/>
  <c r="R169" i="48"/>
  <c r="R197" i="48" s="1"/>
  <c r="R219" i="48" s="1"/>
  <c r="R117" i="48"/>
  <c r="R136" i="48" s="1"/>
  <c r="P63" i="26"/>
  <c r="P60" i="26" s="1"/>
  <c r="P164" i="21"/>
  <c r="P76" i="44"/>
  <c r="P89" i="44" s="1"/>
  <c r="N38" i="6"/>
  <c r="R163" i="48"/>
  <c r="P57" i="48"/>
  <c r="P24" i="6" s="1"/>
  <c r="S330" i="1"/>
  <c r="S28" i="44"/>
  <c r="S30" i="44" s="1"/>
  <c r="S55" i="47"/>
  <c r="S329" i="1"/>
  <c r="S7" i="26"/>
  <c r="BG288" i="36"/>
  <c r="R70" i="21"/>
  <c r="R76" i="21"/>
  <c r="R112" i="21" s="1"/>
  <c r="R74" i="21"/>
  <c r="R110" i="21" s="1"/>
  <c r="R64" i="21"/>
  <c r="R100" i="21" s="1"/>
  <c r="R63" i="21"/>
  <c r="R99" i="21" s="1"/>
  <c r="R77" i="21"/>
  <c r="R113" i="21" s="1"/>
  <c r="R66" i="21"/>
  <c r="R102" i="21" s="1"/>
  <c r="R72" i="21"/>
  <c r="R108" i="21" s="1"/>
  <c r="R73" i="21"/>
  <c r="R109" i="21" s="1"/>
  <c r="R60" i="21"/>
  <c r="R96" i="21" s="1"/>
  <c r="R61" i="21"/>
  <c r="R97" i="21" s="1"/>
  <c r="R71" i="21"/>
  <c r="R107" i="21" s="1"/>
  <c r="R62" i="21"/>
  <c r="R98" i="21" s="1"/>
  <c r="R65" i="21"/>
  <c r="R101" i="21" s="1"/>
  <c r="R59" i="21"/>
  <c r="R75" i="21"/>
  <c r="R111" i="21" s="1"/>
  <c r="Q23" i="25"/>
  <c r="Q116" i="26" s="1"/>
  <c r="R92" i="25"/>
  <c r="R93" i="25" s="1"/>
  <c r="R91" i="25"/>
  <c r="R94" i="25" s="1"/>
  <c r="R8" i="48"/>
  <c r="R8" i="52"/>
  <c r="R8" i="53"/>
  <c r="R8" i="49"/>
  <c r="R8" i="51"/>
  <c r="R147" i="21"/>
  <c r="R148" i="21"/>
  <c r="R149" i="21"/>
  <c r="Q143" i="21"/>
  <c r="Q142" i="21"/>
  <c r="Q45" i="26"/>
  <c r="Q141" i="21"/>
  <c r="R42" i="48"/>
  <c r="S10" i="25"/>
  <c r="S103" i="25"/>
  <c r="Q150" i="21"/>
  <c r="Q152" i="21"/>
  <c r="Q151" i="21"/>
  <c r="Q61" i="26"/>
  <c r="Q196" i="48"/>
  <c r="Q219" i="48" s="1"/>
  <c r="Q15" i="48" s="1"/>
  <c r="R168" i="48"/>
  <c r="Q191" i="48"/>
  <c r="Q23" i="48" s="1"/>
  <c r="R109" i="48"/>
  <c r="R22" i="48" s="1"/>
  <c r="S10" i="26"/>
  <c r="S151" i="26"/>
  <c r="S99" i="26"/>
  <c r="R138" i="21"/>
  <c r="R140" i="21"/>
  <c r="R139" i="21"/>
  <c r="P47" i="26"/>
  <c r="P44" i="26" s="1"/>
  <c r="P163" i="21"/>
  <c r="P60" i="44"/>
  <c r="P73" i="44" s="1"/>
  <c r="R14" i="44"/>
  <c r="R33" i="26" s="1"/>
  <c r="P62" i="48"/>
  <c r="Q135" i="25"/>
  <c r="P185" i="26"/>
  <c r="O53" i="48"/>
  <c r="O55" i="48" s="1"/>
  <c r="P183" i="26"/>
  <c r="Q115" i="25"/>
  <c r="R136" i="22"/>
  <c r="R137" i="22" s="1"/>
  <c r="P181" i="26"/>
  <c r="Q145" i="25"/>
  <c r="Q125" i="25"/>
  <c r="P184" i="26"/>
  <c r="P61" i="48"/>
  <c r="P64" i="48"/>
  <c r="P24" i="48"/>
  <c r="P13" i="21"/>
  <c r="P18" i="21"/>
  <c r="P60" i="48"/>
  <c r="Q13" i="48"/>
  <c r="P63" i="48"/>
  <c r="AE20" i="6" l="1"/>
  <c r="R77" i="22"/>
  <c r="R180" i="22"/>
  <c r="R80" i="26" s="1"/>
  <c r="R175" i="22"/>
  <c r="R171" i="26" s="1"/>
  <c r="R161" i="22"/>
  <c r="R36" i="22"/>
  <c r="R38" i="22" s="1"/>
  <c r="R153" i="26" s="1"/>
  <c r="R25" i="25"/>
  <c r="R118" i="26" s="1"/>
  <c r="R162" i="22"/>
  <c r="R103" i="22"/>
  <c r="S104" i="22" s="1"/>
  <c r="S105" i="22" s="1"/>
  <c r="R122" i="22"/>
  <c r="R32" i="22"/>
  <c r="R121" i="22"/>
  <c r="R160" i="22"/>
  <c r="R65" i="22"/>
  <c r="R149" i="22"/>
  <c r="R166" i="26"/>
  <c r="R163" i="22"/>
  <c r="R153" i="22"/>
  <c r="S29" i="44"/>
  <c r="R13" i="44"/>
  <c r="R32" i="26" s="1"/>
  <c r="AE10" i="6"/>
  <c r="AE9" i="6"/>
  <c r="AE8" i="6"/>
  <c r="R152" i="22"/>
  <c r="AE89" i="6"/>
  <c r="AF7" i="51"/>
  <c r="AF7" i="53"/>
  <c r="AF7" i="49"/>
  <c r="AF7" i="52"/>
  <c r="AF7" i="6"/>
  <c r="AF7" i="44"/>
  <c r="AF7" i="48"/>
  <c r="AF82" i="48" s="1"/>
  <c r="N25" i="6"/>
  <c r="N43" i="6"/>
  <c r="O38" i="6" s="1"/>
  <c r="S78" i="22"/>
  <c r="S79" i="22" s="1"/>
  <c r="S168" i="48"/>
  <c r="P35" i="48"/>
  <c r="S88" i="48"/>
  <c r="S86" i="48"/>
  <c r="Q47" i="48"/>
  <c r="Q62" i="48" s="1"/>
  <c r="P65" i="48"/>
  <c r="S169" i="48"/>
  <c r="S104" i="48"/>
  <c r="Q153" i="21"/>
  <c r="Q164" i="21" s="1"/>
  <c r="Q144" i="21"/>
  <c r="Q163" i="21" s="1"/>
  <c r="R95" i="25"/>
  <c r="S98" i="48"/>
  <c r="O25" i="6"/>
  <c r="R191" i="48"/>
  <c r="R23" i="48" s="1"/>
  <c r="R30" i="48" s="1"/>
  <c r="Q30" i="48"/>
  <c r="S89" i="25"/>
  <c r="S90" i="25"/>
  <c r="S16" i="22"/>
  <c r="S170" i="22"/>
  <c r="S179" i="22"/>
  <c r="S101" i="22"/>
  <c r="S169" i="22"/>
  <c r="S24" i="25" s="1"/>
  <c r="S117" i="26" s="1"/>
  <c r="S49" i="22"/>
  <c r="S178" i="22"/>
  <c r="S177" i="22"/>
  <c r="S166" i="22"/>
  <c r="S78" i="26" s="1"/>
  <c r="S75" i="22"/>
  <c r="S91" i="22" s="1"/>
  <c r="S168" i="22"/>
  <c r="S173" i="22" s="1"/>
  <c r="S52" i="22"/>
  <c r="S133" i="22"/>
  <c r="R15" i="48"/>
  <c r="R94" i="6"/>
  <c r="R98" i="6"/>
  <c r="R115" i="6" s="1"/>
  <c r="R78" i="21"/>
  <c r="R106" i="21"/>
  <c r="R114" i="21" s="1"/>
  <c r="R62" i="26" s="1"/>
  <c r="S83" i="6"/>
  <c r="S54" i="6"/>
  <c r="S86" i="6"/>
  <c r="S71" i="6"/>
  <c r="S53" i="6"/>
  <c r="S79" i="6"/>
  <c r="S70" i="6"/>
  <c r="S66" i="6"/>
  <c r="S77" i="6"/>
  <c r="S80" i="6"/>
  <c r="S57" i="6"/>
  <c r="S67" i="6"/>
  <c r="S78" i="6"/>
  <c r="S68" i="6"/>
  <c r="S28" i="47"/>
  <c r="S84" i="6"/>
  <c r="S72" i="6"/>
  <c r="S62" i="6"/>
  <c r="S69" i="6"/>
  <c r="S56" i="6"/>
  <c r="S63" i="6"/>
  <c r="S82" i="6"/>
  <c r="S50" i="6"/>
  <c r="S75" i="6"/>
  <c r="S73" i="6"/>
  <c r="S59" i="6"/>
  <c r="S76" i="6"/>
  <c r="S58" i="6"/>
  <c r="S65" i="6"/>
  <c r="S52" i="6"/>
  <c r="S51" i="6"/>
  <c r="S81" i="6"/>
  <c r="S85" i="6"/>
  <c r="S60" i="6"/>
  <c r="S55" i="6"/>
  <c r="S64" i="6"/>
  <c r="S41" i="21"/>
  <c r="S17" i="21"/>
  <c r="S30" i="21"/>
  <c r="R67" i="21"/>
  <c r="R95" i="21"/>
  <c r="R103" i="21" s="1"/>
  <c r="R46" i="26" s="1"/>
  <c r="T328" i="1"/>
  <c r="T7" i="25"/>
  <c r="S48" i="26"/>
  <c r="S85" i="26"/>
  <c r="S75" i="26"/>
  <c r="S59" i="26"/>
  <c r="S53" i="26"/>
  <c r="S64" i="26"/>
  <c r="S69" i="26"/>
  <c r="S38" i="26"/>
  <c r="S58" i="26"/>
  <c r="S70" i="26"/>
  <c r="S51" i="26"/>
  <c r="S49" i="26"/>
  <c r="S41" i="26"/>
  <c r="S66" i="26"/>
  <c r="S42" i="26"/>
  <c r="S50" i="26"/>
  <c r="S37" i="26"/>
  <c r="S35" i="26"/>
  <c r="S134" i="26"/>
  <c r="S43" i="26"/>
  <c r="S73" i="26"/>
  <c r="S67" i="26"/>
  <c r="S52" i="26"/>
  <c r="S36" i="26"/>
  <c r="S56" i="26"/>
  <c r="S40" i="26"/>
  <c r="S71" i="26"/>
  <c r="S72" i="26"/>
  <c r="S57" i="26"/>
  <c r="S136" i="26"/>
  <c r="S135" i="26"/>
  <c r="S86" i="26"/>
  <c r="S74" i="26"/>
  <c r="S54" i="26"/>
  <c r="S68" i="26"/>
  <c r="S142" i="26"/>
  <c r="S92" i="26" s="1"/>
  <c r="S39" i="26"/>
  <c r="S55" i="26"/>
  <c r="S34" i="26"/>
  <c r="S65" i="26"/>
  <c r="S136" i="25"/>
  <c r="S22" i="25"/>
  <c r="S115" i="26" s="1"/>
  <c r="S117" i="25"/>
  <c r="S26" i="25"/>
  <c r="S119" i="26" s="1"/>
  <c r="S12" i="25"/>
  <c r="S102" i="26" s="1"/>
  <c r="S32" i="25"/>
  <c r="S132" i="26" s="1"/>
  <c r="S27" i="25"/>
  <c r="S120" i="26" s="1"/>
  <c r="S137" i="25"/>
  <c r="S126" i="25"/>
  <c r="S116" i="25"/>
  <c r="S13" i="25"/>
  <c r="S103" i="26" s="1"/>
  <c r="S127" i="25"/>
  <c r="S19" i="22"/>
  <c r="R28" i="48"/>
  <c r="Q18" i="48"/>
  <c r="S59" i="47"/>
  <c r="S62" i="47" s="1"/>
  <c r="S8" i="21"/>
  <c r="S93" i="48"/>
  <c r="S116" i="48"/>
  <c r="S156" i="48"/>
  <c r="S202" i="48"/>
  <c r="S151" i="48"/>
  <c r="S190" i="48"/>
  <c r="S183" i="48"/>
  <c r="S114" i="48"/>
  <c r="S119" i="48"/>
  <c r="S213" i="48"/>
  <c r="S153" i="48"/>
  <c r="S128" i="48"/>
  <c r="S196" i="48"/>
  <c r="S140" i="48"/>
  <c r="S121" i="48"/>
  <c r="S147" i="48"/>
  <c r="S179" i="48"/>
  <c r="S166" i="48"/>
  <c r="S105" i="48"/>
  <c r="S175" i="48"/>
  <c r="S122" i="48"/>
  <c r="S162" i="48"/>
  <c r="S187" i="48"/>
  <c r="S182" i="48"/>
  <c r="S211" i="48"/>
  <c r="S180" i="48"/>
  <c r="S159" i="48"/>
  <c r="S189" i="48"/>
  <c r="S113" i="48"/>
  <c r="S99" i="48"/>
  <c r="S107" i="48"/>
  <c r="S102" i="48"/>
  <c r="S87" i="48"/>
  <c r="S25" i="48"/>
  <c r="S76" i="48" s="1"/>
  <c r="S101" i="48"/>
  <c r="S108" i="48"/>
  <c r="S157" i="48"/>
  <c r="S40" i="48"/>
  <c r="S209" i="48"/>
  <c r="S154" i="48"/>
  <c r="S215" i="48"/>
  <c r="S149" i="48"/>
  <c r="S46" i="48"/>
  <c r="S123" i="48"/>
  <c r="S125" i="48"/>
  <c r="S206" i="48"/>
  <c r="S184" i="48"/>
  <c r="S207" i="48"/>
  <c r="S158" i="48"/>
  <c r="S212" i="48"/>
  <c r="S97" i="48"/>
  <c r="S90" i="48"/>
  <c r="S106" i="48"/>
  <c r="S103" i="48"/>
  <c r="S89" i="48"/>
  <c r="S199" i="48"/>
  <c r="S177" i="48"/>
  <c r="S200" i="48"/>
  <c r="S124" i="48"/>
  <c r="S214" i="48"/>
  <c r="S203" i="48"/>
  <c r="S75" i="48"/>
  <c r="S132" i="48"/>
  <c r="S188" i="48"/>
  <c r="S148" i="48"/>
  <c r="S205" i="48"/>
  <c r="S133" i="48"/>
  <c r="S92" i="48"/>
  <c r="S174" i="48"/>
  <c r="S210" i="48"/>
  <c r="S218" i="48"/>
  <c r="S130" i="48"/>
  <c r="S129" i="48"/>
  <c r="S94" i="48"/>
  <c r="S144" i="48"/>
  <c r="S134" i="48"/>
  <c r="S143" i="48"/>
  <c r="S150" i="48"/>
  <c r="S135" i="48"/>
  <c r="S127" i="48"/>
  <c r="S217" i="48"/>
  <c r="S95" i="48"/>
  <c r="S85" i="48"/>
  <c r="S26" i="48"/>
  <c r="S91" i="48"/>
  <c r="S171" i="48"/>
  <c r="S120" i="48"/>
  <c r="S155" i="48"/>
  <c r="S208" i="48"/>
  <c r="S152" i="48"/>
  <c r="S161" i="48"/>
  <c r="S176" i="48"/>
  <c r="S131" i="48"/>
  <c r="S96" i="48"/>
  <c r="S100" i="48"/>
  <c r="S172" i="48"/>
  <c r="S29" i="48"/>
  <c r="S160" i="48"/>
  <c r="S204" i="48"/>
  <c r="S117" i="48"/>
  <c r="S197" i="48"/>
  <c r="S181" i="48"/>
  <c r="S126" i="48"/>
  <c r="S185" i="48"/>
  <c r="S186" i="48"/>
  <c r="S146" i="48"/>
  <c r="S178" i="48"/>
  <c r="S216" i="48"/>
  <c r="S141" i="48"/>
  <c r="S49" i="48"/>
  <c r="S51" i="48" s="1"/>
  <c r="S339" i="1"/>
  <c r="S342" i="1" s="1"/>
  <c r="S170" i="26" s="1"/>
  <c r="S351" i="1"/>
  <c r="S354" i="1" s="1"/>
  <c r="S345" i="1"/>
  <c r="S348" i="1" s="1"/>
  <c r="Q19" i="6"/>
  <c r="S136" i="22"/>
  <c r="S137" i="22" s="1"/>
  <c r="Q16" i="48"/>
  <c r="Q129" i="25"/>
  <c r="Q131" i="25" s="1"/>
  <c r="Q128" i="25"/>
  <c r="P53" i="48"/>
  <c r="P55" i="48" s="1"/>
  <c r="Q138" i="25"/>
  <c r="Q139" i="25"/>
  <c r="Q141" i="25" s="1"/>
  <c r="P55" i="21"/>
  <c r="P91" i="21" s="1"/>
  <c r="Q119" i="25"/>
  <c r="Q121" i="25" s="1"/>
  <c r="Q118" i="25"/>
  <c r="P50" i="21"/>
  <c r="P86" i="21" s="1"/>
  <c r="Q147" i="25"/>
  <c r="Q149" i="25"/>
  <c r="Q31" i="25" s="1"/>
  <c r="Q123" i="26" s="1"/>
  <c r="R154" i="22"/>
  <c r="R164" i="22"/>
  <c r="R81" i="26" s="1"/>
  <c r="S172" i="22" l="1"/>
  <c r="R123" i="22"/>
  <c r="S49" i="6"/>
  <c r="S87" i="6" s="1"/>
  <c r="R182" i="22"/>
  <c r="R17" i="47" s="1"/>
  <c r="R155" i="22"/>
  <c r="S152" i="22" s="1"/>
  <c r="S35" i="22"/>
  <c r="AF9" i="6"/>
  <c r="AF10" i="6"/>
  <c r="AF8" i="6"/>
  <c r="AF89" i="6"/>
  <c r="AG7" i="52"/>
  <c r="AG7" i="53"/>
  <c r="AG7" i="51"/>
  <c r="AG7" i="49"/>
  <c r="AG7" i="48"/>
  <c r="AG82" i="48" s="1"/>
  <c r="AG7" i="6"/>
  <c r="AG7" i="44"/>
  <c r="AF20" i="6"/>
  <c r="N168" i="26"/>
  <c r="Q57" i="48"/>
  <c r="Q24" i="6" s="1"/>
  <c r="Q63" i="26"/>
  <c r="Q60" i="26" s="1"/>
  <c r="Q76" i="44"/>
  <c r="Q89" i="44" s="1"/>
  <c r="S142" i="48"/>
  <c r="S170" i="48" s="1"/>
  <c r="S198" i="48" s="1"/>
  <c r="Q60" i="44"/>
  <c r="Q73" i="44" s="1"/>
  <c r="Q47" i="26"/>
  <c r="Q44" i="26" s="1"/>
  <c r="R18" i="48"/>
  <c r="O40" i="6"/>
  <c r="O43" i="6" s="1"/>
  <c r="O168" i="26" s="1"/>
  <c r="S159" i="26"/>
  <c r="S63" i="21"/>
  <c r="S99" i="21" s="1"/>
  <c r="S61" i="21"/>
  <c r="S97" i="21" s="1"/>
  <c r="S59" i="21"/>
  <c r="S64" i="21"/>
  <c r="S100" i="21" s="1"/>
  <c r="S73" i="21"/>
  <c r="S109" i="21" s="1"/>
  <c r="S72" i="21"/>
  <c r="S108" i="21" s="1"/>
  <c r="S60" i="21"/>
  <c r="S96" i="21" s="1"/>
  <c r="S70" i="21"/>
  <c r="S77" i="21"/>
  <c r="S113" i="21" s="1"/>
  <c r="S75" i="21"/>
  <c r="S111" i="21" s="1"/>
  <c r="S76" i="21"/>
  <c r="S112" i="21" s="1"/>
  <c r="S62" i="21"/>
  <c r="S98" i="21" s="1"/>
  <c r="S74" i="21"/>
  <c r="S110" i="21" s="1"/>
  <c r="S71" i="21"/>
  <c r="S107" i="21" s="1"/>
  <c r="S66" i="21"/>
  <c r="S102" i="21" s="1"/>
  <c r="S65" i="21"/>
  <c r="S101" i="21" s="1"/>
  <c r="T330" i="1"/>
  <c r="T339" i="1" s="1"/>
  <c r="T342" i="1" s="1"/>
  <c r="T170" i="26" s="1"/>
  <c r="T28" i="44"/>
  <c r="T29" i="44" s="1"/>
  <c r="S54" i="21"/>
  <c r="S90" i="21" s="1"/>
  <c r="R152" i="21"/>
  <c r="R61" i="26"/>
  <c r="R150" i="21"/>
  <c r="R151" i="21"/>
  <c r="S153" i="22"/>
  <c r="S149" i="22"/>
  <c r="S135" i="22"/>
  <c r="S163" i="22"/>
  <c r="S160" i="22"/>
  <c r="S32" i="22"/>
  <c r="S18" i="22"/>
  <c r="S36" i="22"/>
  <c r="S161" i="22"/>
  <c r="S14" i="44"/>
  <c r="S33" i="26" s="1"/>
  <c r="S145" i="48"/>
  <c r="S173" i="48" s="1"/>
  <c r="S201" i="48" s="1"/>
  <c r="S42" i="48"/>
  <c r="S13" i="44"/>
  <c r="S32" i="26" s="1"/>
  <c r="S194" i="48"/>
  <c r="S8" i="52"/>
  <c r="S8" i="49"/>
  <c r="S8" i="53"/>
  <c r="S8" i="51"/>
  <c r="S8" i="48"/>
  <c r="S77" i="22"/>
  <c r="S20" i="22"/>
  <c r="S37" i="22"/>
  <c r="T7" i="26"/>
  <c r="T89" i="25"/>
  <c r="T329" i="1"/>
  <c r="BH288" i="36"/>
  <c r="R45" i="26"/>
  <c r="R142" i="21"/>
  <c r="R143" i="21"/>
  <c r="R141" i="21"/>
  <c r="S139" i="21"/>
  <c r="S138" i="21"/>
  <c r="S140" i="21"/>
  <c r="S147" i="21"/>
  <c r="S148" i="21"/>
  <c r="S149" i="21"/>
  <c r="S53" i="22"/>
  <c r="S122" i="22"/>
  <c r="S180" i="22"/>
  <c r="S80" i="26" s="1"/>
  <c r="S14" i="25"/>
  <c r="S104" i="26" s="1"/>
  <c r="S103" i="22"/>
  <c r="S117" i="22"/>
  <c r="S92" i="25"/>
  <c r="S93" i="25" s="1"/>
  <c r="S91" i="25"/>
  <c r="Q77" i="48"/>
  <c r="Q31" i="48"/>
  <c r="Q32" i="48" s="1"/>
  <c r="Q33" i="48" s="1"/>
  <c r="S120" i="22"/>
  <c r="R154" i="26"/>
  <c r="S51" i="22"/>
  <c r="S121" i="22"/>
  <c r="S162" i="22"/>
  <c r="S65" i="22"/>
  <c r="S174" i="22"/>
  <c r="S25" i="25"/>
  <c r="S118" i="26" s="1"/>
  <c r="S166" i="26"/>
  <c r="S139" i="48"/>
  <c r="S109" i="48"/>
  <c r="S22" i="48" s="1"/>
  <c r="T99" i="26"/>
  <c r="T10" i="26"/>
  <c r="T151" i="26"/>
  <c r="T103" i="25"/>
  <c r="T10" i="25"/>
  <c r="R27" i="6"/>
  <c r="R77" i="48"/>
  <c r="R31" i="48"/>
  <c r="R32" i="48" s="1"/>
  <c r="R33" i="48" s="1"/>
  <c r="R145" i="25"/>
  <c r="Q181" i="26"/>
  <c r="Q184" i="26"/>
  <c r="R125" i="25"/>
  <c r="Q183" i="26"/>
  <c r="R115" i="25"/>
  <c r="R135" i="25"/>
  <c r="Q185" i="26"/>
  <c r="Q53" i="48"/>
  <c r="Q13" i="21"/>
  <c r="Q61" i="48"/>
  <c r="R13" i="48"/>
  <c r="Q60" i="48"/>
  <c r="Q18" i="21"/>
  <c r="Q63" i="48"/>
  <c r="Q24" i="48"/>
  <c r="Q64" i="48"/>
  <c r="S154" i="22"/>
  <c r="S164" i="22"/>
  <c r="S81" i="26" s="1"/>
  <c r="S175" i="22" l="1"/>
  <c r="T172" i="22" s="1"/>
  <c r="R155" i="26"/>
  <c r="R156" i="26" s="1"/>
  <c r="R23" i="25"/>
  <c r="R116" i="26" s="1"/>
  <c r="T59" i="47"/>
  <c r="T61" i="47" s="1"/>
  <c r="T13" i="25"/>
  <c r="T103" i="26" s="1"/>
  <c r="AG10" i="6"/>
  <c r="AG9" i="6"/>
  <c r="AG8" i="6"/>
  <c r="AG89" i="6"/>
  <c r="I89" i="6" s="1"/>
  <c r="AG20" i="6"/>
  <c r="I20" i="6" s="1"/>
  <c r="T87" i="48"/>
  <c r="S115" i="48"/>
  <c r="T108" i="48"/>
  <c r="T90" i="25"/>
  <c r="T92" i="25" s="1"/>
  <c r="T93" i="25" s="1"/>
  <c r="T85" i="48"/>
  <c r="T102" i="48"/>
  <c r="S118" i="48"/>
  <c r="P38" i="6"/>
  <c r="S38" i="22"/>
  <c r="S153" i="26" s="1"/>
  <c r="T175" i="48"/>
  <c r="T25" i="48"/>
  <c r="T76" i="48" s="1"/>
  <c r="T30" i="44"/>
  <c r="T26" i="48"/>
  <c r="S98" i="6"/>
  <c r="S115" i="6" s="1"/>
  <c r="S94" i="6"/>
  <c r="S171" i="26"/>
  <c r="T52" i="22"/>
  <c r="R78" i="48"/>
  <c r="R102" i="6" s="1"/>
  <c r="Q12" i="26"/>
  <c r="Q66" i="48"/>
  <c r="T104" i="22"/>
  <c r="T105" i="22" s="1"/>
  <c r="R153" i="21"/>
  <c r="T86" i="26"/>
  <c r="T40" i="26"/>
  <c r="T34" i="26"/>
  <c r="T43" i="26"/>
  <c r="T54" i="26"/>
  <c r="T66" i="26"/>
  <c r="T135" i="26"/>
  <c r="T53" i="26"/>
  <c r="T57" i="26"/>
  <c r="T55" i="26"/>
  <c r="T134" i="26"/>
  <c r="T41" i="26"/>
  <c r="T67" i="26"/>
  <c r="T50" i="26"/>
  <c r="T48" i="26"/>
  <c r="T39" i="26"/>
  <c r="T71" i="26"/>
  <c r="T73" i="26"/>
  <c r="T74" i="26"/>
  <c r="T37" i="26"/>
  <c r="T69" i="26"/>
  <c r="T42" i="26"/>
  <c r="T142" i="26"/>
  <c r="T92" i="26" s="1"/>
  <c r="T35" i="26"/>
  <c r="T36" i="26"/>
  <c r="T85" i="26"/>
  <c r="T75" i="26"/>
  <c r="T136" i="26"/>
  <c r="T68" i="26"/>
  <c r="T51" i="26"/>
  <c r="T49" i="26"/>
  <c r="T65" i="26"/>
  <c r="T72" i="26"/>
  <c r="T56" i="26"/>
  <c r="T59" i="26"/>
  <c r="T52" i="26"/>
  <c r="T58" i="26"/>
  <c r="T38" i="26"/>
  <c r="T64" i="26"/>
  <c r="T70" i="26"/>
  <c r="S95" i="21"/>
  <c r="S103" i="21" s="1"/>
  <c r="S46" i="26" s="1"/>
  <c r="S67" i="21"/>
  <c r="S123" i="22"/>
  <c r="S182" i="22"/>
  <c r="T75" i="22"/>
  <c r="T168" i="22"/>
  <c r="T173" i="22" s="1"/>
  <c r="T133" i="22"/>
  <c r="T170" i="22"/>
  <c r="T179" i="22"/>
  <c r="T178" i="22"/>
  <c r="T177" i="22"/>
  <c r="T16" i="22"/>
  <c r="T18" i="22" s="1"/>
  <c r="T166" i="22"/>
  <c r="T78" i="26" s="1"/>
  <c r="T169" i="22"/>
  <c r="T24" i="25" s="1"/>
  <c r="T117" i="26" s="1"/>
  <c r="T49" i="22"/>
  <c r="T101" i="22"/>
  <c r="S106" i="21"/>
  <c r="S114" i="21" s="1"/>
  <c r="S62" i="26" s="1"/>
  <c r="S78" i="21"/>
  <c r="S163" i="48"/>
  <c r="S167" i="48"/>
  <c r="T136" i="22"/>
  <c r="T137" i="22" s="1"/>
  <c r="S94" i="25"/>
  <c r="S95" i="25" s="1"/>
  <c r="S110" i="25" s="1"/>
  <c r="T96" i="48"/>
  <c r="T30" i="21"/>
  <c r="T41" i="21"/>
  <c r="T17" i="21"/>
  <c r="T90" i="48"/>
  <c r="T89" i="48"/>
  <c r="S28" i="48"/>
  <c r="S155" i="22"/>
  <c r="T152" i="22" s="1"/>
  <c r="S112" i="48"/>
  <c r="T345" i="1"/>
  <c r="T348" i="1" s="1"/>
  <c r="T351" i="1"/>
  <c r="T354" i="1" s="1"/>
  <c r="R47" i="48"/>
  <c r="Q35" i="48"/>
  <c r="Q65" i="48"/>
  <c r="Q54" i="48"/>
  <c r="Q16" i="6" s="1"/>
  <c r="R144" i="21"/>
  <c r="U328" i="1"/>
  <c r="U7" i="25"/>
  <c r="T72" i="6"/>
  <c r="T81" i="6"/>
  <c r="T80" i="6"/>
  <c r="T51" i="6"/>
  <c r="T76" i="6"/>
  <c r="T75" i="6"/>
  <c r="T65" i="6"/>
  <c r="T86" i="6"/>
  <c r="T66" i="6"/>
  <c r="T50" i="6"/>
  <c r="T58" i="6"/>
  <c r="T59" i="6"/>
  <c r="T71" i="6"/>
  <c r="T56" i="6"/>
  <c r="T77" i="6"/>
  <c r="T68" i="6"/>
  <c r="T85" i="6"/>
  <c r="T82" i="6"/>
  <c r="T55" i="6"/>
  <c r="T69" i="6"/>
  <c r="T67" i="6"/>
  <c r="T57" i="6"/>
  <c r="T63" i="6"/>
  <c r="T78" i="6"/>
  <c r="T70" i="6"/>
  <c r="T60" i="6"/>
  <c r="T73" i="6"/>
  <c r="T49" i="6"/>
  <c r="T52" i="6"/>
  <c r="T62" i="6"/>
  <c r="T53" i="6"/>
  <c r="T79" i="6"/>
  <c r="T83" i="6"/>
  <c r="T28" i="47"/>
  <c r="T64" i="6"/>
  <c r="T84" i="6"/>
  <c r="T54" i="6"/>
  <c r="T8" i="21"/>
  <c r="T78" i="22"/>
  <c r="T79" i="22" s="1"/>
  <c r="T19" i="22"/>
  <c r="T104" i="48"/>
  <c r="T95" i="48"/>
  <c r="T130" i="48"/>
  <c r="T142" i="48"/>
  <c r="T200" i="48"/>
  <c r="T159" i="48"/>
  <c r="T133" i="48"/>
  <c r="T148" i="48"/>
  <c r="T177" i="48"/>
  <c r="T114" i="48"/>
  <c r="T155" i="48"/>
  <c r="T211" i="48"/>
  <c r="T182" i="48"/>
  <c r="T186" i="48"/>
  <c r="T93" i="48"/>
  <c r="T105" i="48"/>
  <c r="T213" i="48"/>
  <c r="T154" i="48"/>
  <c r="T139" i="48"/>
  <c r="T195" i="48"/>
  <c r="T179" i="48"/>
  <c r="T157" i="48"/>
  <c r="T212" i="48"/>
  <c r="T216" i="48"/>
  <c r="T209" i="48"/>
  <c r="T181" i="48"/>
  <c r="T214" i="48"/>
  <c r="T126" i="48"/>
  <c r="T127" i="48"/>
  <c r="T129" i="48"/>
  <c r="T92" i="48"/>
  <c r="T118" i="48"/>
  <c r="T75" i="48"/>
  <c r="T201" i="48"/>
  <c r="T46" i="48"/>
  <c r="T145" i="48"/>
  <c r="T160" i="48"/>
  <c r="T185" i="48"/>
  <c r="T158" i="48"/>
  <c r="T117" i="48"/>
  <c r="T190" i="48"/>
  <c r="T153" i="48"/>
  <c r="T187" i="48"/>
  <c r="T150" i="48"/>
  <c r="T162" i="48"/>
  <c r="T122" i="48"/>
  <c r="T131" i="48"/>
  <c r="T208" i="48"/>
  <c r="T197" i="48"/>
  <c r="T180" i="48"/>
  <c r="T210" i="48"/>
  <c r="T151" i="48"/>
  <c r="T120" i="48"/>
  <c r="T161" i="48"/>
  <c r="T176" i="48"/>
  <c r="T169" i="48"/>
  <c r="T207" i="48"/>
  <c r="T134" i="48"/>
  <c r="T136" i="25"/>
  <c r="T99" i="48"/>
  <c r="T172" i="48"/>
  <c r="R65" i="48"/>
  <c r="R35" i="48"/>
  <c r="S47" i="48"/>
  <c r="R12" i="26"/>
  <c r="R66" i="48"/>
  <c r="S78" i="48"/>
  <c r="S102" i="6" s="1"/>
  <c r="R149" i="25"/>
  <c r="R31" i="25" s="1"/>
  <c r="R123" i="26" s="1"/>
  <c r="R147" i="25"/>
  <c r="Q55" i="21"/>
  <c r="Q50" i="21"/>
  <c r="R139" i="25"/>
  <c r="R141" i="25" s="1"/>
  <c r="R138" i="25"/>
  <c r="R16" i="48"/>
  <c r="R119" i="25"/>
  <c r="R121" i="25" s="1"/>
  <c r="R118" i="25"/>
  <c r="R128" i="25"/>
  <c r="R129" i="25"/>
  <c r="R131" i="25" s="1"/>
  <c r="T91" i="25" l="1"/>
  <c r="T173" i="48"/>
  <c r="T101" i="48"/>
  <c r="T12" i="25"/>
  <c r="T102" i="26" s="1"/>
  <c r="T27" i="25"/>
  <c r="T120" i="26" s="1"/>
  <c r="T126" i="25"/>
  <c r="T147" i="48"/>
  <c r="T205" i="48"/>
  <c r="T40" i="48"/>
  <c r="T206" i="48"/>
  <c r="T112" i="48"/>
  <c r="T183" i="48"/>
  <c r="T178" i="48"/>
  <c r="T184" i="48"/>
  <c r="T188" i="48"/>
  <c r="T115" i="48"/>
  <c r="T204" i="48"/>
  <c r="T91" i="48"/>
  <c r="T97" i="48"/>
  <c r="T103" i="48"/>
  <c r="T106" i="48"/>
  <c r="T127" i="25"/>
  <c r="T116" i="25"/>
  <c r="T137" i="25"/>
  <c r="T22" i="25"/>
  <c r="T115" i="26" s="1"/>
  <c r="T26" i="25"/>
  <c r="T119" i="26" s="1"/>
  <c r="T117" i="25"/>
  <c r="T32" i="25"/>
  <c r="T132" i="26" s="1"/>
  <c r="T166" i="48"/>
  <c r="T94" i="25"/>
  <c r="T95" i="25" s="1"/>
  <c r="T110" i="25" s="1"/>
  <c r="T98" i="48"/>
  <c r="T203" i="48"/>
  <c r="T88" i="48"/>
  <c r="T170" i="48"/>
  <c r="T132" i="48"/>
  <c r="T156" i="48"/>
  <c r="T218" i="48"/>
  <c r="T123" i="48"/>
  <c r="T198" i="48"/>
  <c r="T217" i="48"/>
  <c r="T121" i="48"/>
  <c r="T215" i="48"/>
  <c r="T149" i="48"/>
  <c r="T194" i="48"/>
  <c r="T128" i="48"/>
  <c r="T135" i="48"/>
  <c r="T152" i="48"/>
  <c r="T29" i="48"/>
  <c r="T189" i="48"/>
  <c r="T141" i="48"/>
  <c r="T124" i="48"/>
  <c r="T125" i="48"/>
  <c r="T144" i="48"/>
  <c r="T86" i="48"/>
  <c r="T140" i="48" s="1"/>
  <c r="T113" i="48" s="1"/>
  <c r="T49" i="48"/>
  <c r="T51" i="48" s="1"/>
  <c r="T100" i="48"/>
  <c r="T94" i="48"/>
  <c r="T107" i="48"/>
  <c r="T55" i="47"/>
  <c r="S136" i="48"/>
  <c r="T35" i="22"/>
  <c r="T164" i="22"/>
  <c r="T81" i="26" s="1"/>
  <c r="T154" i="22"/>
  <c r="Q40" i="6"/>
  <c r="T42" i="48"/>
  <c r="T14" i="44"/>
  <c r="T33" i="26" s="1"/>
  <c r="T146" i="48"/>
  <c r="T70" i="21"/>
  <c r="T59" i="21"/>
  <c r="T64" i="21"/>
  <c r="T100" i="21" s="1"/>
  <c r="T66" i="21"/>
  <c r="T102" i="21" s="1"/>
  <c r="T65" i="21"/>
  <c r="T101" i="21" s="1"/>
  <c r="T75" i="21"/>
  <c r="T111" i="21" s="1"/>
  <c r="T74" i="21"/>
  <c r="T110" i="21" s="1"/>
  <c r="T61" i="21"/>
  <c r="T97" i="21" s="1"/>
  <c r="T77" i="21"/>
  <c r="T113" i="21" s="1"/>
  <c r="T72" i="21"/>
  <c r="T108" i="21" s="1"/>
  <c r="T73" i="21"/>
  <c r="T109" i="21" s="1"/>
  <c r="T63" i="21"/>
  <c r="T99" i="21" s="1"/>
  <c r="T76" i="21"/>
  <c r="T112" i="21" s="1"/>
  <c r="T60" i="21"/>
  <c r="T96" i="21" s="1"/>
  <c r="T71" i="21"/>
  <c r="T107" i="21" s="1"/>
  <c r="T62" i="21"/>
  <c r="T98" i="21" s="1"/>
  <c r="R19" i="6"/>
  <c r="T143" i="48"/>
  <c r="T171" i="48" s="1"/>
  <c r="T54" i="21"/>
  <c r="T90" i="21" s="1"/>
  <c r="T138" i="21"/>
  <c r="T139" i="21"/>
  <c r="T140" i="21"/>
  <c r="S152" i="21"/>
  <c r="S151" i="21"/>
  <c r="S61" i="26"/>
  <c r="S150" i="21"/>
  <c r="Q55" i="48"/>
  <c r="U103" i="25"/>
  <c r="U10" i="25"/>
  <c r="T13" i="44"/>
  <c r="T32" i="26" s="1"/>
  <c r="T148" i="21"/>
  <c r="T147" i="21"/>
  <c r="T149" i="21"/>
  <c r="S195" i="48"/>
  <c r="S219" i="48" s="1"/>
  <c r="T167" i="48"/>
  <c r="S191" i="48"/>
  <c r="S23" i="48" s="1"/>
  <c r="T20" i="22"/>
  <c r="T37" i="22"/>
  <c r="T8" i="53"/>
  <c r="T8" i="49"/>
  <c r="T8" i="48"/>
  <c r="T8" i="51"/>
  <c r="T8" i="52"/>
  <c r="T159" i="26"/>
  <c r="T91" i="22"/>
  <c r="T77" i="22"/>
  <c r="R164" i="21"/>
  <c r="R76" i="44"/>
  <c r="R89" i="44" s="1"/>
  <c r="R63" i="26"/>
  <c r="R60" i="26" s="1"/>
  <c r="T122" i="22"/>
  <c r="T53" i="22"/>
  <c r="T87" i="6"/>
  <c r="U99" i="26"/>
  <c r="U10" i="26"/>
  <c r="U151" i="26"/>
  <c r="R57" i="48"/>
  <c r="R24" i="6" s="1"/>
  <c r="R62" i="48"/>
  <c r="T121" i="22"/>
  <c r="T51" i="22"/>
  <c r="T65" i="22"/>
  <c r="T162" i="22"/>
  <c r="T180" i="22"/>
  <c r="T80" i="26" s="1"/>
  <c r="T14" i="25"/>
  <c r="T104" i="26" s="1"/>
  <c r="T149" i="22"/>
  <c r="T163" i="22"/>
  <c r="T135" i="22"/>
  <c r="T153" i="22"/>
  <c r="S141" i="21"/>
  <c r="S45" i="26"/>
  <c r="S142" i="21"/>
  <c r="S143" i="21"/>
  <c r="S155" i="26"/>
  <c r="R54" i="48"/>
  <c r="R16" i="6" s="1"/>
  <c r="BI288" i="36"/>
  <c r="U89" i="25"/>
  <c r="U7" i="26"/>
  <c r="U329" i="1"/>
  <c r="R47" i="26"/>
  <c r="R44" i="26" s="1"/>
  <c r="R60" i="44"/>
  <c r="R73" i="44" s="1"/>
  <c r="R163" i="21"/>
  <c r="T166" i="26"/>
  <c r="T117" i="22"/>
  <c r="T103" i="22"/>
  <c r="T160" i="22"/>
  <c r="T161" i="22"/>
  <c r="T36" i="22"/>
  <c r="T32" i="22"/>
  <c r="T174" i="22"/>
  <c r="T175" i="22" s="1"/>
  <c r="T25" i="25"/>
  <c r="T118" i="26" s="1"/>
  <c r="S17" i="47"/>
  <c r="S23" i="25"/>
  <c r="S116" i="26" s="1"/>
  <c r="S154" i="26"/>
  <c r="T120" i="22"/>
  <c r="S57" i="48"/>
  <c r="S62" i="48"/>
  <c r="P40" i="6"/>
  <c r="P25" i="6"/>
  <c r="Q91" i="21"/>
  <c r="R185" i="26"/>
  <c r="S135" i="25"/>
  <c r="Q86" i="21"/>
  <c r="S115" i="25"/>
  <c r="R183" i="26"/>
  <c r="S125" i="25"/>
  <c r="R184" i="26"/>
  <c r="R64" i="48"/>
  <c r="R60" i="48"/>
  <c r="R24" i="48"/>
  <c r="R18" i="21"/>
  <c r="R63" i="48"/>
  <c r="R13" i="21"/>
  <c r="S13" i="48"/>
  <c r="R61" i="48"/>
  <c r="R181" i="26"/>
  <c r="S145" i="25"/>
  <c r="T109" i="48" l="1"/>
  <c r="T22" i="48" s="1"/>
  <c r="U28" i="44"/>
  <c r="U30" i="44" s="1"/>
  <c r="U116" i="25"/>
  <c r="U17" i="21"/>
  <c r="U330" i="1"/>
  <c r="U345" i="1" s="1"/>
  <c r="U348" i="1" s="1"/>
  <c r="U55" i="47"/>
  <c r="U104" i="22"/>
  <c r="U105" i="22" s="1"/>
  <c r="T155" i="22"/>
  <c r="U152" i="22" s="1"/>
  <c r="S15" i="48"/>
  <c r="S18" i="48" s="1"/>
  <c r="U136" i="22"/>
  <c r="U137" i="22" s="1"/>
  <c r="Q25" i="6"/>
  <c r="S156" i="26"/>
  <c r="T182" i="22"/>
  <c r="T17" i="47" s="1"/>
  <c r="T38" i="22"/>
  <c r="U35" i="22" s="1"/>
  <c r="U78" i="22"/>
  <c r="U79" i="22" s="1"/>
  <c r="U172" i="22"/>
  <c r="T171" i="26"/>
  <c r="R53" i="48"/>
  <c r="R55" i="48" s="1"/>
  <c r="S53" i="48" s="1"/>
  <c r="S27" i="6"/>
  <c r="V7" i="25"/>
  <c r="V328" i="1"/>
  <c r="U137" i="25"/>
  <c r="U30" i="21"/>
  <c r="T123" i="22"/>
  <c r="U8" i="21"/>
  <c r="U90" i="25"/>
  <c r="S144" i="21"/>
  <c r="T98" i="6"/>
  <c r="T115" i="6" s="1"/>
  <c r="T94" i="6"/>
  <c r="U19" i="22"/>
  <c r="U37" i="22" s="1"/>
  <c r="U49" i="22"/>
  <c r="U16" i="22"/>
  <c r="U101" i="22"/>
  <c r="U75" i="22"/>
  <c r="U169" i="22"/>
  <c r="U24" i="25" s="1"/>
  <c r="U117" i="26" s="1"/>
  <c r="U170" i="22"/>
  <c r="U177" i="22"/>
  <c r="U133" i="22"/>
  <c r="U179" i="22"/>
  <c r="U178" i="22"/>
  <c r="U166" i="22"/>
  <c r="U78" i="26" s="1"/>
  <c r="U168" i="22"/>
  <c r="U173" i="22" s="1"/>
  <c r="S153" i="21"/>
  <c r="T95" i="21"/>
  <c r="T103" i="21" s="1"/>
  <c r="T46" i="26" s="1"/>
  <c r="T67" i="21"/>
  <c r="U70" i="6"/>
  <c r="U62" i="6"/>
  <c r="U80" i="6"/>
  <c r="U72" i="6"/>
  <c r="U86" i="6"/>
  <c r="U56" i="6"/>
  <c r="U75" i="6"/>
  <c r="U51" i="6"/>
  <c r="U52" i="6"/>
  <c r="U49" i="6"/>
  <c r="U77" i="6"/>
  <c r="U67" i="6"/>
  <c r="U59" i="6"/>
  <c r="U63" i="6"/>
  <c r="U60" i="6"/>
  <c r="U57" i="6"/>
  <c r="U76" i="6"/>
  <c r="U78" i="6"/>
  <c r="U68" i="6"/>
  <c r="U83" i="6"/>
  <c r="U71" i="6"/>
  <c r="U54" i="6"/>
  <c r="U81" i="6"/>
  <c r="U58" i="6"/>
  <c r="U55" i="6"/>
  <c r="U64" i="6"/>
  <c r="U84" i="6"/>
  <c r="U65" i="6"/>
  <c r="U69" i="6"/>
  <c r="U82" i="6"/>
  <c r="U85" i="6"/>
  <c r="U53" i="6"/>
  <c r="U73" i="6"/>
  <c r="U79" i="6"/>
  <c r="U66" i="6"/>
  <c r="U50" i="6"/>
  <c r="U29" i="44"/>
  <c r="T199" i="48"/>
  <c r="T168" i="48"/>
  <c r="T163" i="48"/>
  <c r="U52" i="22"/>
  <c r="U70" i="26"/>
  <c r="U50" i="26"/>
  <c r="U134" i="26"/>
  <c r="U51" i="26"/>
  <c r="U74" i="26"/>
  <c r="U65" i="26"/>
  <c r="U69" i="26"/>
  <c r="U71" i="26"/>
  <c r="U57" i="26"/>
  <c r="U42" i="26"/>
  <c r="U135" i="26"/>
  <c r="U59" i="26"/>
  <c r="U72" i="26"/>
  <c r="U39" i="26"/>
  <c r="U34" i="26"/>
  <c r="U35" i="26"/>
  <c r="U85" i="26"/>
  <c r="U73" i="26"/>
  <c r="U38" i="26"/>
  <c r="U136" i="26"/>
  <c r="U54" i="26"/>
  <c r="U55" i="26"/>
  <c r="U52" i="26"/>
  <c r="U41" i="26"/>
  <c r="U86" i="26"/>
  <c r="U58" i="26"/>
  <c r="U142" i="26"/>
  <c r="U92" i="26" s="1"/>
  <c r="U68" i="26"/>
  <c r="U56" i="26"/>
  <c r="U48" i="26"/>
  <c r="U75" i="26"/>
  <c r="U66" i="26"/>
  <c r="U67" i="26"/>
  <c r="U49" i="26"/>
  <c r="U37" i="26"/>
  <c r="U36" i="26"/>
  <c r="U53" i="26"/>
  <c r="U40" i="26"/>
  <c r="U43" i="26"/>
  <c r="U64" i="26"/>
  <c r="S30" i="48"/>
  <c r="T116" i="48"/>
  <c r="T106" i="21"/>
  <c r="T114" i="21" s="1"/>
  <c r="T62" i="26" s="1"/>
  <c r="T78" i="21"/>
  <c r="T119" i="48"/>
  <c r="T174" i="48"/>
  <c r="S24" i="6"/>
  <c r="P43" i="6"/>
  <c r="S129" i="25"/>
  <c r="S131" i="25" s="1"/>
  <c r="S128" i="25"/>
  <c r="R55" i="21"/>
  <c r="R91" i="21" s="1"/>
  <c r="S119" i="25"/>
  <c r="S121" i="25" s="1"/>
  <c r="S118" i="25"/>
  <c r="S139" i="25"/>
  <c r="S141" i="25" s="1"/>
  <c r="S138" i="25"/>
  <c r="S149" i="25"/>
  <c r="S31" i="25" s="1"/>
  <c r="S123" i="26" s="1"/>
  <c r="S147" i="25"/>
  <c r="R50" i="21"/>
  <c r="T28" i="48" l="1"/>
  <c r="U156" i="48"/>
  <c r="U113" i="48"/>
  <c r="U131" i="48"/>
  <c r="U115" i="48"/>
  <c r="U143" i="48"/>
  <c r="U199" i="48"/>
  <c r="U171" i="48"/>
  <c r="U177" i="48"/>
  <c r="U155" i="48"/>
  <c r="U186" i="48"/>
  <c r="U176" i="48"/>
  <c r="U214" i="48"/>
  <c r="U127" i="25"/>
  <c r="U126" i="25"/>
  <c r="U27" i="25"/>
  <c r="U120" i="26" s="1"/>
  <c r="U157" i="48"/>
  <c r="U196" i="48"/>
  <c r="U135" i="48"/>
  <c r="U154" i="48"/>
  <c r="U87" i="48"/>
  <c r="U141" i="48" s="1"/>
  <c r="U169" i="48" s="1"/>
  <c r="U197" i="48" s="1"/>
  <c r="U205" i="48"/>
  <c r="U151" i="48"/>
  <c r="U91" i="48"/>
  <c r="U185" i="48"/>
  <c r="U124" i="48"/>
  <c r="U195" i="48"/>
  <c r="U206" i="48"/>
  <c r="U178" i="48"/>
  <c r="U28" i="47"/>
  <c r="U99" i="48"/>
  <c r="U49" i="48"/>
  <c r="U51" i="48" s="1"/>
  <c r="U201" i="48"/>
  <c r="U121" i="48"/>
  <c r="U153" i="48"/>
  <c r="U207" i="48"/>
  <c r="U148" i="48"/>
  <c r="U94" i="48"/>
  <c r="U159" i="48"/>
  <c r="U116" i="48"/>
  <c r="U130" i="48"/>
  <c r="U59" i="47"/>
  <c r="U61" i="47" s="1"/>
  <c r="U106" i="48"/>
  <c r="U189" i="48"/>
  <c r="U134" i="48"/>
  <c r="U105" i="48"/>
  <c r="U101" i="48"/>
  <c r="U132" i="48"/>
  <c r="U217" i="48"/>
  <c r="U208" i="48"/>
  <c r="U173" i="48"/>
  <c r="U89" i="48"/>
  <c r="U139" i="48"/>
  <c r="U187" i="48"/>
  <c r="U213" i="48"/>
  <c r="U145" i="48"/>
  <c r="U108" i="48"/>
  <c r="U211" i="48"/>
  <c r="U93" i="48"/>
  <c r="U147" i="48" s="1"/>
  <c r="U175" i="48" s="1"/>
  <c r="U203" i="48" s="1"/>
  <c r="U32" i="25"/>
  <c r="U132" i="26" s="1"/>
  <c r="U13" i="25"/>
  <c r="U103" i="26" s="1"/>
  <c r="U41" i="21"/>
  <c r="U149" i="21" s="1"/>
  <c r="U104" i="48"/>
  <c r="U86" i="48"/>
  <c r="U122" i="48"/>
  <c r="U184" i="48"/>
  <c r="U103" i="48"/>
  <c r="U160" i="48"/>
  <c r="U194" i="48"/>
  <c r="U183" i="48"/>
  <c r="U128" i="48"/>
  <c r="U98" i="48"/>
  <c r="U125" i="48"/>
  <c r="U142" i="48"/>
  <c r="U107" i="48"/>
  <c r="U96" i="48"/>
  <c r="U182" i="48"/>
  <c r="U202" i="48"/>
  <c r="U188" i="48"/>
  <c r="U97" i="48"/>
  <c r="U46" i="48"/>
  <c r="U126" i="48"/>
  <c r="U119" i="48"/>
  <c r="U204" i="48"/>
  <c r="U209" i="48"/>
  <c r="U95" i="48"/>
  <c r="U90" i="48"/>
  <c r="U144" i="48" s="1"/>
  <c r="U172" i="48" s="1"/>
  <c r="U200" i="48" s="1"/>
  <c r="U29" i="48"/>
  <c r="U149" i="48"/>
  <c r="U146" i="48"/>
  <c r="U198" i="48"/>
  <c r="U216" i="48"/>
  <c r="U180" i="48"/>
  <c r="U75" i="48"/>
  <c r="U212" i="48"/>
  <c r="U339" i="1"/>
  <c r="U342" i="1" s="1"/>
  <c r="U170" i="26" s="1"/>
  <c r="U22" i="25"/>
  <c r="U115" i="26" s="1"/>
  <c r="U26" i="25"/>
  <c r="U119" i="26" s="1"/>
  <c r="U117" i="25"/>
  <c r="U88" i="48"/>
  <c r="U167" i="48"/>
  <c r="U179" i="48"/>
  <c r="U351" i="1"/>
  <c r="U354" i="1" s="1"/>
  <c r="U159" i="26" s="1"/>
  <c r="U25" i="48"/>
  <c r="U76" i="48" s="1"/>
  <c r="U92" i="48"/>
  <c r="U152" i="48"/>
  <c r="U123" i="48"/>
  <c r="U190" i="48"/>
  <c r="U158" i="48"/>
  <c r="U181" i="48"/>
  <c r="U102" i="48"/>
  <c r="U150" i="48"/>
  <c r="U215" i="48"/>
  <c r="U26" i="48"/>
  <c r="U85" i="48"/>
  <c r="U162" i="48"/>
  <c r="U133" i="48"/>
  <c r="U218" i="48"/>
  <c r="U112" i="48"/>
  <c r="U129" i="48"/>
  <c r="U140" i="48"/>
  <c r="U100" i="48"/>
  <c r="U166" i="48"/>
  <c r="U118" i="48"/>
  <c r="U210" i="48"/>
  <c r="U127" i="48"/>
  <c r="U40" i="48"/>
  <c r="U42" i="48" s="1"/>
  <c r="U161" i="48"/>
  <c r="U136" i="25"/>
  <c r="U12" i="25"/>
  <c r="U102" i="26" s="1"/>
  <c r="U170" i="48"/>
  <c r="T155" i="26"/>
  <c r="U154" i="22"/>
  <c r="T23" i="25"/>
  <c r="T116" i="26" s="1"/>
  <c r="T153" i="26"/>
  <c r="S16" i="48"/>
  <c r="T13" i="48" s="1"/>
  <c r="U164" i="22"/>
  <c r="U81" i="26" s="1"/>
  <c r="U122" i="22"/>
  <c r="U20" i="22"/>
  <c r="U87" i="6"/>
  <c r="S164" i="21"/>
  <c r="S76" i="44"/>
  <c r="S89" i="44" s="1"/>
  <c r="S63" i="26"/>
  <c r="S60" i="26" s="1"/>
  <c r="U135" i="22"/>
  <c r="U153" i="22"/>
  <c r="U163" i="22"/>
  <c r="U149" i="22"/>
  <c r="U91" i="22"/>
  <c r="U77" i="22"/>
  <c r="T154" i="26"/>
  <c r="U120" i="22"/>
  <c r="U54" i="21"/>
  <c r="U90" i="21" s="1"/>
  <c r="U162" i="22"/>
  <c r="U65" i="22"/>
  <c r="U121" i="22"/>
  <c r="U180" i="22"/>
  <c r="U80" i="26" s="1"/>
  <c r="U14" i="25"/>
  <c r="U104" i="26" s="1"/>
  <c r="U117" i="22"/>
  <c r="U103" i="22"/>
  <c r="U166" i="26"/>
  <c r="U140" i="21"/>
  <c r="U139" i="21"/>
  <c r="U138" i="21"/>
  <c r="V151" i="26"/>
  <c r="V10" i="26"/>
  <c r="V99" i="26"/>
  <c r="T61" i="26"/>
  <c r="T151" i="21"/>
  <c r="T152" i="21"/>
  <c r="T150" i="21"/>
  <c r="U168" i="48"/>
  <c r="T196" i="48"/>
  <c r="U92" i="25"/>
  <c r="U93" i="25" s="1"/>
  <c r="U91" i="25"/>
  <c r="U94" i="25" s="1"/>
  <c r="U8" i="51"/>
  <c r="U8" i="53"/>
  <c r="U8" i="48"/>
  <c r="U8" i="49"/>
  <c r="U8" i="52"/>
  <c r="T191" i="48"/>
  <c r="T23" i="48" s="1"/>
  <c r="T202" i="48"/>
  <c r="U174" i="48"/>
  <c r="S77" i="48"/>
  <c r="S31" i="48"/>
  <c r="S32" i="48" s="1"/>
  <c r="S33" i="48" s="1"/>
  <c r="T136" i="48"/>
  <c r="U51" i="22"/>
  <c r="T142" i="21"/>
  <c r="T143" i="21"/>
  <c r="T141" i="21"/>
  <c r="T45" i="26"/>
  <c r="U174" i="22"/>
  <c r="U175" i="22" s="1"/>
  <c r="U171" i="26" s="1"/>
  <c r="U25" i="25"/>
  <c r="U118" i="26" s="1"/>
  <c r="U32" i="22"/>
  <c r="U18" i="22"/>
  <c r="U161" i="22"/>
  <c r="U36" i="22"/>
  <c r="U38" i="22" s="1"/>
  <c r="U160" i="22"/>
  <c r="S47" i="26"/>
  <c r="S44" i="26" s="1"/>
  <c r="S60" i="44"/>
  <c r="S73" i="44" s="1"/>
  <c r="S163" i="21"/>
  <c r="U73" i="21"/>
  <c r="U109" i="21" s="1"/>
  <c r="U60" i="21"/>
  <c r="U96" i="21" s="1"/>
  <c r="U74" i="21"/>
  <c r="U110" i="21" s="1"/>
  <c r="U65" i="21"/>
  <c r="U101" i="21" s="1"/>
  <c r="U77" i="21"/>
  <c r="U113" i="21" s="1"/>
  <c r="U63" i="21"/>
  <c r="U99" i="21" s="1"/>
  <c r="U75" i="21"/>
  <c r="U111" i="21" s="1"/>
  <c r="U61" i="21"/>
  <c r="U97" i="21" s="1"/>
  <c r="U59" i="21"/>
  <c r="U66" i="21"/>
  <c r="U102" i="21" s="1"/>
  <c r="U70" i="21"/>
  <c r="U71" i="21"/>
  <c r="U107" i="21" s="1"/>
  <c r="U72" i="21"/>
  <c r="U108" i="21" s="1"/>
  <c r="U76" i="21"/>
  <c r="U112" i="21" s="1"/>
  <c r="U64" i="21"/>
  <c r="U100" i="21" s="1"/>
  <c r="U62" i="21"/>
  <c r="U98" i="21" s="1"/>
  <c r="U53" i="22"/>
  <c r="V10" i="25"/>
  <c r="V103" i="25"/>
  <c r="V329" i="1"/>
  <c r="V7" i="26"/>
  <c r="V89" i="25"/>
  <c r="Q38" i="6"/>
  <c r="Q43" i="6" s="1"/>
  <c r="P168" i="26"/>
  <c r="T115" i="25"/>
  <c r="S183" i="26"/>
  <c r="R86" i="21"/>
  <c r="S185" i="26"/>
  <c r="T135" i="25"/>
  <c r="S184" i="26"/>
  <c r="T125" i="25"/>
  <c r="S181" i="26"/>
  <c r="T145" i="25"/>
  <c r="U14" i="44" l="1"/>
  <c r="U33" i="26" s="1"/>
  <c r="U109" i="48"/>
  <c r="U22" i="48" s="1"/>
  <c r="U28" i="48" s="1"/>
  <c r="U148" i="21"/>
  <c r="U155" i="22"/>
  <c r="U155" i="26" s="1"/>
  <c r="U147" i="21"/>
  <c r="U13" i="44"/>
  <c r="U32" i="26" s="1"/>
  <c r="U117" i="48"/>
  <c r="T156" i="26"/>
  <c r="U114" i="48"/>
  <c r="S64" i="48"/>
  <c r="S13" i="21"/>
  <c r="S50" i="21" s="1"/>
  <c r="S86" i="21" s="1"/>
  <c r="S60" i="48"/>
  <c r="S18" i="21"/>
  <c r="S55" i="21" s="1"/>
  <c r="S61" i="48"/>
  <c r="S63" i="48"/>
  <c r="S24" i="48"/>
  <c r="V90" i="25"/>
  <c r="V92" i="25" s="1"/>
  <c r="T144" i="21"/>
  <c r="T47" i="26" s="1"/>
  <c r="T44" i="26" s="1"/>
  <c r="U95" i="25"/>
  <c r="U191" i="48"/>
  <c r="U23" i="48" s="1"/>
  <c r="T219" i="48"/>
  <c r="T15" i="48" s="1"/>
  <c r="T16" i="48" s="1"/>
  <c r="W7" i="25"/>
  <c r="W328" i="1"/>
  <c r="U182" i="22"/>
  <c r="U17" i="47" s="1"/>
  <c r="T30" i="48"/>
  <c r="U94" i="6"/>
  <c r="U98" i="6"/>
  <c r="U115" i="6" s="1"/>
  <c r="V83" i="6"/>
  <c r="V57" i="6"/>
  <c r="V54" i="6"/>
  <c r="V62" i="6"/>
  <c r="V66" i="6"/>
  <c r="V56" i="6"/>
  <c r="V77" i="6"/>
  <c r="V82" i="6"/>
  <c r="V63" i="6"/>
  <c r="V69" i="6"/>
  <c r="V78" i="6"/>
  <c r="V70" i="6"/>
  <c r="V71" i="6"/>
  <c r="V51" i="6"/>
  <c r="V86" i="6"/>
  <c r="V75" i="6"/>
  <c r="V68" i="6"/>
  <c r="V79" i="6"/>
  <c r="V85" i="6"/>
  <c r="V53" i="6"/>
  <c r="V65" i="6"/>
  <c r="V73" i="6"/>
  <c r="V72" i="6"/>
  <c r="V64" i="6"/>
  <c r="V52" i="6"/>
  <c r="V84" i="6"/>
  <c r="V58" i="6"/>
  <c r="V60" i="6"/>
  <c r="V59" i="6"/>
  <c r="V67" i="6"/>
  <c r="V80" i="6"/>
  <c r="V55" i="6"/>
  <c r="V76" i="6"/>
  <c r="V81" i="6"/>
  <c r="U95" i="21"/>
  <c r="U103" i="21" s="1"/>
  <c r="U46" i="26" s="1"/>
  <c r="U67" i="21"/>
  <c r="U153" i="26"/>
  <c r="T78" i="48"/>
  <c r="T102" i="6" s="1"/>
  <c r="S12" i="26"/>
  <c r="S66" i="48"/>
  <c r="T153" i="21"/>
  <c r="V8" i="21"/>
  <c r="U78" i="21"/>
  <c r="U106" i="21"/>
  <c r="U114" i="21" s="1"/>
  <c r="U62" i="26" s="1"/>
  <c r="S65" i="48"/>
  <c r="S35" i="48"/>
  <c r="S54" i="48"/>
  <c r="T47" i="48"/>
  <c r="U123" i="22"/>
  <c r="V28" i="47"/>
  <c r="V28" i="44"/>
  <c r="V330" i="1"/>
  <c r="U120" i="48"/>
  <c r="U163" i="48"/>
  <c r="U219" i="48"/>
  <c r="R38" i="6"/>
  <c r="Q168" i="26"/>
  <c r="T119" i="25"/>
  <c r="T121" i="25" s="1"/>
  <c r="T118" i="25"/>
  <c r="T138" i="25"/>
  <c r="T139" i="25"/>
  <c r="T141" i="25" s="1"/>
  <c r="T128" i="25"/>
  <c r="T129" i="25"/>
  <c r="T131" i="25" s="1"/>
  <c r="T147" i="25"/>
  <c r="T149" i="25"/>
  <c r="T31" i="25" s="1"/>
  <c r="T123" i="26" s="1"/>
  <c r="V49" i="6" l="1"/>
  <c r="U136" i="48"/>
  <c r="U15" i="48" s="1"/>
  <c r="U18" i="48" s="1"/>
  <c r="V91" i="25"/>
  <c r="V94" i="25" s="1"/>
  <c r="V50" i="6"/>
  <c r="V93" i="25"/>
  <c r="J16" i="26"/>
  <c r="J49" i="44" s="1"/>
  <c r="J55" i="44" s="1"/>
  <c r="J79" i="26"/>
  <c r="K103" i="6"/>
  <c r="J16" i="25"/>
  <c r="J109" i="26" s="1"/>
  <c r="T60" i="44"/>
  <c r="T73" i="44" s="1"/>
  <c r="T163" i="21"/>
  <c r="T18" i="48"/>
  <c r="U30" i="48"/>
  <c r="U31" i="48" s="1"/>
  <c r="U32" i="48" s="1"/>
  <c r="U33" i="48" s="1"/>
  <c r="V206" i="48"/>
  <c r="V144" i="48"/>
  <c r="V130" i="48"/>
  <c r="V217" i="48"/>
  <c r="V160" i="48"/>
  <c r="V134" i="48"/>
  <c r="V183" i="48"/>
  <c r="V131" i="48"/>
  <c r="V153" i="48"/>
  <c r="V125" i="48"/>
  <c r="V140" i="48"/>
  <c r="V214" i="48"/>
  <c r="V75" i="48"/>
  <c r="V159" i="48"/>
  <c r="V152" i="48"/>
  <c r="V211" i="48"/>
  <c r="V210" i="48"/>
  <c r="V122" i="48"/>
  <c r="V203" i="48"/>
  <c r="V180" i="48"/>
  <c r="V124" i="48"/>
  <c r="V171" i="48"/>
  <c r="V95" i="48"/>
  <c r="V91" i="48"/>
  <c r="V145" i="48" s="1"/>
  <c r="V173" i="48" s="1"/>
  <c r="V108" i="48"/>
  <c r="V104" i="48"/>
  <c r="V85" i="48"/>
  <c r="V177" i="48"/>
  <c r="V102" i="48"/>
  <c r="V151" i="48"/>
  <c r="V179" i="48"/>
  <c r="V135" i="48"/>
  <c r="V189" i="48"/>
  <c r="V119" i="48"/>
  <c r="V218" i="48"/>
  <c r="V154" i="48"/>
  <c r="V143" i="48"/>
  <c r="V29" i="48"/>
  <c r="V186" i="48"/>
  <c r="V190" i="48"/>
  <c r="V93" i="48"/>
  <c r="V105" i="48"/>
  <c r="V178" i="48"/>
  <c r="V90" i="48"/>
  <c r="V106" i="48"/>
  <c r="V141" i="48"/>
  <c r="V126" i="48"/>
  <c r="V155" i="48"/>
  <c r="V46" i="48"/>
  <c r="V197" i="48"/>
  <c r="V182" i="48"/>
  <c r="V150" i="48"/>
  <c r="V216" i="48"/>
  <c r="V161" i="48"/>
  <c r="V202" i="48"/>
  <c r="V117" i="48"/>
  <c r="V133" i="48"/>
  <c r="V127" i="48"/>
  <c r="V209" i="48"/>
  <c r="V147" i="48"/>
  <c r="V92" i="48"/>
  <c r="V103" i="48"/>
  <c r="V26" i="48"/>
  <c r="V213" i="48"/>
  <c r="V187" i="48"/>
  <c r="V199" i="48"/>
  <c r="V129" i="48"/>
  <c r="V132" i="48"/>
  <c r="V156" i="48"/>
  <c r="V207" i="48"/>
  <c r="V162" i="48"/>
  <c r="V40" i="48"/>
  <c r="V200" i="48"/>
  <c r="V168" i="48"/>
  <c r="V49" i="48"/>
  <c r="V51" i="48" s="1"/>
  <c r="V175" i="48"/>
  <c r="V98" i="48"/>
  <c r="V107" i="48"/>
  <c r="V87" i="48"/>
  <c r="V169" i="48"/>
  <c r="V196" i="48"/>
  <c r="V158" i="48"/>
  <c r="V208" i="48"/>
  <c r="V120" i="48"/>
  <c r="V205" i="48"/>
  <c r="V94" i="48"/>
  <c r="V101" i="48"/>
  <c r="V86" i="48"/>
  <c r="V96" i="48"/>
  <c r="V25" i="48"/>
  <c r="V76" i="48" s="1"/>
  <c r="V97" i="48"/>
  <c r="V146" i="48"/>
  <c r="V184" i="48"/>
  <c r="V212" i="48"/>
  <c r="V181" i="48"/>
  <c r="V188" i="48"/>
  <c r="V215" i="48"/>
  <c r="V113" i="48"/>
  <c r="V114" i="48"/>
  <c r="V88" i="48"/>
  <c r="V142" i="48" s="1"/>
  <c r="V170" i="48" s="1"/>
  <c r="V100" i="48"/>
  <c r="V99" i="48"/>
  <c r="V172" i="48"/>
  <c r="V116" i="48"/>
  <c r="V157" i="48"/>
  <c r="V123" i="48"/>
  <c r="V185" i="48"/>
  <c r="V128" i="48"/>
  <c r="V149" i="48"/>
  <c r="V166" i="48"/>
  <c r="V194" i="48" s="1"/>
  <c r="V89" i="48"/>
  <c r="W99" i="26"/>
  <c r="W151" i="26"/>
  <c r="W10" i="26"/>
  <c r="V17" i="21"/>
  <c r="V54" i="21" s="1"/>
  <c r="V90" i="21" s="1"/>
  <c r="V30" i="21"/>
  <c r="V41" i="21"/>
  <c r="V170" i="22"/>
  <c r="V49" i="22"/>
  <c r="V166" i="22"/>
  <c r="V78" i="26" s="1"/>
  <c r="V152" i="22"/>
  <c r="V104" i="22"/>
  <c r="V105" i="22" s="1"/>
  <c r="V16" i="22"/>
  <c r="V133" i="22"/>
  <c r="V75" i="22"/>
  <c r="V178" i="22"/>
  <c r="V177" i="22"/>
  <c r="V101" i="22"/>
  <c r="V172" i="22"/>
  <c r="V179" i="22"/>
  <c r="V169" i="22"/>
  <c r="V24" i="25" s="1"/>
  <c r="V117" i="26" s="1"/>
  <c r="V168" i="22"/>
  <c r="V173" i="22" s="1"/>
  <c r="V52" i="22"/>
  <c r="U154" i="26"/>
  <c r="U156" i="26" s="1"/>
  <c r="V120" i="22"/>
  <c r="S16" i="6"/>
  <c r="S55" i="48"/>
  <c r="U152" i="21"/>
  <c r="U150" i="21"/>
  <c r="U151" i="21"/>
  <c r="U61" i="26"/>
  <c r="U142" i="21"/>
  <c r="U45" i="26"/>
  <c r="U141" i="21"/>
  <c r="U143" i="21"/>
  <c r="T27" i="6"/>
  <c r="T77" i="48"/>
  <c r="T12" i="26" s="1"/>
  <c r="T31" i="48"/>
  <c r="T32" i="48" s="1"/>
  <c r="U23" i="25"/>
  <c r="U116" i="26" s="1"/>
  <c r="W7" i="26"/>
  <c r="W89" i="25"/>
  <c r="W329" i="1"/>
  <c r="V59" i="47"/>
  <c r="V61" i="47" s="1"/>
  <c r="V55" i="47"/>
  <c r="T57" i="48"/>
  <c r="T24" i="6" s="1"/>
  <c r="T62" i="48"/>
  <c r="V8" i="49"/>
  <c r="V8" i="53"/>
  <c r="V8" i="51"/>
  <c r="V8" i="48"/>
  <c r="V8" i="52"/>
  <c r="V136" i="22"/>
  <c r="V174" i="48"/>
  <c r="V351" i="1"/>
  <c r="V354" i="1" s="1"/>
  <c r="V345" i="1"/>
  <c r="V348" i="1" s="1"/>
  <c r="V339" i="1"/>
  <c r="V342" i="1" s="1"/>
  <c r="V78" i="22"/>
  <c r="V79" i="22" s="1"/>
  <c r="T63" i="26"/>
  <c r="T60" i="26" s="1"/>
  <c r="T76" i="44"/>
  <c r="T89" i="44" s="1"/>
  <c r="T164" i="21"/>
  <c r="S19" i="6"/>
  <c r="W103" i="25"/>
  <c r="W10" i="25"/>
  <c r="V29" i="44"/>
  <c r="V30" i="44"/>
  <c r="V66" i="26"/>
  <c r="V142" i="26"/>
  <c r="V92" i="26" s="1"/>
  <c r="V67" i="26"/>
  <c r="V51" i="26"/>
  <c r="V135" i="26"/>
  <c r="V36" i="26"/>
  <c r="V57" i="26"/>
  <c r="V71" i="26"/>
  <c r="V70" i="26"/>
  <c r="V56" i="26"/>
  <c r="V53" i="26"/>
  <c r="V37" i="26"/>
  <c r="V86" i="26"/>
  <c r="V50" i="26"/>
  <c r="V72" i="26"/>
  <c r="V41" i="26"/>
  <c r="V69" i="26"/>
  <c r="V58" i="26"/>
  <c r="V55" i="26"/>
  <c r="V34" i="26"/>
  <c r="V73" i="26"/>
  <c r="V38" i="26"/>
  <c r="V42" i="26"/>
  <c r="V39" i="26"/>
  <c r="V74" i="26"/>
  <c r="V85" i="26"/>
  <c r="V136" i="26"/>
  <c r="V64" i="26"/>
  <c r="V65" i="26"/>
  <c r="V54" i="26"/>
  <c r="V134" i="26"/>
  <c r="V49" i="26"/>
  <c r="V43" i="26"/>
  <c r="V40" i="26"/>
  <c r="V35" i="26"/>
  <c r="V48" i="26"/>
  <c r="V68" i="26"/>
  <c r="V52" i="26"/>
  <c r="V75" i="26"/>
  <c r="V59" i="26"/>
  <c r="V22" i="25"/>
  <c r="V115" i="26" s="1"/>
  <c r="V127" i="25"/>
  <c r="V136" i="25"/>
  <c r="V12" i="25"/>
  <c r="V102" i="26" s="1"/>
  <c r="V32" i="25"/>
  <c r="V132" i="26" s="1"/>
  <c r="V116" i="25"/>
  <c r="V27" i="25"/>
  <c r="V120" i="26" s="1"/>
  <c r="V13" i="25"/>
  <c r="V103" i="26" s="1"/>
  <c r="V117" i="25"/>
  <c r="V126" i="25"/>
  <c r="V137" i="25"/>
  <c r="V26" i="25"/>
  <c r="V119" i="26" s="1"/>
  <c r="V71" i="21"/>
  <c r="V107" i="21" s="1"/>
  <c r="V62" i="21"/>
  <c r="V98" i="21" s="1"/>
  <c r="V65" i="21"/>
  <c r="V101" i="21" s="1"/>
  <c r="V72" i="21"/>
  <c r="V108" i="21" s="1"/>
  <c r="V75" i="21"/>
  <c r="V111" i="21" s="1"/>
  <c r="V74" i="21"/>
  <c r="V110" i="21" s="1"/>
  <c r="V77" i="21"/>
  <c r="V113" i="21" s="1"/>
  <c r="V70" i="21"/>
  <c r="V61" i="21"/>
  <c r="V97" i="21" s="1"/>
  <c r="V64" i="21"/>
  <c r="V100" i="21" s="1"/>
  <c r="V63" i="21"/>
  <c r="V99" i="21" s="1"/>
  <c r="V73" i="21"/>
  <c r="V109" i="21" s="1"/>
  <c r="V59" i="21"/>
  <c r="V60" i="21"/>
  <c r="V96" i="21" s="1"/>
  <c r="V76" i="21"/>
  <c r="V112" i="21" s="1"/>
  <c r="V66" i="21"/>
  <c r="V102" i="21" s="1"/>
  <c r="V35" i="22"/>
  <c r="V19" i="22"/>
  <c r="R25" i="6"/>
  <c r="R40" i="6"/>
  <c r="U135" i="25"/>
  <c r="T185" i="26"/>
  <c r="T181" i="26"/>
  <c r="U145" i="25"/>
  <c r="U125" i="25"/>
  <c r="T184" i="26"/>
  <c r="S91" i="21"/>
  <c r="U115" i="25"/>
  <c r="T183" i="26"/>
  <c r="T61" i="48"/>
  <c r="T60" i="48"/>
  <c r="T18" i="21"/>
  <c r="T13" i="21"/>
  <c r="T24" i="48"/>
  <c r="U13" i="48"/>
  <c r="T64" i="48"/>
  <c r="T63" i="48"/>
  <c r="V95" i="25" l="1"/>
  <c r="V110" i="25" s="1"/>
  <c r="V87" i="6"/>
  <c r="V98" i="6" s="1"/>
  <c r="V115" i="6" s="1"/>
  <c r="V115" i="48"/>
  <c r="J107" i="6"/>
  <c r="J109" i="6" s="1"/>
  <c r="J22" i="26"/>
  <c r="J47" i="44"/>
  <c r="J50" i="44"/>
  <c r="J56" i="44" s="1"/>
  <c r="J34" i="44"/>
  <c r="J40" i="44" s="1"/>
  <c r="J48" i="44"/>
  <c r="J54" i="44" s="1"/>
  <c r="J33" i="44"/>
  <c r="J201" i="26"/>
  <c r="J202" i="26" s="1"/>
  <c r="J203" i="26" s="1"/>
  <c r="J206" i="26" s="1"/>
  <c r="J36" i="44"/>
  <c r="J42" i="44" s="1"/>
  <c r="K108" i="6"/>
  <c r="J35" i="44"/>
  <c r="J41" i="44" s="1"/>
  <c r="W90" i="25"/>
  <c r="W92" i="25" s="1"/>
  <c r="U153" i="21"/>
  <c r="U63" i="26" s="1"/>
  <c r="U60" i="26" s="1"/>
  <c r="V118" i="48"/>
  <c r="U144" i="21"/>
  <c r="U163" i="21" s="1"/>
  <c r="U77" i="48"/>
  <c r="V78" i="48" s="1"/>
  <c r="V102" i="6" s="1"/>
  <c r="V137" i="22"/>
  <c r="V154" i="22"/>
  <c r="T19" i="6"/>
  <c r="V166" i="26"/>
  <c r="W67" i="6"/>
  <c r="W84" i="6"/>
  <c r="W71" i="6"/>
  <c r="W70" i="6"/>
  <c r="W86" i="6"/>
  <c r="W76" i="6"/>
  <c r="W80" i="6"/>
  <c r="W51" i="6"/>
  <c r="W72" i="6"/>
  <c r="W81" i="6"/>
  <c r="W69" i="6"/>
  <c r="W68" i="6"/>
  <c r="W85" i="6"/>
  <c r="W52" i="6"/>
  <c r="W56" i="6"/>
  <c r="W58" i="6"/>
  <c r="W57" i="6"/>
  <c r="W78" i="6"/>
  <c r="W75" i="6"/>
  <c r="W79" i="6"/>
  <c r="W64" i="6"/>
  <c r="W83" i="6"/>
  <c r="W63" i="6"/>
  <c r="W60" i="6"/>
  <c r="W73" i="6"/>
  <c r="W62" i="6"/>
  <c r="W65" i="6"/>
  <c r="W54" i="6"/>
  <c r="W66" i="6"/>
  <c r="W77" i="6"/>
  <c r="W55" i="6"/>
  <c r="W53" i="6"/>
  <c r="W82" i="6"/>
  <c r="W59" i="6"/>
  <c r="T33" i="48"/>
  <c r="V47" i="48" s="1"/>
  <c r="V25" i="25"/>
  <c r="V118" i="26" s="1"/>
  <c r="V174" i="22"/>
  <c r="V175" i="22" s="1"/>
  <c r="V138" i="21"/>
  <c r="V139" i="21"/>
  <c r="V140" i="21"/>
  <c r="V139" i="48"/>
  <c r="V112" i="48" s="1"/>
  <c r="V109" i="48"/>
  <c r="V22" i="48" s="1"/>
  <c r="V180" i="22"/>
  <c r="V80" i="26" s="1"/>
  <c r="V14" i="25"/>
  <c r="V104" i="26" s="1"/>
  <c r="V162" i="22"/>
  <c r="V65" i="22"/>
  <c r="V121" i="22"/>
  <c r="V51" i="22"/>
  <c r="V148" i="48"/>
  <c r="V176" i="48" s="1"/>
  <c r="V164" i="22"/>
  <c r="V81" i="26" s="1"/>
  <c r="V37" i="22"/>
  <c r="V20" i="22"/>
  <c r="V95" i="21"/>
  <c r="V103" i="21" s="1"/>
  <c r="V46" i="26" s="1"/>
  <c r="V67" i="21"/>
  <c r="V159" i="26"/>
  <c r="W8" i="21"/>
  <c r="W330" i="1"/>
  <c r="W339" i="1" s="1"/>
  <c r="W342" i="1" s="1"/>
  <c r="W28" i="44"/>
  <c r="W28" i="47"/>
  <c r="U78" i="48"/>
  <c r="U102" i="6" s="1"/>
  <c r="T66" i="48"/>
  <c r="T53" i="48"/>
  <c r="V122" i="22"/>
  <c r="V53" i="22"/>
  <c r="V91" i="22"/>
  <c r="V77" i="22"/>
  <c r="V149" i="21"/>
  <c r="V147" i="21"/>
  <c r="V148" i="21"/>
  <c r="V14" i="44"/>
  <c r="V33" i="26" s="1"/>
  <c r="V170" i="26"/>
  <c r="V161" i="22"/>
  <c r="V32" i="22"/>
  <c r="V36" i="22"/>
  <c r="V160" i="22"/>
  <c r="V18" i="22"/>
  <c r="V78" i="21"/>
  <c r="V106" i="21"/>
  <c r="V114" i="21" s="1"/>
  <c r="V62" i="26" s="1"/>
  <c r="X328" i="1"/>
  <c r="X7" i="25"/>
  <c r="V117" i="22"/>
  <c r="V103" i="22"/>
  <c r="V153" i="22"/>
  <c r="V163" i="22"/>
  <c r="V135" i="22"/>
  <c r="V149" i="22"/>
  <c r="V13" i="44"/>
  <c r="V32" i="26" s="1"/>
  <c r="V42" i="48"/>
  <c r="R43" i="6"/>
  <c r="U35" i="48"/>
  <c r="U65" i="48"/>
  <c r="V201" i="48"/>
  <c r="V198" i="48"/>
  <c r="U16" i="48"/>
  <c r="U119" i="25"/>
  <c r="U121" i="25" s="1"/>
  <c r="U118" i="25"/>
  <c r="T50" i="21"/>
  <c r="U147" i="25"/>
  <c r="U149" i="25"/>
  <c r="U31" i="25" s="1"/>
  <c r="U123" i="26" s="1"/>
  <c r="T55" i="21"/>
  <c r="U128" i="25"/>
  <c r="U129" i="25"/>
  <c r="U131" i="25" s="1"/>
  <c r="U139" i="25"/>
  <c r="U141" i="25" s="1"/>
  <c r="U138" i="25"/>
  <c r="V94" i="6" l="1"/>
  <c r="W93" i="25"/>
  <c r="J169" i="26"/>
  <c r="K106" i="6"/>
  <c r="J13" i="47"/>
  <c r="J32" i="6"/>
  <c r="J34" i="6" s="1"/>
  <c r="J207" i="26"/>
  <c r="J210" i="26"/>
  <c r="J211" i="26" s="1"/>
  <c r="J15" i="47" s="1"/>
  <c r="J23" i="26"/>
  <c r="J24" i="26" s="1"/>
  <c r="J25" i="26" s="1"/>
  <c r="J39" i="44"/>
  <c r="J37" i="44"/>
  <c r="J53" i="44"/>
  <c r="J51" i="44"/>
  <c r="J18" i="6"/>
  <c r="J21" i="6" s="1"/>
  <c r="K26" i="6"/>
  <c r="K28" i="6" s="1"/>
  <c r="W91" i="25"/>
  <c r="W94" i="25" s="1"/>
  <c r="W173" i="48"/>
  <c r="W170" i="48"/>
  <c r="U12" i="26"/>
  <c r="U76" i="44"/>
  <c r="U89" i="44" s="1"/>
  <c r="U164" i="21"/>
  <c r="W90" i="48"/>
  <c r="U66" i="48"/>
  <c r="U60" i="44"/>
  <c r="U73" i="44" s="1"/>
  <c r="V38" i="22"/>
  <c r="U47" i="26"/>
  <c r="U44" i="26" s="1"/>
  <c r="W108" i="48"/>
  <c r="W94" i="48"/>
  <c r="W100" i="48"/>
  <c r="W96" i="48"/>
  <c r="W78" i="22"/>
  <c r="W79" i="22" s="1"/>
  <c r="W176" i="48"/>
  <c r="V155" i="22"/>
  <c r="V155" i="26" s="1"/>
  <c r="V27" i="6"/>
  <c r="W95" i="48"/>
  <c r="W149" i="48" s="1"/>
  <c r="W177" i="48" s="1"/>
  <c r="W205" i="48" s="1"/>
  <c r="V204" i="48"/>
  <c r="W104" i="22"/>
  <c r="W105" i="22" s="1"/>
  <c r="W136" i="22"/>
  <c r="X103" i="25"/>
  <c r="X10" i="25"/>
  <c r="X89" i="25"/>
  <c r="X7" i="26"/>
  <c r="X329" i="1"/>
  <c r="W19" i="22"/>
  <c r="W170" i="26"/>
  <c r="W170" i="22"/>
  <c r="W16" i="22"/>
  <c r="W18" i="22" s="1"/>
  <c r="W177" i="22"/>
  <c r="W101" i="22"/>
  <c r="W117" i="22" s="1"/>
  <c r="W166" i="22"/>
  <c r="W78" i="26" s="1"/>
  <c r="W75" i="22"/>
  <c r="W168" i="22"/>
  <c r="W173" i="22" s="1"/>
  <c r="W49" i="22"/>
  <c r="W51" i="22" s="1"/>
  <c r="W179" i="22"/>
  <c r="W178" i="22"/>
  <c r="W169" i="22"/>
  <c r="W24" i="25" s="1"/>
  <c r="W117" i="26" s="1"/>
  <c r="W133" i="22"/>
  <c r="W195" i="48"/>
  <c r="W200" i="48"/>
  <c r="W153" i="48"/>
  <c r="W40" i="48"/>
  <c r="W201" i="48"/>
  <c r="W150" i="48"/>
  <c r="W145" i="48"/>
  <c r="W214" i="48"/>
  <c r="W161" i="48"/>
  <c r="W157" i="48"/>
  <c r="W133" i="48"/>
  <c r="W139" i="48"/>
  <c r="W46" i="48"/>
  <c r="W154" i="48"/>
  <c r="W181" i="48"/>
  <c r="W209" i="48"/>
  <c r="W216" i="48"/>
  <c r="W206" i="48"/>
  <c r="W128" i="48"/>
  <c r="W98" i="48"/>
  <c r="W25" i="48"/>
  <c r="W76" i="48" s="1"/>
  <c r="W99" i="48"/>
  <c r="W89" i="48"/>
  <c r="W87" i="48"/>
  <c r="W102" i="48"/>
  <c r="W166" i="48"/>
  <c r="W147" i="48"/>
  <c r="W118" i="48"/>
  <c r="W132" i="48"/>
  <c r="W182" i="48"/>
  <c r="W151" i="48"/>
  <c r="W97" i="48"/>
  <c r="W169" i="48"/>
  <c r="W179" i="48"/>
  <c r="W144" i="48"/>
  <c r="W186" i="48"/>
  <c r="W185" i="48"/>
  <c r="W158" i="48"/>
  <c r="W112" i="48"/>
  <c r="W183" i="48"/>
  <c r="W126" i="48"/>
  <c r="W134" i="48"/>
  <c r="W141" i="48"/>
  <c r="W194" i="48"/>
  <c r="W198" i="48"/>
  <c r="W117" i="48"/>
  <c r="W124" i="48"/>
  <c r="W203" i="48"/>
  <c r="W142" i="48"/>
  <c r="W131" i="48"/>
  <c r="W114" i="48"/>
  <c r="W162" i="48"/>
  <c r="W155" i="48"/>
  <c r="W207" i="48"/>
  <c r="W26" i="48"/>
  <c r="W101" i="48"/>
  <c r="W91" i="48"/>
  <c r="W106" i="48"/>
  <c r="W88" i="48"/>
  <c r="W175" i="48"/>
  <c r="W105" i="48"/>
  <c r="W49" i="48"/>
  <c r="W51" i="48" s="1"/>
  <c r="W215" i="48"/>
  <c r="W115" i="48"/>
  <c r="W159" i="48"/>
  <c r="W189" i="48"/>
  <c r="W184" i="48"/>
  <c r="W208" i="48"/>
  <c r="W130" i="48"/>
  <c r="W75" i="48"/>
  <c r="W120" i="48"/>
  <c r="W152" i="48"/>
  <c r="W156" i="48"/>
  <c r="W210" i="48"/>
  <c r="W104" i="48"/>
  <c r="W85" i="48"/>
  <c r="W92" i="48"/>
  <c r="W107" i="48"/>
  <c r="W93" i="48"/>
  <c r="W178" i="48"/>
  <c r="W125" i="48"/>
  <c r="W217" i="48"/>
  <c r="W190" i="48"/>
  <c r="W213" i="48"/>
  <c r="W127" i="48"/>
  <c r="W204" i="48"/>
  <c r="W188" i="48"/>
  <c r="W129" i="48"/>
  <c r="W180" i="48"/>
  <c r="W212" i="48"/>
  <c r="W121" i="48"/>
  <c r="W103" i="48"/>
  <c r="W86" i="48"/>
  <c r="W160" i="48"/>
  <c r="W148" i="48"/>
  <c r="W197" i="48"/>
  <c r="W123" i="48"/>
  <c r="W29" i="48"/>
  <c r="W218" i="48"/>
  <c r="W187" i="48"/>
  <c r="W135" i="48"/>
  <c r="W211" i="48"/>
  <c r="W29" i="44"/>
  <c r="W30" i="44"/>
  <c r="W351" i="1"/>
  <c r="W354" i="1" s="1"/>
  <c r="W345" i="1"/>
  <c r="W348" i="1" s="1"/>
  <c r="V123" i="22"/>
  <c r="V163" i="48"/>
  <c r="V167" i="48"/>
  <c r="W172" i="48"/>
  <c r="V182" i="22"/>
  <c r="V17" i="47" s="1"/>
  <c r="W59" i="47"/>
  <c r="W61" i="47" s="1"/>
  <c r="W55" i="47"/>
  <c r="W57" i="26"/>
  <c r="W135" i="26"/>
  <c r="W70" i="26"/>
  <c r="W68" i="26"/>
  <c r="W142" i="26"/>
  <c r="W92" i="26" s="1"/>
  <c r="W55" i="26"/>
  <c r="W35" i="26"/>
  <c r="W66" i="26"/>
  <c r="W39" i="26"/>
  <c r="W136" i="26"/>
  <c r="W75" i="26"/>
  <c r="W41" i="26"/>
  <c r="W85" i="26"/>
  <c r="W40" i="26"/>
  <c r="W73" i="26"/>
  <c r="W72" i="26"/>
  <c r="W67" i="26"/>
  <c r="W65" i="26"/>
  <c r="W59" i="26"/>
  <c r="W53" i="26"/>
  <c r="W36" i="26"/>
  <c r="W49" i="26"/>
  <c r="W43" i="26"/>
  <c r="W56" i="26"/>
  <c r="W64" i="26"/>
  <c r="W74" i="26"/>
  <c r="W54" i="26"/>
  <c r="W34" i="26"/>
  <c r="W69" i="26"/>
  <c r="W52" i="26"/>
  <c r="W51" i="26"/>
  <c r="W48" i="26"/>
  <c r="W58" i="26"/>
  <c r="W50" i="26"/>
  <c r="W86" i="26"/>
  <c r="W37" i="26"/>
  <c r="W42" i="26"/>
  <c r="W134" i="26"/>
  <c r="W71" i="26"/>
  <c r="W38" i="26"/>
  <c r="W52" i="22"/>
  <c r="U19" i="6"/>
  <c r="U27" i="6"/>
  <c r="W30" i="21"/>
  <c r="W41" i="21"/>
  <c r="W17" i="21"/>
  <c r="W54" i="21" s="1"/>
  <c r="W90" i="21" s="1"/>
  <c r="W27" i="25"/>
  <c r="W120" i="26" s="1"/>
  <c r="W13" i="25"/>
  <c r="W103" i="26" s="1"/>
  <c r="W117" i="25"/>
  <c r="W137" i="25"/>
  <c r="W12" i="25"/>
  <c r="W102" i="26" s="1"/>
  <c r="W26" i="25"/>
  <c r="W119" i="26" s="1"/>
  <c r="W127" i="25"/>
  <c r="W32" i="25"/>
  <c r="W132" i="26" s="1"/>
  <c r="W136" i="25"/>
  <c r="W116" i="25"/>
  <c r="W22" i="25"/>
  <c r="W115" i="26" s="1"/>
  <c r="W126" i="25"/>
  <c r="W71" i="21"/>
  <c r="W107" i="21" s="1"/>
  <c r="W66" i="21"/>
  <c r="W102" i="21" s="1"/>
  <c r="W72" i="21"/>
  <c r="W108" i="21" s="1"/>
  <c r="W76" i="21"/>
  <c r="W112" i="21" s="1"/>
  <c r="W70" i="21"/>
  <c r="W74" i="21"/>
  <c r="W110" i="21" s="1"/>
  <c r="W59" i="21"/>
  <c r="W77" i="21"/>
  <c r="W113" i="21" s="1"/>
  <c r="W62" i="21"/>
  <c r="W98" i="21" s="1"/>
  <c r="W63" i="21"/>
  <c r="W99" i="21" s="1"/>
  <c r="W61" i="21"/>
  <c r="W97" i="21" s="1"/>
  <c r="W64" i="21"/>
  <c r="W100" i="21" s="1"/>
  <c r="W65" i="21"/>
  <c r="W101" i="21" s="1"/>
  <c r="W75" i="21"/>
  <c r="W111" i="21" s="1"/>
  <c r="W60" i="21"/>
  <c r="W96" i="21" s="1"/>
  <c r="W73" i="21"/>
  <c r="W109" i="21" s="1"/>
  <c r="V45" i="26"/>
  <c r="V143" i="21"/>
  <c r="V141" i="21"/>
  <c r="V142" i="21"/>
  <c r="T35" i="48"/>
  <c r="T54" i="48"/>
  <c r="T16" i="6" s="1"/>
  <c r="T65" i="48"/>
  <c r="U47" i="48"/>
  <c r="X99" i="26"/>
  <c r="X10" i="26"/>
  <c r="X151" i="26"/>
  <c r="V28" i="48"/>
  <c r="W172" i="22"/>
  <c r="V171" i="26"/>
  <c r="V150" i="21"/>
  <c r="V151" i="21"/>
  <c r="V61" i="26"/>
  <c r="V152" i="21"/>
  <c r="W8" i="53"/>
  <c r="W8" i="48"/>
  <c r="W8" i="52"/>
  <c r="W8" i="51"/>
  <c r="W8" i="49"/>
  <c r="V121" i="48"/>
  <c r="V136" i="48" s="1"/>
  <c r="W49" i="6"/>
  <c r="W50" i="6"/>
  <c r="R168" i="26"/>
  <c r="S38" i="6"/>
  <c r="V57" i="48"/>
  <c r="V24" i="6" s="1"/>
  <c r="V62" i="48"/>
  <c r="U184" i="26"/>
  <c r="V125" i="25"/>
  <c r="U185" i="26"/>
  <c r="V135" i="25"/>
  <c r="T91" i="21"/>
  <c r="T86" i="21"/>
  <c r="U64" i="48"/>
  <c r="U13" i="21"/>
  <c r="U63" i="48"/>
  <c r="V13" i="48"/>
  <c r="U24" i="48"/>
  <c r="U18" i="21"/>
  <c r="U60" i="48"/>
  <c r="U61" i="48"/>
  <c r="U181" i="26"/>
  <c r="V145" i="25"/>
  <c r="U183" i="26"/>
  <c r="V115" i="25"/>
  <c r="W95" i="25" l="1"/>
  <c r="W110" i="25" s="1"/>
  <c r="K11" i="25"/>
  <c r="K101" i="26" s="1"/>
  <c r="X330" i="1"/>
  <c r="X339" i="1" s="1"/>
  <c r="X342" i="1" s="1"/>
  <c r="X170" i="26" s="1"/>
  <c r="J18" i="25"/>
  <c r="J111" i="26" s="1"/>
  <c r="X103" i="48"/>
  <c r="K21" i="26"/>
  <c r="J26" i="26"/>
  <c r="J77" i="26"/>
  <c r="J82" i="26" s="1"/>
  <c r="J87" i="26" s="1"/>
  <c r="K18" i="26"/>
  <c r="X16" i="22"/>
  <c r="X55" i="47"/>
  <c r="X73" i="26"/>
  <c r="K33" i="6"/>
  <c r="K22" i="47"/>
  <c r="L103" i="6"/>
  <c r="K16" i="25"/>
  <c r="K109" i="26" s="1"/>
  <c r="K31" i="6"/>
  <c r="J161" i="26"/>
  <c r="K19" i="21"/>
  <c r="K92" i="21"/>
  <c r="K30" i="26" s="1"/>
  <c r="K15" i="6"/>
  <c r="J160" i="26"/>
  <c r="J57" i="44"/>
  <c r="K79" i="26"/>
  <c r="K205" i="26"/>
  <c r="J158" i="26"/>
  <c r="K14" i="21"/>
  <c r="K20" i="26"/>
  <c r="X28" i="44"/>
  <c r="X30" i="44" s="1"/>
  <c r="J14" i="47"/>
  <c r="J43" i="44"/>
  <c r="X90" i="25"/>
  <c r="X92" i="25" s="1"/>
  <c r="X93" i="25" s="1"/>
  <c r="W152" i="22"/>
  <c r="X59" i="47"/>
  <c r="X61" i="47" s="1"/>
  <c r="V23" i="25"/>
  <c r="V116" i="26" s="1"/>
  <c r="W35" i="22"/>
  <c r="V153" i="26"/>
  <c r="V153" i="21"/>
  <c r="V164" i="21" s="1"/>
  <c r="T55" i="48"/>
  <c r="U53" i="48" s="1"/>
  <c r="U57" i="48"/>
  <c r="U24" i="6" s="1"/>
  <c r="U62" i="48"/>
  <c r="U54" i="48"/>
  <c r="U16" i="6" s="1"/>
  <c r="V144" i="21"/>
  <c r="W53" i="22"/>
  <c r="W122" i="22"/>
  <c r="W25" i="25"/>
  <c r="W118" i="26" s="1"/>
  <c r="W174" i="22"/>
  <c r="W175" i="22" s="1"/>
  <c r="W164" i="22"/>
  <c r="W81" i="26" s="1"/>
  <c r="W37" i="22"/>
  <c r="X13" i="25"/>
  <c r="X103" i="26" s="1"/>
  <c r="X126" i="25"/>
  <c r="X116" i="25"/>
  <c r="X26" i="25"/>
  <c r="X119" i="26" s="1"/>
  <c r="X32" i="25"/>
  <c r="X132" i="26" s="1"/>
  <c r="X12" i="25"/>
  <c r="X102" i="26" s="1"/>
  <c r="X137" i="25"/>
  <c r="X127" i="25"/>
  <c r="X117" i="25"/>
  <c r="X136" i="25"/>
  <c r="X22" i="25"/>
  <c r="X115" i="26" s="1"/>
  <c r="X27" i="25"/>
  <c r="X120" i="26" s="1"/>
  <c r="W122" i="48"/>
  <c r="W78" i="21"/>
  <c r="W106" i="21"/>
  <c r="W114" i="21" s="1"/>
  <c r="W62" i="26" s="1"/>
  <c r="V191" i="48"/>
  <c r="V23" i="48" s="1"/>
  <c r="V195" i="48"/>
  <c r="V219" i="48" s="1"/>
  <c r="V15" i="48" s="1"/>
  <c r="V18" i="48" s="1"/>
  <c r="W167" i="48"/>
  <c r="W146" i="48"/>
  <c r="W174" i="48" s="1"/>
  <c r="W202" i="48" s="1"/>
  <c r="W13" i="44"/>
  <c r="W32" i="26" s="1"/>
  <c r="W163" i="22"/>
  <c r="W149" i="22"/>
  <c r="W153" i="22"/>
  <c r="W65" i="22"/>
  <c r="W162" i="22"/>
  <c r="W121" i="22"/>
  <c r="X8" i="21"/>
  <c r="X135" i="48"/>
  <c r="X184" i="48"/>
  <c r="X216" i="48"/>
  <c r="X128" i="48"/>
  <c r="X196" i="48"/>
  <c r="X183" i="48"/>
  <c r="X142" i="48"/>
  <c r="X215" i="48"/>
  <c r="X190" i="48"/>
  <c r="X126" i="48"/>
  <c r="X113" i="48"/>
  <c r="W135" i="22"/>
  <c r="W87" i="6"/>
  <c r="W147" i="21"/>
  <c r="W149" i="21"/>
  <c r="W148" i="21"/>
  <c r="W20" i="22"/>
  <c r="W166" i="26"/>
  <c r="W140" i="48"/>
  <c r="W168" i="48" s="1"/>
  <c r="X85" i="48"/>
  <c r="W109" i="48"/>
  <c r="W22" i="48" s="1"/>
  <c r="W14" i="44"/>
  <c r="W33" i="26" s="1"/>
  <c r="W180" i="22"/>
  <c r="W80" i="26" s="1"/>
  <c r="W14" i="25"/>
  <c r="W104" i="26" s="1"/>
  <c r="Y328" i="1"/>
  <c r="Y7" i="25"/>
  <c r="X64" i="6"/>
  <c r="X65" i="6"/>
  <c r="X59" i="6"/>
  <c r="X54" i="6"/>
  <c r="X71" i="6"/>
  <c r="X51" i="6"/>
  <c r="X55" i="6"/>
  <c r="X85" i="6"/>
  <c r="X75" i="6"/>
  <c r="X82" i="6"/>
  <c r="X79" i="6"/>
  <c r="X56" i="6"/>
  <c r="X66" i="6"/>
  <c r="X72" i="6"/>
  <c r="X68" i="6"/>
  <c r="X83" i="6"/>
  <c r="X81" i="6"/>
  <c r="X60" i="6"/>
  <c r="X52" i="6"/>
  <c r="X80" i="6"/>
  <c r="X76" i="6"/>
  <c r="X62" i="6"/>
  <c r="X78" i="6"/>
  <c r="X57" i="6"/>
  <c r="X84" i="6"/>
  <c r="X77" i="6"/>
  <c r="X53" i="6"/>
  <c r="X58" i="6"/>
  <c r="X63" i="6"/>
  <c r="X73" i="6"/>
  <c r="X70" i="6"/>
  <c r="X69" i="6"/>
  <c r="X67" i="6"/>
  <c r="X86" i="6"/>
  <c r="X30" i="21"/>
  <c r="X17" i="21"/>
  <c r="X133" i="22"/>
  <c r="X170" i="22"/>
  <c r="X85" i="26"/>
  <c r="X67" i="26"/>
  <c r="W154" i="22"/>
  <c r="W137" i="22"/>
  <c r="W103" i="22"/>
  <c r="X176" i="48"/>
  <c r="W95" i="21"/>
  <c r="W103" i="21" s="1"/>
  <c r="W46" i="26" s="1"/>
  <c r="W67" i="21"/>
  <c r="W140" i="21"/>
  <c r="W138" i="21"/>
  <c r="W139" i="21"/>
  <c r="V154" i="26"/>
  <c r="W120" i="22"/>
  <c r="W159" i="26"/>
  <c r="W143" i="48"/>
  <c r="W171" i="48" s="1"/>
  <c r="W42" i="48"/>
  <c r="W91" i="22"/>
  <c r="W77" i="22"/>
  <c r="W161" i="22"/>
  <c r="W32" i="22"/>
  <c r="W160" i="22"/>
  <c r="W36" i="22"/>
  <c r="V147" i="25"/>
  <c r="V149" i="25"/>
  <c r="V31" i="25" s="1"/>
  <c r="V123" i="26" s="1"/>
  <c r="U55" i="21"/>
  <c r="U50" i="21"/>
  <c r="U86" i="21" s="1"/>
  <c r="V119" i="25"/>
  <c r="V121" i="25" s="1"/>
  <c r="V118" i="25"/>
  <c r="V139" i="25"/>
  <c r="V141" i="25" s="1"/>
  <c r="V138" i="25"/>
  <c r="V128" i="25"/>
  <c r="V129" i="25"/>
  <c r="V131" i="25" s="1"/>
  <c r="X28" i="47" l="1"/>
  <c r="X29" i="44"/>
  <c r="X86" i="48"/>
  <c r="X212" i="48"/>
  <c r="X205" i="48"/>
  <c r="X188" i="48"/>
  <c r="X108" i="48"/>
  <c r="X195" i="48"/>
  <c r="X218" i="48"/>
  <c r="X52" i="22"/>
  <c r="X53" i="22" s="1"/>
  <c r="X177" i="48"/>
  <c r="X107" i="48"/>
  <c r="X168" i="22"/>
  <c r="X173" i="22" s="1"/>
  <c r="X100" i="48"/>
  <c r="X201" i="48"/>
  <c r="X182" i="48"/>
  <c r="X158" i="48"/>
  <c r="X211" i="48"/>
  <c r="X116" i="48"/>
  <c r="X152" i="48"/>
  <c r="X202" i="48"/>
  <c r="X75" i="48"/>
  <c r="X14" i="44" s="1"/>
  <c r="X33" i="26" s="1"/>
  <c r="X189" i="48"/>
  <c r="X186" i="48"/>
  <c r="X142" i="26"/>
  <c r="X92" i="26" s="1"/>
  <c r="X178" i="22"/>
  <c r="X179" i="22"/>
  <c r="X208" i="48"/>
  <c r="X143" i="48"/>
  <c r="X119" i="48"/>
  <c r="X153" i="48"/>
  <c r="X145" i="48"/>
  <c r="X179" i="48"/>
  <c r="X161" i="48"/>
  <c r="X121" i="48"/>
  <c r="X217" i="48"/>
  <c r="X157" i="48"/>
  <c r="X160" i="48"/>
  <c r="X214" i="48"/>
  <c r="X180" i="48"/>
  <c r="X49" i="48"/>
  <c r="X51" i="48" s="1"/>
  <c r="X167" i="48"/>
  <c r="X102" i="48"/>
  <c r="X90" i="48"/>
  <c r="X144" i="48" s="1"/>
  <c r="X172" i="48" s="1"/>
  <c r="X200" i="48" s="1"/>
  <c r="X91" i="48"/>
  <c r="X171" i="48"/>
  <c r="X42" i="26"/>
  <c r="X101" i="22"/>
  <c r="X117" i="22" s="1"/>
  <c r="X124" i="48"/>
  <c r="X185" i="48"/>
  <c r="X148" i="48"/>
  <c r="X155" i="48"/>
  <c r="X115" i="48"/>
  <c r="X162" i="48"/>
  <c r="X194" i="48"/>
  <c r="X198" i="48"/>
  <c r="X46" i="48"/>
  <c r="X122" i="48"/>
  <c r="X129" i="48"/>
  <c r="X112" i="48"/>
  <c r="X118" i="48"/>
  <c r="X94" i="48"/>
  <c r="X87" i="48"/>
  <c r="X141" i="48" s="1"/>
  <c r="X114" i="48" s="1"/>
  <c r="S25" i="6"/>
  <c r="X37" i="26"/>
  <c r="X40" i="26"/>
  <c r="X75" i="26"/>
  <c r="X345" i="1"/>
  <c r="X348" i="1" s="1"/>
  <c r="X166" i="26" s="1"/>
  <c r="X49" i="26"/>
  <c r="X56" i="26"/>
  <c r="X69" i="26"/>
  <c r="X36" i="26"/>
  <c r="X74" i="26"/>
  <c r="X66" i="26"/>
  <c r="X135" i="26"/>
  <c r="X351" i="1"/>
  <c r="X354" i="1" s="1"/>
  <c r="X159" i="26" s="1"/>
  <c r="J17" i="25"/>
  <c r="J110" i="26" s="1"/>
  <c r="X41" i="21"/>
  <c r="X147" i="21" s="1"/>
  <c r="X93" i="48"/>
  <c r="X173" i="48"/>
  <c r="X104" i="48"/>
  <c r="X97" i="48"/>
  <c r="X88" i="48"/>
  <c r="X26" i="48"/>
  <c r="X96" i="48"/>
  <c r="X150" i="48" s="1"/>
  <c r="X178" i="48" s="1"/>
  <c r="X206" i="48" s="1"/>
  <c r="X213" i="48"/>
  <c r="X159" i="48"/>
  <c r="X210" i="48"/>
  <c r="X140" i="48"/>
  <c r="X204" i="48"/>
  <c r="X187" i="48"/>
  <c r="X156" i="48"/>
  <c r="X151" i="48"/>
  <c r="X95" i="48"/>
  <c r="X209" i="48"/>
  <c r="X149" i="48"/>
  <c r="X99" i="48"/>
  <c r="X133" i="48"/>
  <c r="X146" i="48"/>
  <c r="X130" i="48"/>
  <c r="X181" i="48"/>
  <c r="X139" i="48"/>
  <c r="X207" i="48"/>
  <c r="X89" i="48"/>
  <c r="X25" i="48"/>
  <c r="X76" i="48" s="1"/>
  <c r="X101" i="48"/>
  <c r="X98" i="48"/>
  <c r="X170" i="48"/>
  <c r="X166" i="48"/>
  <c r="X92" i="48"/>
  <c r="X199" i="48"/>
  <c r="X134" i="48"/>
  <c r="X127" i="48"/>
  <c r="X40" i="48"/>
  <c r="X42" i="48" s="1"/>
  <c r="X125" i="48"/>
  <c r="X154" i="48"/>
  <c r="X29" i="48"/>
  <c r="X132" i="48"/>
  <c r="X131" i="48"/>
  <c r="X106" i="48"/>
  <c r="X58" i="26"/>
  <c r="X57" i="26"/>
  <c r="X59" i="26"/>
  <c r="X38" i="26"/>
  <c r="X34" i="26"/>
  <c r="X65" i="26"/>
  <c r="X105" i="48"/>
  <c r="X168" i="48"/>
  <c r="K51" i="21"/>
  <c r="K130" i="21"/>
  <c r="K131" i="21"/>
  <c r="K129" i="21"/>
  <c r="L16" i="25"/>
  <c r="L109" i="26" s="1"/>
  <c r="L108" i="6"/>
  <c r="M103" i="6"/>
  <c r="X72" i="26"/>
  <c r="X48" i="26"/>
  <c r="X136" i="26"/>
  <c r="X134" i="26"/>
  <c r="X50" i="26"/>
  <c r="X39" i="26"/>
  <c r="X35" i="26"/>
  <c r="X54" i="26"/>
  <c r="X51" i="26"/>
  <c r="X70" i="26"/>
  <c r="X49" i="22"/>
  <c r="X65" i="22" s="1"/>
  <c r="X169" i="22"/>
  <c r="X24" i="25" s="1"/>
  <c r="X117" i="26" s="1"/>
  <c r="X166" i="22"/>
  <c r="X78" i="26" s="1"/>
  <c r="K120" i="21"/>
  <c r="K122" i="21"/>
  <c r="K121" i="21"/>
  <c r="K43" i="21"/>
  <c r="K44" i="21" s="1"/>
  <c r="J18" i="47"/>
  <c r="J27" i="47" s="1"/>
  <c r="J21" i="47"/>
  <c r="K16" i="26"/>
  <c r="K35" i="44" s="1"/>
  <c r="K41" i="44" s="1"/>
  <c r="X43" i="26"/>
  <c r="X53" i="26"/>
  <c r="X64" i="26"/>
  <c r="X55" i="26"/>
  <c r="X68" i="26"/>
  <c r="X71" i="26"/>
  <c r="X86" i="26"/>
  <c r="X52" i="26"/>
  <c r="X41" i="26"/>
  <c r="X75" i="22"/>
  <c r="X91" i="22" s="1"/>
  <c r="X177" i="22"/>
  <c r="X14" i="25" s="1"/>
  <c r="X104" i="26" s="1"/>
  <c r="K87" i="21"/>
  <c r="K116" i="21" s="1"/>
  <c r="K121" i="6" s="1"/>
  <c r="K56" i="21"/>
  <c r="K107" i="6"/>
  <c r="K109" i="6" s="1"/>
  <c r="K22" i="26"/>
  <c r="L79" i="26"/>
  <c r="X91" i="25"/>
  <c r="X94" i="25" s="1"/>
  <c r="X95" i="25" s="1"/>
  <c r="X54" i="21"/>
  <c r="X90" i="21" s="1"/>
  <c r="V156" i="26"/>
  <c r="X174" i="48"/>
  <c r="U55" i="48"/>
  <c r="W119" i="48"/>
  <c r="V76" i="44"/>
  <c r="V89" i="44" s="1"/>
  <c r="V63" i="26"/>
  <c r="V60" i="26" s="1"/>
  <c r="W155" i="22"/>
  <c r="X152" i="22" s="1"/>
  <c r="X49" i="6"/>
  <c r="W199" i="48"/>
  <c r="V16" i="48"/>
  <c r="W13" i="48" s="1"/>
  <c r="W171" i="26"/>
  <c r="X172" i="22"/>
  <c r="V30" i="48"/>
  <c r="W113" i="48"/>
  <c r="W141" i="21"/>
  <c r="W142" i="21"/>
  <c r="W143" i="21"/>
  <c r="W45" i="26"/>
  <c r="W94" i="6"/>
  <c r="W98" i="6"/>
  <c r="W115" i="6" s="1"/>
  <c r="W196" i="48"/>
  <c r="W191" i="48"/>
  <c r="W23" i="48" s="1"/>
  <c r="W30" i="48" s="1"/>
  <c r="W182" i="22"/>
  <c r="W17" i="47" s="1"/>
  <c r="W123" i="22"/>
  <c r="X36" i="22"/>
  <c r="X161" i="22"/>
  <c r="X32" i="22"/>
  <c r="X138" i="21"/>
  <c r="X139" i="21"/>
  <c r="X140" i="21"/>
  <c r="W116" i="48"/>
  <c r="X104" i="22"/>
  <c r="X105" i="22" s="1"/>
  <c r="X25" i="25"/>
  <c r="X118" i="26" s="1"/>
  <c r="X174" i="22"/>
  <c r="X153" i="22"/>
  <c r="X163" i="22"/>
  <c r="X149" i="22"/>
  <c r="X50" i="6"/>
  <c r="Y10" i="25"/>
  <c r="Y103" i="25"/>
  <c r="Y7" i="26"/>
  <c r="Y329" i="1"/>
  <c r="W28" i="48"/>
  <c r="X135" i="22"/>
  <c r="X136" i="22"/>
  <c r="X154" i="22" s="1"/>
  <c r="X8" i="52"/>
  <c r="X8" i="53"/>
  <c r="X8" i="49"/>
  <c r="X8" i="51"/>
  <c r="X8" i="48"/>
  <c r="X18" i="22"/>
  <c r="W38" i="22"/>
  <c r="X78" i="22"/>
  <c r="X79" i="22" s="1"/>
  <c r="W163" i="48"/>
  <c r="Y151" i="26"/>
  <c r="Y99" i="26"/>
  <c r="Y10" i="26"/>
  <c r="X59" i="21"/>
  <c r="X74" i="21"/>
  <c r="X110" i="21" s="1"/>
  <c r="X61" i="21"/>
  <c r="X97" i="21" s="1"/>
  <c r="X62" i="21"/>
  <c r="X98" i="21" s="1"/>
  <c r="X66" i="21"/>
  <c r="X102" i="21" s="1"/>
  <c r="X65" i="21"/>
  <c r="X101" i="21" s="1"/>
  <c r="X60" i="21"/>
  <c r="X96" i="21" s="1"/>
  <c r="X76" i="21"/>
  <c r="X112" i="21" s="1"/>
  <c r="X77" i="21"/>
  <c r="X113" i="21" s="1"/>
  <c r="X72" i="21"/>
  <c r="X108" i="21" s="1"/>
  <c r="X71" i="21"/>
  <c r="X107" i="21" s="1"/>
  <c r="X73" i="21"/>
  <c r="X109" i="21" s="1"/>
  <c r="X75" i="21"/>
  <c r="X111" i="21" s="1"/>
  <c r="X64" i="21"/>
  <c r="X100" i="21" s="1"/>
  <c r="X70" i="21"/>
  <c r="X63" i="21"/>
  <c r="X99" i="21" s="1"/>
  <c r="W151" i="21"/>
  <c r="W152" i="21"/>
  <c r="W61" i="26"/>
  <c r="W150" i="21"/>
  <c r="V47" i="26"/>
  <c r="V44" i="26" s="1"/>
  <c r="V163" i="21"/>
  <c r="V60" i="44"/>
  <c r="V73" i="44" s="1"/>
  <c r="X19" i="22"/>
  <c r="V185" i="26"/>
  <c r="W135" i="25"/>
  <c r="U91" i="21"/>
  <c r="V184" i="26"/>
  <c r="W125" i="25"/>
  <c r="W115" i="25"/>
  <c r="V183" i="26"/>
  <c r="V181" i="26"/>
  <c r="W145" i="25"/>
  <c r="X149" i="21" l="1"/>
  <c r="O103" i="6"/>
  <c r="O108" i="6" s="1"/>
  <c r="X51" i="22"/>
  <c r="X103" i="22"/>
  <c r="X117" i="48"/>
  <c r="X77" i="22"/>
  <c r="X169" i="48"/>
  <c r="X197" i="48" s="1"/>
  <c r="K18" i="6"/>
  <c r="K21" i="6" s="1"/>
  <c r="L15" i="6" s="1"/>
  <c r="K13" i="47"/>
  <c r="X109" i="48"/>
  <c r="X22" i="48" s="1"/>
  <c r="O79" i="26"/>
  <c r="X180" i="22"/>
  <c r="X80" i="26" s="1"/>
  <c r="X13" i="44"/>
  <c r="X32" i="26" s="1"/>
  <c r="O16" i="26"/>
  <c r="O35" i="44" s="1"/>
  <c r="O41" i="44" s="1"/>
  <c r="S40" i="6"/>
  <c r="X147" i="48"/>
  <c r="X175" i="48" s="1"/>
  <c r="X203" i="48" s="1"/>
  <c r="X148" i="21"/>
  <c r="X123" i="48"/>
  <c r="L122" i="6"/>
  <c r="L21" i="25" s="1"/>
  <c r="L114" i="26" s="1"/>
  <c r="K123" i="6"/>
  <c r="L14" i="21"/>
  <c r="L19" i="21"/>
  <c r="L92" i="21"/>
  <c r="L30" i="26" s="1"/>
  <c r="X162" i="22"/>
  <c r="K133" i="21"/>
  <c r="K132" i="21"/>
  <c r="K29" i="26"/>
  <c r="K134" i="21"/>
  <c r="N79" i="26"/>
  <c r="K123" i="21"/>
  <c r="K80" i="21"/>
  <c r="K124" i="21"/>
  <c r="K125" i="21"/>
  <c r="J30" i="47"/>
  <c r="K29" i="47"/>
  <c r="K33" i="25" s="1"/>
  <c r="K124" i="26" s="1"/>
  <c r="L20" i="26"/>
  <c r="L16" i="26"/>
  <c r="L49" i="44" s="1"/>
  <c r="L55" i="44" s="1"/>
  <c r="M16" i="25"/>
  <c r="M109" i="26" s="1"/>
  <c r="M108" i="6"/>
  <c r="N103" i="6"/>
  <c r="N16" i="26"/>
  <c r="N49" i="44" s="1"/>
  <c r="N55" i="44" s="1"/>
  <c r="X121" i="22"/>
  <c r="X160" i="22"/>
  <c r="K169" i="26"/>
  <c r="L106" i="6"/>
  <c r="K49" i="44"/>
  <c r="K55" i="44" s="1"/>
  <c r="K33" i="44"/>
  <c r="K34" i="44"/>
  <c r="K40" i="44" s="1"/>
  <c r="K47" i="44"/>
  <c r="K50" i="44"/>
  <c r="K56" i="44" s="1"/>
  <c r="K48" i="44"/>
  <c r="K54" i="44" s="1"/>
  <c r="K201" i="26"/>
  <c r="K202" i="26" s="1"/>
  <c r="K203" i="26" s="1"/>
  <c r="K206" i="26" s="1"/>
  <c r="K36" i="44"/>
  <c r="K42" i="44" s="1"/>
  <c r="L18" i="26"/>
  <c r="L107" i="6"/>
  <c r="L22" i="26"/>
  <c r="M79" i="26"/>
  <c r="N107" i="6"/>
  <c r="N22" i="26"/>
  <c r="V61" i="48"/>
  <c r="V18" i="21"/>
  <c r="V55" i="21" s="1"/>
  <c r="V91" i="21" s="1"/>
  <c r="V13" i="21"/>
  <c r="V50" i="21" s="1"/>
  <c r="V63" i="48"/>
  <c r="W155" i="26"/>
  <c r="V64" i="48"/>
  <c r="V60" i="48"/>
  <c r="W77" i="48"/>
  <c r="V24" i="48"/>
  <c r="V53" i="48"/>
  <c r="W219" i="48"/>
  <c r="X175" i="22"/>
  <c r="X171" i="26" s="1"/>
  <c r="X87" i="6"/>
  <c r="X98" i="6" s="1"/>
  <c r="X115" i="6" s="1"/>
  <c r="W144" i="21"/>
  <c r="W60" i="44" s="1"/>
  <c r="W73" i="44" s="1"/>
  <c r="W31" i="48"/>
  <c r="W32" i="48" s="1"/>
  <c r="W153" i="26"/>
  <c r="X35" i="22"/>
  <c r="Y89" i="25"/>
  <c r="Y90" i="25"/>
  <c r="Z328" i="1"/>
  <c r="Z7" i="25"/>
  <c r="X155" i="22"/>
  <c r="X78" i="21"/>
  <c r="X106" i="21"/>
  <c r="X114" i="21" s="1"/>
  <c r="X62" i="26" s="1"/>
  <c r="Y84" i="6"/>
  <c r="Y82" i="6"/>
  <c r="Y69" i="6"/>
  <c r="Y55" i="6"/>
  <c r="Y75" i="6"/>
  <c r="Y62" i="6"/>
  <c r="Y59" i="6"/>
  <c r="Y58" i="6"/>
  <c r="Y57" i="6"/>
  <c r="Y67" i="6"/>
  <c r="Y78" i="6"/>
  <c r="Y72" i="6"/>
  <c r="Y54" i="6"/>
  <c r="Y77" i="6"/>
  <c r="Y68" i="6"/>
  <c r="Y86" i="6"/>
  <c r="Y56" i="6"/>
  <c r="Y60" i="6"/>
  <c r="Y85" i="6"/>
  <c r="Y50" i="6"/>
  <c r="Y73" i="6"/>
  <c r="Y63" i="6"/>
  <c r="Y71" i="6"/>
  <c r="Y64" i="6"/>
  <c r="Y79" i="6"/>
  <c r="Y80" i="6"/>
  <c r="Y66" i="6"/>
  <c r="Y70" i="6"/>
  <c r="Y76" i="6"/>
  <c r="Y52" i="6"/>
  <c r="Y53" i="6"/>
  <c r="Y65" i="6"/>
  <c r="Y51" i="6"/>
  <c r="Y81" i="6"/>
  <c r="Y83" i="6"/>
  <c r="X137" i="22"/>
  <c r="X37" i="22"/>
  <c r="X164" i="22"/>
  <c r="X81" i="26" s="1"/>
  <c r="W153" i="21"/>
  <c r="X20" i="22"/>
  <c r="X182" i="22"/>
  <c r="X17" i="47" s="1"/>
  <c r="W136" i="48"/>
  <c r="W23" i="25"/>
  <c r="W116" i="26" s="1"/>
  <c r="X122" i="22"/>
  <c r="X67" i="21"/>
  <c r="X95" i="21"/>
  <c r="X103" i="21" s="1"/>
  <c r="X46" i="26" s="1"/>
  <c r="Y8" i="21"/>
  <c r="Y330" i="1"/>
  <c r="Y172" i="22"/>
  <c r="Y28" i="44"/>
  <c r="W154" i="26"/>
  <c r="X120" i="22"/>
  <c r="V31" i="48"/>
  <c r="V32" i="48" s="1"/>
  <c r="V77" i="48"/>
  <c r="W149" i="25"/>
  <c r="W31" i="25" s="1"/>
  <c r="W123" i="26" s="1"/>
  <c r="W147" i="25"/>
  <c r="W118" i="25"/>
  <c r="W119" i="25"/>
  <c r="W121" i="25" s="1"/>
  <c r="W129" i="25"/>
  <c r="W131" i="25" s="1"/>
  <c r="W128" i="25"/>
  <c r="W139" i="25"/>
  <c r="W141" i="25" s="1"/>
  <c r="W138" i="25"/>
  <c r="P103" i="6" l="1"/>
  <c r="P108" i="6" s="1"/>
  <c r="L26" i="6"/>
  <c r="L28" i="6" s="1"/>
  <c r="L33" i="6" s="1"/>
  <c r="K32" i="6"/>
  <c r="K34" i="6" s="1"/>
  <c r="K161" i="26" s="1"/>
  <c r="K126" i="21"/>
  <c r="K160" i="26"/>
  <c r="X28" i="48"/>
  <c r="Y49" i="6"/>
  <c r="Y87" i="6" s="1"/>
  <c r="K23" i="26"/>
  <c r="O16" i="25"/>
  <c r="O109" i="26" s="1"/>
  <c r="X219" i="48"/>
  <c r="X191" i="48"/>
  <c r="X23" i="48" s="1"/>
  <c r="L148" i="36"/>
  <c r="S43" i="6"/>
  <c r="P79" i="26"/>
  <c r="X120" i="48"/>
  <c r="X136" i="48" s="1"/>
  <c r="K135" i="21"/>
  <c r="X163" i="48"/>
  <c r="N18" i="6"/>
  <c r="K51" i="44"/>
  <c r="K53" i="44"/>
  <c r="K57" i="44" s="1"/>
  <c r="N35" i="44"/>
  <c r="N41" i="44" s="1"/>
  <c r="L121" i="21"/>
  <c r="L43" i="21"/>
  <c r="L44" i="21" s="1"/>
  <c r="L120" i="21"/>
  <c r="L122" i="21"/>
  <c r="K207" i="26"/>
  <c r="K210" i="26"/>
  <c r="K211" i="26" s="1"/>
  <c r="K15" i="47" s="1"/>
  <c r="M18" i="6"/>
  <c r="L18" i="6"/>
  <c r="L21" i="6" s="1"/>
  <c r="N16" i="25"/>
  <c r="N109" i="26" s="1"/>
  <c r="N108" i="6"/>
  <c r="K26" i="47"/>
  <c r="J175" i="26"/>
  <c r="K81" i="21"/>
  <c r="L56" i="21"/>
  <c r="L51" i="21"/>
  <c r="L120" i="6"/>
  <c r="K172" i="26"/>
  <c r="K37" i="44"/>
  <c r="K39" i="44"/>
  <c r="K43" i="44" s="1"/>
  <c r="N201" i="26"/>
  <c r="N202" i="26" s="1"/>
  <c r="N48" i="44"/>
  <c r="N54" i="44" s="1"/>
  <c r="N50" i="44"/>
  <c r="N56" i="44" s="1"/>
  <c r="N33" i="44"/>
  <c r="N36" i="44"/>
  <c r="N42" i="44" s="1"/>
  <c r="N34" i="44"/>
  <c r="N40" i="44" s="1"/>
  <c r="N47" i="44"/>
  <c r="M22" i="26"/>
  <c r="M107" i="6"/>
  <c r="L35" i="44"/>
  <c r="L41" i="44" s="1"/>
  <c r="L201" i="26"/>
  <c r="L202" i="26" s="1"/>
  <c r="L33" i="44"/>
  <c r="L48" i="44"/>
  <c r="L54" i="44" s="1"/>
  <c r="L47" i="44"/>
  <c r="L50" i="44"/>
  <c r="L56" i="44" s="1"/>
  <c r="L36" i="44"/>
  <c r="L42" i="44" s="1"/>
  <c r="L34" i="44"/>
  <c r="L40" i="44" s="1"/>
  <c r="L130" i="21"/>
  <c r="L129" i="21"/>
  <c r="L131" i="21"/>
  <c r="O34" i="44"/>
  <c r="O40" i="44" s="1"/>
  <c r="O47" i="44"/>
  <c r="O33" i="44"/>
  <c r="O48" i="44"/>
  <c r="O54" i="44" s="1"/>
  <c r="O50" i="44"/>
  <c r="O56" i="44" s="1"/>
  <c r="O36" i="44"/>
  <c r="O42" i="44" s="1"/>
  <c r="O201" i="26"/>
  <c r="O202" i="26" s="1"/>
  <c r="L109" i="6"/>
  <c r="M16" i="26"/>
  <c r="M49" i="44" s="1"/>
  <c r="M55" i="44" s="1"/>
  <c r="L21" i="26"/>
  <c r="L87" i="21"/>
  <c r="L116" i="21" s="1"/>
  <c r="L121" i="6" s="1"/>
  <c r="M122" i="6" s="1"/>
  <c r="M21" i="25" s="1"/>
  <c r="M114" i="26" s="1"/>
  <c r="O49" i="44"/>
  <c r="O55" i="44" s="1"/>
  <c r="W15" i="48"/>
  <c r="W16" i="48" s="1"/>
  <c r="W24" i="48" s="1"/>
  <c r="Y19" i="22"/>
  <c r="Y37" i="22" s="1"/>
  <c r="W12" i="26"/>
  <c r="W66" i="48"/>
  <c r="X94" i="6"/>
  <c r="X123" i="22"/>
  <c r="X154" i="26" s="1"/>
  <c r="Y104" i="22"/>
  <c r="Y105" i="22" s="1"/>
  <c r="Y136" i="22"/>
  <c r="Y154" i="22" s="1"/>
  <c r="W47" i="26"/>
  <c r="W44" i="26" s="1"/>
  <c r="W163" i="21"/>
  <c r="W33" i="48"/>
  <c r="V33" i="48"/>
  <c r="V65" i="48" s="1"/>
  <c r="Z330" i="1"/>
  <c r="V66" i="48"/>
  <c r="W78" i="48"/>
  <c r="W102" i="6" s="1"/>
  <c r="V12" i="26"/>
  <c r="Y8" i="53"/>
  <c r="Y8" i="49"/>
  <c r="Y8" i="48"/>
  <c r="Y8" i="51"/>
  <c r="Y8" i="52"/>
  <c r="Y51" i="26"/>
  <c r="Y52" i="26"/>
  <c r="Y85" i="26"/>
  <c r="Y74" i="26"/>
  <c r="Y64" i="26"/>
  <c r="Y40" i="26"/>
  <c r="Y135" i="26"/>
  <c r="Y34" i="26"/>
  <c r="Y69" i="26"/>
  <c r="Y65" i="26"/>
  <c r="Y43" i="26"/>
  <c r="Y70" i="26"/>
  <c r="Y54" i="26"/>
  <c r="Y41" i="26"/>
  <c r="Y50" i="26"/>
  <c r="Y58" i="26"/>
  <c r="Y55" i="26"/>
  <c r="Y48" i="26"/>
  <c r="Y42" i="26"/>
  <c r="Y136" i="26"/>
  <c r="Y86" i="26"/>
  <c r="Y68" i="26"/>
  <c r="Y37" i="26"/>
  <c r="Y75" i="26"/>
  <c r="Y66" i="26"/>
  <c r="Y35" i="26"/>
  <c r="Y72" i="26"/>
  <c r="Y73" i="26"/>
  <c r="Y57" i="26"/>
  <c r="Y134" i="26"/>
  <c r="Y53" i="26"/>
  <c r="Y142" i="26"/>
  <c r="Y92" i="26" s="1"/>
  <c r="Y36" i="26"/>
  <c r="Y49" i="26"/>
  <c r="Y38" i="26"/>
  <c r="Y67" i="26"/>
  <c r="Y59" i="26"/>
  <c r="Y56" i="26"/>
  <c r="Y39" i="26"/>
  <c r="Y71" i="26"/>
  <c r="Y339" i="1"/>
  <c r="Y342" i="1" s="1"/>
  <c r="Y351" i="1"/>
  <c r="Y354" i="1" s="1"/>
  <c r="Y345" i="1"/>
  <c r="Y348" i="1" s="1"/>
  <c r="Y72" i="21"/>
  <c r="Y108" i="21" s="1"/>
  <c r="Y75" i="21"/>
  <c r="Y111" i="21" s="1"/>
  <c r="Y77" i="21"/>
  <c r="Y113" i="21" s="1"/>
  <c r="Y62" i="21"/>
  <c r="Y98" i="21" s="1"/>
  <c r="Y63" i="21"/>
  <c r="Y99" i="21" s="1"/>
  <c r="Y74" i="21"/>
  <c r="Y110" i="21" s="1"/>
  <c r="Y61" i="21"/>
  <c r="Y97" i="21" s="1"/>
  <c r="Y70" i="21"/>
  <c r="Y64" i="21"/>
  <c r="Y100" i="21" s="1"/>
  <c r="Y76" i="21"/>
  <c r="Y112" i="21" s="1"/>
  <c r="Y65" i="21"/>
  <c r="Y101" i="21" s="1"/>
  <c r="Y60" i="21"/>
  <c r="Y96" i="21" s="1"/>
  <c r="Y59" i="21"/>
  <c r="Y71" i="21"/>
  <c r="Y107" i="21" s="1"/>
  <c r="Y66" i="21"/>
  <c r="Y102" i="21" s="1"/>
  <c r="Y73" i="21"/>
  <c r="Y109" i="21" s="1"/>
  <c r="W63" i="26"/>
  <c r="W60" i="26" s="1"/>
  <c r="W76" i="44"/>
  <c r="W89" i="44" s="1"/>
  <c r="W164" i="21"/>
  <c r="X152" i="21"/>
  <c r="X151" i="21"/>
  <c r="X150" i="21"/>
  <c r="X61" i="26"/>
  <c r="Z10" i="25"/>
  <c r="Z103" i="25"/>
  <c r="X38" i="22"/>
  <c r="X23" i="25"/>
  <c r="X116" i="26" s="1"/>
  <c r="Y29" i="44"/>
  <c r="Y30" i="44"/>
  <c r="Y188" i="48"/>
  <c r="Y147" i="48"/>
  <c r="Y116" i="48"/>
  <c r="Y200" i="48"/>
  <c r="Y119" i="48"/>
  <c r="Y189" i="48"/>
  <c r="Y216" i="48"/>
  <c r="Y182" i="48"/>
  <c r="Y206" i="48"/>
  <c r="Y215" i="48"/>
  <c r="Y162" i="48"/>
  <c r="Y202" i="48"/>
  <c r="Y161" i="48"/>
  <c r="Y131" i="48"/>
  <c r="Y186" i="48"/>
  <c r="Y154" i="48"/>
  <c r="Y149" i="48"/>
  <c r="Y40" i="48"/>
  <c r="Y156" i="48"/>
  <c r="Y153" i="48"/>
  <c r="Y104" i="48"/>
  <c r="Y93" i="48"/>
  <c r="Y89" i="48"/>
  <c r="Y108" i="48"/>
  <c r="Y92" i="48"/>
  <c r="Y49" i="48"/>
  <c r="Y51" i="48" s="1"/>
  <c r="Y172" i="48"/>
  <c r="Y75" i="48"/>
  <c r="Y157" i="48"/>
  <c r="Y113" i="48"/>
  <c r="Y203" i="48"/>
  <c r="Y158" i="48"/>
  <c r="Y150" i="48"/>
  <c r="Y184" i="48"/>
  <c r="Y120" i="48"/>
  <c r="Y129" i="48"/>
  <c r="Y125" i="48"/>
  <c r="Y197" i="48"/>
  <c r="Y160" i="48"/>
  <c r="Y122" i="48"/>
  <c r="Y152" i="48"/>
  <c r="Y123" i="48"/>
  <c r="Y185" i="48"/>
  <c r="Y130" i="48"/>
  <c r="Y29" i="48"/>
  <c r="Y100" i="48"/>
  <c r="Y209" i="48"/>
  <c r="Y155" i="48"/>
  <c r="Y146" i="48"/>
  <c r="Y88" i="48"/>
  <c r="Y96" i="48"/>
  <c r="Y101" i="48"/>
  <c r="Y94" i="48"/>
  <c r="Y90" i="48"/>
  <c r="Y107" i="48"/>
  <c r="Y180" i="48"/>
  <c r="Y85" i="48"/>
  <c r="Y98" i="48"/>
  <c r="Y97" i="48"/>
  <c r="Y190" i="48"/>
  <c r="Y159" i="48"/>
  <c r="Y211" i="48"/>
  <c r="Y213" i="48"/>
  <c r="Y210" i="48"/>
  <c r="Y135" i="48"/>
  <c r="Y46" i="48"/>
  <c r="Y205" i="48"/>
  <c r="Y128" i="48"/>
  <c r="Y144" i="48"/>
  <c r="Y132" i="48"/>
  <c r="Y214" i="48"/>
  <c r="Y212" i="48"/>
  <c r="Y134" i="48"/>
  <c r="Y140" i="48"/>
  <c r="Y143" i="48"/>
  <c r="Y114" i="48"/>
  <c r="Y217" i="48"/>
  <c r="Y183" i="48"/>
  <c r="Y102" i="48"/>
  <c r="Y181" i="48"/>
  <c r="Y87" i="48"/>
  <c r="Y99" i="48"/>
  <c r="Y177" i="48"/>
  <c r="Y133" i="48"/>
  <c r="Y187" i="48"/>
  <c r="Y117" i="48"/>
  <c r="Y141" i="48"/>
  <c r="Y199" i="48"/>
  <c r="Y196" i="48"/>
  <c r="Y127" i="48"/>
  <c r="Y218" i="48"/>
  <c r="Y208" i="48"/>
  <c r="Y126" i="48"/>
  <c r="Y166" i="48"/>
  <c r="Y91" i="48"/>
  <c r="Y105" i="48"/>
  <c r="Y95" i="48"/>
  <c r="Y103" i="48"/>
  <c r="Y26" i="48"/>
  <c r="Y106" i="48"/>
  <c r="Y25" i="48"/>
  <c r="Y76" i="48" s="1"/>
  <c r="Y86" i="48"/>
  <c r="Y169" i="48"/>
  <c r="Y171" i="48"/>
  <c r="Y178" i="48"/>
  <c r="Y175" i="48"/>
  <c r="Y174" i="48"/>
  <c r="Y168" i="48"/>
  <c r="X78" i="48"/>
  <c r="X102" i="6" s="1"/>
  <c r="Z7" i="26"/>
  <c r="Z329" i="1"/>
  <c r="Z89" i="25"/>
  <c r="Z10" i="26"/>
  <c r="Z151" i="26"/>
  <c r="Z99" i="26"/>
  <c r="Y30" i="21"/>
  <c r="Y17" i="21"/>
  <c r="Y54" i="21" s="1"/>
  <c r="Y90" i="21" s="1"/>
  <c r="Y41" i="21"/>
  <c r="Y55" i="47"/>
  <c r="Y59" i="47"/>
  <c r="Y61" i="47" s="1"/>
  <c r="Y22" i="25"/>
  <c r="Y115" i="26" s="1"/>
  <c r="Y117" i="25"/>
  <c r="Y12" i="25"/>
  <c r="Y102" i="26" s="1"/>
  <c r="Y13" i="25"/>
  <c r="Y103" i="26" s="1"/>
  <c r="Y26" i="25"/>
  <c r="Y119" i="26" s="1"/>
  <c r="Y136" i="25"/>
  <c r="Y126" i="25"/>
  <c r="Y116" i="25"/>
  <c r="Y137" i="25"/>
  <c r="Y27" i="25"/>
  <c r="Y120" i="26" s="1"/>
  <c r="Y127" i="25"/>
  <c r="Y32" i="25"/>
  <c r="Y132" i="26" s="1"/>
  <c r="W156" i="26"/>
  <c r="Y52" i="22"/>
  <c r="Y166" i="22"/>
  <c r="Y78" i="26" s="1"/>
  <c r="Y16" i="22"/>
  <c r="Y75" i="22"/>
  <c r="Y168" i="22"/>
  <c r="Y173" i="22" s="1"/>
  <c r="Y49" i="22"/>
  <c r="Y169" i="22"/>
  <c r="Y24" i="25" s="1"/>
  <c r="Y117" i="26" s="1"/>
  <c r="Y101" i="22"/>
  <c r="Y178" i="22"/>
  <c r="Y177" i="22"/>
  <c r="Y133" i="22"/>
  <c r="Y170" i="22"/>
  <c r="Y179" i="22"/>
  <c r="Y78" i="22"/>
  <c r="Y79" i="22" s="1"/>
  <c r="X45" i="26"/>
  <c r="X142" i="21"/>
  <c r="X143" i="21"/>
  <c r="X141" i="21"/>
  <c r="Y28" i="47"/>
  <c r="Y152" i="22"/>
  <c r="X155" i="26"/>
  <c r="Y91" i="25"/>
  <c r="Y92" i="25"/>
  <c r="Y93" i="25" s="1"/>
  <c r="X135" i="25"/>
  <c r="W185" i="26"/>
  <c r="X125" i="25"/>
  <c r="W184" i="26"/>
  <c r="X145" i="25"/>
  <c r="W181" i="26"/>
  <c r="V86" i="21"/>
  <c r="X115" i="25"/>
  <c r="W183" i="26"/>
  <c r="X15" i="48" l="1"/>
  <c r="L22" i="47"/>
  <c r="L11" i="25"/>
  <c r="L101" i="26" s="1"/>
  <c r="L31" i="6"/>
  <c r="K169" i="21"/>
  <c r="K161" i="21"/>
  <c r="K19" i="26" s="1"/>
  <c r="K18" i="25"/>
  <c r="K111" i="26" s="1"/>
  <c r="K20" i="25"/>
  <c r="K113" i="26" s="1"/>
  <c r="O107" i="6"/>
  <c r="O22" i="26"/>
  <c r="Q103" i="6"/>
  <c r="Q108" i="6" s="1"/>
  <c r="O18" i="6"/>
  <c r="O23" i="26"/>
  <c r="P107" i="6"/>
  <c r="O13" i="47"/>
  <c r="X30" i="48"/>
  <c r="T38" i="6"/>
  <c r="S168" i="26"/>
  <c r="P16" i="26"/>
  <c r="P35" i="44" s="1"/>
  <c r="P41" i="44" s="1"/>
  <c r="P16" i="25"/>
  <c r="P109" i="26" s="1"/>
  <c r="K31" i="26"/>
  <c r="K28" i="26" s="1"/>
  <c r="K76" i="26" s="1"/>
  <c r="K155" i="21"/>
  <c r="K175" i="21"/>
  <c r="K172" i="21"/>
  <c r="K12" i="44"/>
  <c r="K25" i="44" s="1"/>
  <c r="K91" i="44" s="1"/>
  <c r="K94" i="44" s="1"/>
  <c r="K95" i="44" s="1"/>
  <c r="K162" i="21"/>
  <c r="M47" i="44"/>
  <c r="M201" i="26"/>
  <c r="M202" i="26" s="1"/>
  <c r="M34" i="44"/>
  <c r="M40" i="44" s="1"/>
  <c r="M48" i="44"/>
  <c r="M54" i="44" s="1"/>
  <c r="M36" i="44"/>
  <c r="M42" i="44" s="1"/>
  <c r="M50" i="44"/>
  <c r="M56" i="44" s="1"/>
  <c r="M33" i="44"/>
  <c r="L39" i="44"/>
  <c r="L43" i="44" s="1"/>
  <c r="L37" i="44"/>
  <c r="M19" i="21"/>
  <c r="M92" i="21"/>
  <c r="M30" i="26" s="1"/>
  <c r="L13" i="47"/>
  <c r="L32" i="6"/>
  <c r="L205" i="26"/>
  <c r="L203" i="26" s="1"/>
  <c r="L206" i="26" s="1"/>
  <c r="K158" i="26"/>
  <c r="N26" i="6"/>
  <c r="N28" i="6" s="1"/>
  <c r="P26" i="6"/>
  <c r="P28" i="6" s="1"/>
  <c r="O26" i="6"/>
  <c r="O28" i="6" s="1"/>
  <c r="M14" i="21"/>
  <c r="M18" i="26"/>
  <c r="L80" i="21"/>
  <c r="L123" i="21"/>
  <c r="L124" i="21"/>
  <c r="L125" i="21"/>
  <c r="M26" i="6"/>
  <c r="M28" i="6" s="1"/>
  <c r="M13" i="47"/>
  <c r="M32" i="6"/>
  <c r="O39" i="44"/>
  <c r="O43" i="44" s="1"/>
  <c r="O37" i="44"/>
  <c r="N23" i="26"/>
  <c r="L51" i="44"/>
  <c r="L53" i="44"/>
  <c r="L57" i="44" s="1"/>
  <c r="N39" i="44"/>
  <c r="N43" i="44" s="1"/>
  <c r="N37" i="44"/>
  <c r="M20" i="26"/>
  <c r="L123" i="6"/>
  <c r="L23" i="26"/>
  <c r="M15" i="6"/>
  <c r="M21" i="6" s="1"/>
  <c r="L160" i="26"/>
  <c r="Z28" i="44"/>
  <c r="Z29" i="44" s="1"/>
  <c r="M35" i="44"/>
  <c r="M41" i="44" s="1"/>
  <c r="M106" i="6"/>
  <c r="M109" i="6" s="1"/>
  <c r="L169" i="26"/>
  <c r="O53" i="44"/>
  <c r="O57" i="44" s="1"/>
  <c r="O51" i="44"/>
  <c r="N13" i="47"/>
  <c r="N32" i="6"/>
  <c r="N53" i="44"/>
  <c r="N57" i="44" s="1"/>
  <c r="N51" i="44"/>
  <c r="L132" i="21"/>
  <c r="L29" i="26"/>
  <c r="L134" i="21"/>
  <c r="L133" i="21"/>
  <c r="M23" i="26"/>
  <c r="Z178" i="48"/>
  <c r="W18" i="48"/>
  <c r="Y20" i="22"/>
  <c r="W64" i="48"/>
  <c r="W47" i="48"/>
  <c r="W62" i="48" s="1"/>
  <c r="X47" i="48"/>
  <c r="X62" i="48" s="1"/>
  <c r="X13" i="48"/>
  <c r="W18" i="21"/>
  <c r="W55" i="21" s="1"/>
  <c r="W60" i="48"/>
  <c r="W61" i="48"/>
  <c r="V35" i="48"/>
  <c r="Z169" i="48"/>
  <c r="W35" i="48"/>
  <c r="W65" i="48"/>
  <c r="Z181" i="48"/>
  <c r="Z96" i="48"/>
  <c r="Y120" i="22"/>
  <c r="W13" i="21"/>
  <c r="W50" i="21" s="1"/>
  <c r="Y137" i="22"/>
  <c r="W63" i="48"/>
  <c r="V54" i="48"/>
  <c r="V16" i="6" s="1"/>
  <c r="AA328" i="1"/>
  <c r="AA7" i="25"/>
  <c r="Y67" i="21"/>
  <c r="Y95" i="21"/>
  <c r="Y103" i="21" s="1"/>
  <c r="Y46" i="26" s="1"/>
  <c r="Z63" i="6"/>
  <c r="Z86" i="6"/>
  <c r="Z51" i="6"/>
  <c r="Z53" i="6"/>
  <c r="Z78" i="6"/>
  <c r="Z75" i="6"/>
  <c r="Z52" i="6"/>
  <c r="Z83" i="6"/>
  <c r="Z79" i="6"/>
  <c r="Z70" i="6"/>
  <c r="Z77" i="6"/>
  <c r="Z69" i="6"/>
  <c r="Z82" i="6"/>
  <c r="Z81" i="6"/>
  <c r="Z72" i="6"/>
  <c r="Z84" i="6"/>
  <c r="Z65" i="6"/>
  <c r="Z28" i="47"/>
  <c r="Z85" i="6"/>
  <c r="Z73" i="6"/>
  <c r="Z62" i="6"/>
  <c r="Z71" i="6"/>
  <c r="Z76" i="6"/>
  <c r="Z59" i="6"/>
  <c r="Z56" i="6"/>
  <c r="Z64" i="6"/>
  <c r="Z55" i="6"/>
  <c r="Z57" i="6"/>
  <c r="Z60" i="6"/>
  <c r="Z67" i="6"/>
  <c r="Z66" i="6"/>
  <c r="Z54" i="6"/>
  <c r="Z80" i="6"/>
  <c r="Z58" i="6"/>
  <c r="Z68" i="6"/>
  <c r="Y109" i="48"/>
  <c r="Y22" i="48" s="1"/>
  <c r="Y139" i="48"/>
  <c r="Y112" i="48" s="1"/>
  <c r="Y35" i="22"/>
  <c r="X153" i="26"/>
  <c r="X156" i="26" s="1"/>
  <c r="Y106" i="21"/>
  <c r="Y114" i="21" s="1"/>
  <c r="Y62" i="26" s="1"/>
  <c r="Y78" i="21"/>
  <c r="Z75" i="22"/>
  <c r="Z91" i="22" s="1"/>
  <c r="Z133" i="22"/>
  <c r="Z169" i="22"/>
  <c r="Z24" i="25" s="1"/>
  <c r="Z117" i="26" s="1"/>
  <c r="Z177" i="22"/>
  <c r="Z168" i="22"/>
  <c r="Z173" i="22" s="1"/>
  <c r="Z178" i="22"/>
  <c r="Z101" i="22"/>
  <c r="Z117" i="22" s="1"/>
  <c r="Z179" i="22"/>
  <c r="Z49" i="22"/>
  <c r="Z170" i="22"/>
  <c r="Z166" i="22"/>
  <c r="Z78" i="26" s="1"/>
  <c r="Z16" i="22"/>
  <c r="Y139" i="21"/>
  <c r="Y140" i="21"/>
  <c r="Y138" i="21"/>
  <c r="V19" i="6"/>
  <c r="Y145" i="48"/>
  <c r="Z91" i="48"/>
  <c r="Y151" i="48"/>
  <c r="Y148" i="48"/>
  <c r="Y176" i="48" s="1"/>
  <c r="Y204" i="48" s="1"/>
  <c r="Z94" i="48"/>
  <c r="Z90" i="25"/>
  <c r="Z92" i="25" s="1"/>
  <c r="Z93" i="25" s="1"/>
  <c r="X153" i="21"/>
  <c r="Y159" i="26"/>
  <c r="Z351" i="1"/>
  <c r="Z354" i="1" s="1"/>
  <c r="Z132" i="48"/>
  <c r="Z153" i="48"/>
  <c r="Z25" i="48"/>
  <c r="Z76" i="48" s="1"/>
  <c r="Z75" i="48"/>
  <c r="Z184" i="48"/>
  <c r="Z117" i="48"/>
  <c r="Z126" i="48"/>
  <c r="Z201" i="48"/>
  <c r="Z127" i="48"/>
  <c r="Z217" i="48"/>
  <c r="T25" i="6"/>
  <c r="Y53" i="22"/>
  <c r="Y122" i="22"/>
  <c r="Y94" i="6"/>
  <c r="Y98" i="6"/>
  <c r="Y115" i="6" s="1"/>
  <c r="W27" i="6"/>
  <c r="Y42" i="48"/>
  <c r="Z41" i="21"/>
  <c r="W19" i="6"/>
  <c r="Y94" i="25"/>
  <c r="Y95" i="25" s="1"/>
  <c r="Y110" i="25" s="1"/>
  <c r="Y25" i="25"/>
  <c r="Y118" i="26" s="1"/>
  <c r="Y174" i="22"/>
  <c r="Y175" i="22" s="1"/>
  <c r="Y117" i="22"/>
  <c r="Y103" i="22"/>
  <c r="Y77" i="22"/>
  <c r="Y91" i="22"/>
  <c r="Y142" i="48"/>
  <c r="Y170" i="48" s="1"/>
  <c r="Z170" i="48" s="1"/>
  <c r="Z49" i="48"/>
  <c r="Z51" i="48" s="1"/>
  <c r="Z345" i="1"/>
  <c r="Z348" i="1" s="1"/>
  <c r="Y166" i="26"/>
  <c r="Z137" i="25"/>
  <c r="Z117" i="25"/>
  <c r="Z127" i="25"/>
  <c r="Z12" i="25"/>
  <c r="Z102" i="26" s="1"/>
  <c r="Z116" i="25"/>
  <c r="Z32" i="25"/>
  <c r="Z132" i="26" s="1"/>
  <c r="Z13" i="25"/>
  <c r="Z103" i="26" s="1"/>
  <c r="Z22" i="25"/>
  <c r="Z115" i="26" s="1"/>
  <c r="Z126" i="25"/>
  <c r="Z26" i="25"/>
  <c r="Z119" i="26" s="1"/>
  <c r="Z136" i="25"/>
  <c r="Z27" i="25"/>
  <c r="Z120" i="26" s="1"/>
  <c r="Z59" i="26"/>
  <c r="Z53" i="26"/>
  <c r="Z55" i="26"/>
  <c r="Z35" i="26"/>
  <c r="Z68" i="26"/>
  <c r="Z42" i="26"/>
  <c r="Z75" i="26"/>
  <c r="Z56" i="26"/>
  <c r="Z40" i="26"/>
  <c r="Z57" i="26"/>
  <c r="Z41" i="26"/>
  <c r="Z70" i="26"/>
  <c r="Z74" i="26"/>
  <c r="Z65" i="26"/>
  <c r="Z142" i="26"/>
  <c r="Z92" i="26" s="1"/>
  <c r="Z34" i="26"/>
  <c r="Z43" i="26"/>
  <c r="Z51" i="26"/>
  <c r="Z38" i="26"/>
  <c r="Z36" i="26"/>
  <c r="Z136" i="26"/>
  <c r="Z48" i="26"/>
  <c r="Z50" i="26"/>
  <c r="Z58" i="26"/>
  <c r="Z72" i="26"/>
  <c r="Z71" i="26"/>
  <c r="Z66" i="26"/>
  <c r="Z52" i="26"/>
  <c r="Z39" i="26"/>
  <c r="Z73" i="26"/>
  <c r="Z85" i="26"/>
  <c r="Z54" i="26"/>
  <c r="Z69" i="26"/>
  <c r="Z134" i="26"/>
  <c r="Z64" i="26"/>
  <c r="Z37" i="26"/>
  <c r="Z67" i="26"/>
  <c r="Z49" i="26"/>
  <c r="Z86" i="26"/>
  <c r="Z135" i="26"/>
  <c r="Y135" i="22"/>
  <c r="Y149" i="22"/>
  <c r="Y153" i="22"/>
  <c r="Y155" i="22" s="1"/>
  <c r="Y163" i="22"/>
  <c r="Y161" i="22"/>
  <c r="Y18" i="22"/>
  <c r="Y36" i="22"/>
  <c r="Y160" i="22"/>
  <c r="Y32" i="22"/>
  <c r="Y164" i="22"/>
  <c r="Y81" i="26" s="1"/>
  <c r="X144" i="21"/>
  <c r="Y14" i="25"/>
  <c r="Y104" i="26" s="1"/>
  <c r="Y180" i="22"/>
  <c r="Y80" i="26" s="1"/>
  <c r="Y65" i="22"/>
  <c r="Y51" i="22"/>
  <c r="Y121" i="22"/>
  <c r="Y162" i="22"/>
  <c r="Y148" i="21"/>
  <c r="Y147" i="21"/>
  <c r="Y149" i="21"/>
  <c r="Z8" i="21"/>
  <c r="Y13" i="44"/>
  <c r="Y32" i="26" s="1"/>
  <c r="Y194" i="48"/>
  <c r="Y14" i="44"/>
  <c r="Y33" i="26" s="1"/>
  <c r="Y170" i="26"/>
  <c r="Z339" i="1"/>
  <c r="Z342" i="1" s="1"/>
  <c r="Z170" i="26" s="1"/>
  <c r="Z59" i="47"/>
  <c r="Z61" i="47" s="1"/>
  <c r="Z55" i="47"/>
  <c r="X27" i="6"/>
  <c r="X149" i="25"/>
  <c r="X31" i="25" s="1"/>
  <c r="X123" i="26" s="1"/>
  <c r="X147" i="25"/>
  <c r="X129" i="25"/>
  <c r="X131" i="25" s="1"/>
  <c r="X128" i="25"/>
  <c r="X119" i="25"/>
  <c r="X121" i="25" s="1"/>
  <c r="X118" i="25"/>
  <c r="X139" i="25"/>
  <c r="X141" i="25" s="1"/>
  <c r="X138" i="25"/>
  <c r="X19" i="6" l="1"/>
  <c r="X18" i="48"/>
  <c r="L34" i="6"/>
  <c r="M31" i="6" s="1"/>
  <c r="K69" i="48"/>
  <c r="K70" i="48" s="1"/>
  <c r="K72" i="48" s="1"/>
  <c r="K165" i="21"/>
  <c r="P22" i="26"/>
  <c r="O32" i="6"/>
  <c r="Z26" i="48"/>
  <c r="Z87" i="48"/>
  <c r="Z104" i="48"/>
  <c r="Z46" i="48"/>
  <c r="Z103" i="48"/>
  <c r="Z108" i="48"/>
  <c r="Z93" i="48"/>
  <c r="Z97" i="48"/>
  <c r="Z29" i="48"/>
  <c r="Z161" i="48"/>
  <c r="Z40" i="48"/>
  <c r="Z42" i="48" s="1"/>
  <c r="Z101" i="48"/>
  <c r="L135" i="21"/>
  <c r="Z166" i="48"/>
  <c r="Z17" i="21"/>
  <c r="Z54" i="21" s="1"/>
  <c r="Z90" i="21" s="1"/>
  <c r="Z189" i="48"/>
  <c r="Z134" i="48"/>
  <c r="Z212" i="48"/>
  <c r="Z213" i="48"/>
  <c r="Z112" i="48"/>
  <c r="Z206" i="48"/>
  <c r="Z120" i="48"/>
  <c r="Z114" i="48"/>
  <c r="Z155" i="48"/>
  <c r="Z98" i="48"/>
  <c r="Z152" i="48" s="1"/>
  <c r="Z125" i="48" s="1"/>
  <c r="Z100" i="48"/>
  <c r="K93" i="6"/>
  <c r="K95" i="6" s="1"/>
  <c r="L92" i="6" s="1"/>
  <c r="X77" i="48"/>
  <c r="X31" i="48"/>
  <c r="X32" i="48" s="1"/>
  <c r="X33" i="48" s="1"/>
  <c r="X54" i="48" s="1"/>
  <c r="X16" i="6" s="1"/>
  <c r="Z30" i="21"/>
  <c r="Z140" i="21" s="1"/>
  <c r="Z207" i="48"/>
  <c r="Z190" i="48"/>
  <c r="Z188" i="48"/>
  <c r="Z121" i="48"/>
  <c r="Z145" i="48"/>
  <c r="Z186" i="48"/>
  <c r="Z200" i="48"/>
  <c r="Z211" i="48"/>
  <c r="Z172" i="48"/>
  <c r="Z175" i="48"/>
  <c r="Z102" i="48"/>
  <c r="Z106" i="48"/>
  <c r="O11" i="25"/>
  <c r="O101" i="26" s="1"/>
  <c r="P11" i="25"/>
  <c r="P101" i="26" s="1"/>
  <c r="Z30" i="44"/>
  <c r="Z91" i="25"/>
  <c r="Z94" i="25" s="1"/>
  <c r="Z95" i="25" s="1"/>
  <c r="Z110" i="25" s="1"/>
  <c r="K156" i="21"/>
  <c r="K19" i="25" s="1"/>
  <c r="K112" i="26" s="1"/>
  <c r="K158" i="21"/>
  <c r="K177" i="21"/>
  <c r="L126" i="21"/>
  <c r="N11" i="25"/>
  <c r="N101" i="26" s="1"/>
  <c r="N15" i="6"/>
  <c r="N21" i="6" s="1"/>
  <c r="M160" i="26"/>
  <c r="M120" i="6"/>
  <c r="L172" i="26"/>
  <c r="M21" i="26"/>
  <c r="L81" i="21"/>
  <c r="M51" i="21"/>
  <c r="L207" i="26"/>
  <c r="L210" i="26"/>
  <c r="L211" i="26" s="1"/>
  <c r="L15" i="47" s="1"/>
  <c r="O21" i="26"/>
  <c r="P33" i="6"/>
  <c r="P22" i="47"/>
  <c r="N22" i="47"/>
  <c r="N33" i="6"/>
  <c r="M37" i="44"/>
  <c r="M39" i="44"/>
  <c r="M43" i="44" s="1"/>
  <c r="Z151" i="48"/>
  <c r="Z195" i="48"/>
  <c r="Z135" i="48"/>
  <c r="Z142" i="48"/>
  <c r="Z182" i="48"/>
  <c r="Z130" i="48"/>
  <c r="Z158" i="48"/>
  <c r="Z123" i="48"/>
  <c r="Z150" i="48"/>
  <c r="Z118" i="48"/>
  <c r="Z185" i="48"/>
  <c r="Z128" i="48"/>
  <c r="Z162" i="48"/>
  <c r="Z203" i="48"/>
  <c r="Z129" i="48"/>
  <c r="Z160" i="48"/>
  <c r="Z144" i="48"/>
  <c r="Z139" i="48"/>
  <c r="Z156" i="48"/>
  <c r="Z157" i="48"/>
  <c r="Z216" i="48"/>
  <c r="Z92" i="48"/>
  <c r="Z146" i="48" s="1"/>
  <c r="Z174" i="48" s="1"/>
  <c r="Z202" i="48" s="1"/>
  <c r="Z105" i="48"/>
  <c r="K24" i="26"/>
  <c r="K25" i="26" s="1"/>
  <c r="M11" i="25"/>
  <c r="M101" i="26" s="1"/>
  <c r="M43" i="21"/>
  <c r="M44" i="21" s="1"/>
  <c r="M121" i="21"/>
  <c r="M122" i="21"/>
  <c r="M120" i="21"/>
  <c r="O33" i="6"/>
  <c r="O22" i="47"/>
  <c r="N21" i="26"/>
  <c r="M56" i="21"/>
  <c r="P18" i="6"/>
  <c r="M129" i="21"/>
  <c r="M131" i="21"/>
  <c r="M130" i="21"/>
  <c r="P49" i="44"/>
  <c r="P55" i="44" s="1"/>
  <c r="P50" i="44"/>
  <c r="P56" i="44" s="1"/>
  <c r="P33" i="44"/>
  <c r="P36" i="44"/>
  <c r="P42" i="44" s="1"/>
  <c r="P47" i="44"/>
  <c r="P48" i="44"/>
  <c r="P54" i="44" s="1"/>
  <c r="P201" i="26"/>
  <c r="P202" i="26" s="1"/>
  <c r="P34" i="44"/>
  <c r="P40" i="44" s="1"/>
  <c r="M53" i="44"/>
  <c r="M57" i="44" s="1"/>
  <c r="M51" i="44"/>
  <c r="Z88" i="48"/>
  <c r="Z210" i="48"/>
  <c r="Z215" i="48"/>
  <c r="Z204" i="48"/>
  <c r="Z133" i="48"/>
  <c r="Z209" i="48"/>
  <c r="Z159" i="48"/>
  <c r="Z147" i="48"/>
  <c r="Z131" i="48"/>
  <c r="Z197" i="48"/>
  <c r="Z194" i="48"/>
  <c r="Z183" i="48"/>
  <c r="Z214" i="48"/>
  <c r="Z141" i="48"/>
  <c r="Z148" i="48"/>
  <c r="Z115" i="48"/>
  <c r="Z218" i="48"/>
  <c r="Z154" i="48"/>
  <c r="Z124" i="48"/>
  <c r="Z198" i="48"/>
  <c r="Z187" i="48"/>
  <c r="Z85" i="48"/>
  <c r="Z89" i="48"/>
  <c r="Z143" i="48" s="1"/>
  <c r="Z171" i="48" s="1"/>
  <c r="Z199" i="48" s="1"/>
  <c r="Z107" i="48"/>
  <c r="Z99" i="48"/>
  <c r="Z86" i="48"/>
  <c r="Z140" i="48" s="1"/>
  <c r="Z113" i="48" s="1"/>
  <c r="Z90" i="48"/>
  <c r="Z95" i="48"/>
  <c r="Z149" i="48" s="1"/>
  <c r="Z122" i="48" s="1"/>
  <c r="K114" i="6"/>
  <c r="K116" i="6" s="1"/>
  <c r="K16" i="47"/>
  <c r="M169" i="26"/>
  <c r="N106" i="6"/>
  <c r="N109" i="6" s="1"/>
  <c r="M33" i="6"/>
  <c r="M22" i="47"/>
  <c r="M87" i="21"/>
  <c r="M116" i="21" s="1"/>
  <c r="M121" i="6" s="1"/>
  <c r="N122" i="6" s="1"/>
  <c r="N21" i="25" s="1"/>
  <c r="N114" i="26" s="1"/>
  <c r="P21" i="26"/>
  <c r="U40" i="6"/>
  <c r="U25" i="6"/>
  <c r="X16" i="48"/>
  <c r="X60" i="48" s="1"/>
  <c r="W57" i="48"/>
  <c r="W24" i="6" s="1"/>
  <c r="W54" i="48"/>
  <c r="W16" i="6" s="1"/>
  <c r="X57" i="48"/>
  <c r="X24" i="6" s="1"/>
  <c r="V55" i="48"/>
  <c r="Z176" i="48"/>
  <c r="Y182" i="22"/>
  <c r="Z78" i="22"/>
  <c r="Z79" i="22" s="1"/>
  <c r="Z77" i="22"/>
  <c r="Z149" i="21"/>
  <c r="Z147" i="21"/>
  <c r="Z148" i="21"/>
  <c r="T40" i="6"/>
  <c r="T43" i="6" s="1"/>
  <c r="X164" i="21"/>
  <c r="X76" i="44"/>
  <c r="X89" i="44" s="1"/>
  <c r="X63" i="26"/>
  <c r="X60" i="26" s="1"/>
  <c r="AA10" i="26"/>
  <c r="AA151" i="26"/>
  <c r="AA99" i="26"/>
  <c r="Z66" i="21"/>
  <c r="Z102" i="21" s="1"/>
  <c r="Z74" i="21"/>
  <c r="Z110" i="21" s="1"/>
  <c r="Z64" i="21"/>
  <c r="Z100" i="21" s="1"/>
  <c r="Z72" i="21"/>
  <c r="Z108" i="21" s="1"/>
  <c r="Z62" i="21"/>
  <c r="Z98" i="21" s="1"/>
  <c r="Z61" i="21"/>
  <c r="Z97" i="21" s="1"/>
  <c r="Z63" i="21"/>
  <c r="Z99" i="21" s="1"/>
  <c r="Z77" i="21"/>
  <c r="Z113" i="21" s="1"/>
  <c r="Z71" i="21"/>
  <c r="Z107" i="21" s="1"/>
  <c r="Z75" i="21"/>
  <c r="Z111" i="21" s="1"/>
  <c r="Z60" i="21"/>
  <c r="Z96" i="21" s="1"/>
  <c r="Z65" i="21"/>
  <c r="Z101" i="21" s="1"/>
  <c r="Z59" i="21"/>
  <c r="Z76" i="21"/>
  <c r="Z112" i="21" s="1"/>
  <c r="Z70" i="21"/>
  <c r="Z73" i="21"/>
  <c r="Z109" i="21" s="1"/>
  <c r="Z159" i="26"/>
  <c r="Z174" i="22"/>
  <c r="Z25" i="25"/>
  <c r="Z118" i="26" s="1"/>
  <c r="Z153" i="22"/>
  <c r="Z149" i="22"/>
  <c r="Z163" i="22"/>
  <c r="Y28" i="48"/>
  <c r="AA329" i="1"/>
  <c r="AA7" i="26"/>
  <c r="AA89" i="25"/>
  <c r="Y198" i="48"/>
  <c r="Z8" i="53"/>
  <c r="Z8" i="51"/>
  <c r="Z8" i="48"/>
  <c r="Z8" i="52"/>
  <c r="Z8" i="49"/>
  <c r="Y123" i="22"/>
  <c r="Z166" i="26"/>
  <c r="Y115" i="48"/>
  <c r="Z13" i="44"/>
  <c r="Z32" i="26" s="1"/>
  <c r="Y121" i="48"/>
  <c r="Y173" i="48"/>
  <c r="Y118" i="48"/>
  <c r="Z65" i="22"/>
  <c r="Z121" i="22"/>
  <c r="Z162" i="22"/>
  <c r="Y38" i="22"/>
  <c r="Z152" i="22"/>
  <c r="Y155" i="26"/>
  <c r="Z136" i="22"/>
  <c r="Z135" i="22"/>
  <c r="Y179" i="48"/>
  <c r="Y124" i="48"/>
  <c r="Z104" i="22"/>
  <c r="Z105" i="22" s="1"/>
  <c r="Z103" i="22"/>
  <c r="Z52" i="22"/>
  <c r="Z51" i="22"/>
  <c r="X47" i="26"/>
  <c r="X44" i="26" s="1"/>
  <c r="X163" i="21"/>
  <c r="X60" i="44"/>
  <c r="X73" i="44" s="1"/>
  <c r="Z19" i="22"/>
  <c r="Z18" i="22"/>
  <c r="Y171" i="26"/>
  <c r="Z172" i="22"/>
  <c r="Z36" i="22"/>
  <c r="Z160" i="22"/>
  <c r="Z161" i="22"/>
  <c r="Z32" i="22"/>
  <c r="Z180" i="22"/>
  <c r="Z80" i="26" s="1"/>
  <c r="Z14" i="25"/>
  <c r="Z104" i="26" s="1"/>
  <c r="Y61" i="26"/>
  <c r="Y152" i="21"/>
  <c r="Y151" i="21"/>
  <c r="Y150" i="21"/>
  <c r="Y163" i="48"/>
  <c r="Y167" i="48"/>
  <c r="Z49" i="6"/>
  <c r="Z50" i="6"/>
  <c r="Y143" i="21"/>
  <c r="Y45" i="26"/>
  <c r="Y141" i="21"/>
  <c r="Y142" i="21"/>
  <c r="AA10" i="25"/>
  <c r="AA103" i="25"/>
  <c r="V25" i="6"/>
  <c r="V40" i="6"/>
  <c r="W86" i="21"/>
  <c r="Y115" i="25"/>
  <c r="X183" i="26"/>
  <c r="X185" i="26"/>
  <c r="Y135" i="25"/>
  <c r="X184" i="26"/>
  <c r="Y125" i="25"/>
  <c r="Y145" i="25"/>
  <c r="X181" i="26"/>
  <c r="W91" i="21"/>
  <c r="L172" i="21" l="1"/>
  <c r="Y27" i="6"/>
  <c r="L161" i="26"/>
  <c r="Z14" i="44"/>
  <c r="Z33" i="26" s="1"/>
  <c r="Z177" i="48"/>
  <c r="Z205" i="48" s="1"/>
  <c r="L169" i="21"/>
  <c r="K167" i="26"/>
  <c r="S103" i="6"/>
  <c r="S108" i="6" s="1"/>
  <c r="L175" i="21"/>
  <c r="L20" i="25"/>
  <c r="L113" i="26" s="1"/>
  <c r="L155" i="21"/>
  <c r="L156" i="21" s="1"/>
  <c r="L19" i="25" s="1"/>
  <c r="L112" i="26" s="1"/>
  <c r="L162" i="21"/>
  <c r="L31" i="26"/>
  <c r="L28" i="26" s="1"/>
  <c r="L76" i="26" s="1"/>
  <c r="L161" i="21"/>
  <c r="L12" i="44"/>
  <c r="L25" i="44" s="1"/>
  <c r="L91" i="44" s="1"/>
  <c r="L94" i="44" s="1"/>
  <c r="L93" i="6" s="1"/>
  <c r="L95" i="6" s="1"/>
  <c r="Z139" i="21"/>
  <c r="Z180" i="48"/>
  <c r="Z208" i="48" s="1"/>
  <c r="Z168" i="48"/>
  <c r="Z196" i="48" s="1"/>
  <c r="Z119" i="48"/>
  <c r="Z138" i="21"/>
  <c r="X12" i="26"/>
  <c r="Y78" i="48"/>
  <c r="Y102" i="6" s="1"/>
  <c r="X66" i="48"/>
  <c r="Y47" i="48"/>
  <c r="X35" i="48"/>
  <c r="X65" i="48"/>
  <c r="Z109" i="48"/>
  <c r="Z22" i="48" s="1"/>
  <c r="Z163" i="48"/>
  <c r="R107" i="6"/>
  <c r="Z116" i="48"/>
  <c r="K17" i="25"/>
  <c r="K110" i="26" s="1"/>
  <c r="L18" i="25"/>
  <c r="L111" i="26" s="1"/>
  <c r="N18" i="26"/>
  <c r="P23" i="26"/>
  <c r="K173" i="26"/>
  <c r="L113" i="6"/>
  <c r="P51" i="44"/>
  <c r="P53" i="44"/>
  <c r="P57" i="44" s="1"/>
  <c r="N20" i="26"/>
  <c r="M132" i="21"/>
  <c r="M134" i="21"/>
  <c r="M133" i="21"/>
  <c r="M29" i="26"/>
  <c r="M125" i="21"/>
  <c r="M124" i="21"/>
  <c r="M80" i="21"/>
  <c r="M123" i="21"/>
  <c r="M123" i="6"/>
  <c r="Q79" i="26"/>
  <c r="Q26" i="6"/>
  <c r="Q28" i="6" s="1"/>
  <c r="R79" i="26"/>
  <c r="K14" i="47"/>
  <c r="K26" i="26"/>
  <c r="K77" i="26"/>
  <c r="L158" i="26"/>
  <c r="M205" i="26"/>
  <c r="R103" i="6"/>
  <c r="Q16" i="25"/>
  <c r="Q109" i="26" s="1"/>
  <c r="M34" i="6"/>
  <c r="O106" i="6"/>
  <c r="O109" i="6" s="1"/>
  <c r="N169" i="26"/>
  <c r="P39" i="44"/>
  <c r="P43" i="44" s="1"/>
  <c r="P37" i="44"/>
  <c r="N92" i="21"/>
  <c r="N30" i="26" s="1"/>
  <c r="N19" i="21"/>
  <c r="N14" i="21"/>
  <c r="N87" i="21"/>
  <c r="P32" i="6"/>
  <c r="P13" i="47"/>
  <c r="R16" i="26"/>
  <c r="R49" i="44" s="1"/>
  <c r="R55" i="44" s="1"/>
  <c r="N160" i="26"/>
  <c r="O15" i="6"/>
  <c r="O21" i="6" s="1"/>
  <c r="Z175" i="22"/>
  <c r="Z171" i="26" s="1"/>
  <c r="AA90" i="25"/>
  <c r="AA92" i="25" s="1"/>
  <c r="AA93" i="25" s="1"/>
  <c r="X24" i="48"/>
  <c r="X61" i="48"/>
  <c r="X63" i="48"/>
  <c r="Y13" i="48"/>
  <c r="X18" i="21"/>
  <c r="X55" i="21" s="1"/>
  <c r="X64" i="48"/>
  <c r="X13" i="21"/>
  <c r="X50" i="21" s="1"/>
  <c r="W53" i="48"/>
  <c r="W55" i="48" s="1"/>
  <c r="X53" i="48" s="1"/>
  <c r="X55" i="48" s="1"/>
  <c r="Z182" i="22"/>
  <c r="Z17" i="47" s="1"/>
  <c r="Y144" i="21"/>
  <c r="Y47" i="26" s="1"/>
  <c r="Y44" i="26" s="1"/>
  <c r="Z87" i="6"/>
  <c r="Z98" i="6" s="1"/>
  <c r="Z115" i="6" s="1"/>
  <c r="Y195" i="48"/>
  <c r="Z167" i="48"/>
  <c r="Y191" i="48"/>
  <c r="Y23" i="48" s="1"/>
  <c r="Z53" i="22"/>
  <c r="Z122" i="22"/>
  <c r="Z95" i="21"/>
  <c r="Z103" i="21" s="1"/>
  <c r="Z46" i="26" s="1"/>
  <c r="Z67" i="21"/>
  <c r="AA330" i="1"/>
  <c r="AA28" i="47"/>
  <c r="AA28" i="44"/>
  <c r="Z20" i="22"/>
  <c r="AA19" i="22" s="1"/>
  <c r="Z37" i="22"/>
  <c r="Z164" i="22"/>
  <c r="Z81" i="26" s="1"/>
  <c r="AA65" i="6"/>
  <c r="AA77" i="6"/>
  <c r="AA52" i="6"/>
  <c r="AA51" i="6"/>
  <c r="AA59" i="6"/>
  <c r="AA82" i="6"/>
  <c r="AA60" i="6"/>
  <c r="AA54" i="6"/>
  <c r="AA64" i="6"/>
  <c r="AA58" i="6"/>
  <c r="AA79" i="6"/>
  <c r="AA62" i="6"/>
  <c r="AA75" i="6"/>
  <c r="AA56" i="6"/>
  <c r="AA67" i="6"/>
  <c r="AA78" i="6"/>
  <c r="AA70" i="6"/>
  <c r="AA53" i="6"/>
  <c r="AA86" i="6"/>
  <c r="AA83" i="6"/>
  <c r="AA69" i="6"/>
  <c r="AA66" i="6"/>
  <c r="AA49" i="6"/>
  <c r="AA80" i="6"/>
  <c r="AA68" i="6"/>
  <c r="AA72" i="6"/>
  <c r="AA57" i="6"/>
  <c r="AA76" i="6"/>
  <c r="AA84" i="6"/>
  <c r="AA81" i="6"/>
  <c r="AA71" i="6"/>
  <c r="AA55" i="6"/>
  <c r="AA63" i="6"/>
  <c r="AA85" i="6"/>
  <c r="AA73" i="6"/>
  <c r="AB7" i="25"/>
  <c r="AB328" i="1"/>
  <c r="Y153" i="21"/>
  <c r="Z179" i="48"/>
  <c r="Y207" i="48"/>
  <c r="Z35" i="22"/>
  <c r="Y153" i="26"/>
  <c r="Y136" i="48"/>
  <c r="Z106" i="21"/>
  <c r="Z114" i="21" s="1"/>
  <c r="Z62" i="26" s="1"/>
  <c r="Z78" i="21"/>
  <c r="U38" i="6"/>
  <c r="U43" i="6" s="1"/>
  <c r="V38" i="6" s="1"/>
  <c r="V43" i="6" s="1"/>
  <c r="T168" i="26"/>
  <c r="Z154" i="22"/>
  <c r="Z155" i="22" s="1"/>
  <c r="Z137" i="22"/>
  <c r="Z173" i="48"/>
  <c r="Y201" i="48"/>
  <c r="Y17" i="47"/>
  <c r="Y23" i="25"/>
  <c r="Y116" i="26" s="1"/>
  <c r="Y154" i="26"/>
  <c r="Z120" i="22"/>
  <c r="AA8" i="21"/>
  <c r="Y119" i="25"/>
  <c r="Y121" i="25" s="1"/>
  <c r="Y118" i="25"/>
  <c r="Y149" i="25"/>
  <c r="Y31" i="25" s="1"/>
  <c r="Y123" i="26" s="1"/>
  <c r="Y147" i="25"/>
  <c r="Y128" i="25"/>
  <c r="Y129" i="25"/>
  <c r="Y131" i="25" s="1"/>
  <c r="Y139" i="25"/>
  <c r="Y141" i="25" s="1"/>
  <c r="Y138" i="25"/>
  <c r="L165" i="21" l="1"/>
  <c r="Z23" i="25"/>
  <c r="Z116" i="26" s="1"/>
  <c r="AA50" i="6"/>
  <c r="AA87" i="6" s="1"/>
  <c r="L69" i="48"/>
  <c r="L70" i="48" s="1"/>
  <c r="L72" i="48" s="1"/>
  <c r="L95" i="44"/>
  <c r="L114" i="6" s="1"/>
  <c r="L116" i="6" s="1"/>
  <c r="L158" i="21"/>
  <c r="L177" i="21"/>
  <c r="L19" i="26"/>
  <c r="L24" i="26" s="1"/>
  <c r="L25" i="26" s="1"/>
  <c r="S16" i="25"/>
  <c r="S109" i="26" s="1"/>
  <c r="Z219" i="48"/>
  <c r="R22" i="26"/>
  <c r="Z136" i="48"/>
  <c r="S16" i="26"/>
  <c r="S35" i="44" s="1"/>
  <c r="S41" i="44" s="1"/>
  <c r="M126" i="21"/>
  <c r="T103" i="6"/>
  <c r="T108" i="6" s="1"/>
  <c r="Y62" i="48"/>
  <c r="Y57" i="48"/>
  <c r="Y24" i="6" s="1"/>
  <c r="Z28" i="48"/>
  <c r="Q11" i="25"/>
  <c r="Q101" i="26" s="1"/>
  <c r="AA91" i="25"/>
  <c r="AA94" i="25" s="1"/>
  <c r="AA95" i="25" s="1"/>
  <c r="M135" i="21"/>
  <c r="R35" i="44"/>
  <c r="R41" i="44" s="1"/>
  <c r="O160" i="26"/>
  <c r="P15" i="6"/>
  <c r="P21" i="6" s="1"/>
  <c r="N43" i="21"/>
  <c r="N44" i="21" s="1"/>
  <c r="N122" i="21"/>
  <c r="N121" i="21"/>
  <c r="N120" i="21"/>
  <c r="S79" i="26"/>
  <c r="M92" i="6"/>
  <c r="L167" i="26"/>
  <c r="Q16" i="26"/>
  <c r="Q49" i="44" s="1"/>
  <c r="Q55" i="44" s="1"/>
  <c r="M203" i="26"/>
  <c r="M206" i="26" s="1"/>
  <c r="S22" i="26"/>
  <c r="S107" i="6"/>
  <c r="R16" i="25"/>
  <c r="R109" i="26" s="1"/>
  <c r="R108" i="6"/>
  <c r="Q22" i="47"/>
  <c r="Q33" i="6"/>
  <c r="N120" i="6"/>
  <c r="M172" i="26"/>
  <c r="N116" i="21"/>
  <c r="N121" i="6" s="1"/>
  <c r="O122" i="6" s="1"/>
  <c r="O21" i="25" s="1"/>
  <c r="O114" i="26" s="1"/>
  <c r="N130" i="21"/>
  <c r="N129" i="21"/>
  <c r="N131" i="21"/>
  <c r="P106" i="6"/>
  <c r="P109" i="6" s="1"/>
  <c r="O169" i="26"/>
  <c r="M81" i="21"/>
  <c r="R47" i="44"/>
  <c r="R50" i="44"/>
  <c r="R56" i="44" s="1"/>
  <c r="R201" i="26"/>
  <c r="R202" i="26" s="1"/>
  <c r="R48" i="44"/>
  <c r="R54" i="44" s="1"/>
  <c r="R34" i="44"/>
  <c r="R40" i="44" s="1"/>
  <c r="R33" i="44"/>
  <c r="R36" i="44"/>
  <c r="R42" i="44" s="1"/>
  <c r="N51" i="21"/>
  <c r="N56" i="21"/>
  <c r="M161" i="26"/>
  <c r="N31" i="6"/>
  <c r="N34" i="6" s="1"/>
  <c r="Q107" i="6"/>
  <c r="Q22" i="26"/>
  <c r="K21" i="47"/>
  <c r="K18" i="47"/>
  <c r="K27" i="47" s="1"/>
  <c r="Q21" i="26"/>
  <c r="AA179" i="48"/>
  <c r="AA173" i="48"/>
  <c r="Y156" i="26"/>
  <c r="Z94" i="6"/>
  <c r="Y60" i="44"/>
  <c r="Y73" i="44" s="1"/>
  <c r="AA136" i="22"/>
  <c r="Y163" i="21"/>
  <c r="U168" i="26"/>
  <c r="Y219" i="48"/>
  <c r="Y15" i="48" s="1"/>
  <c r="AA20" i="22"/>
  <c r="AA37" i="22"/>
  <c r="AA77" i="21"/>
  <c r="AA113" i="21" s="1"/>
  <c r="AA74" i="21"/>
  <c r="AA110" i="21" s="1"/>
  <c r="AA72" i="21"/>
  <c r="AA108" i="21" s="1"/>
  <c r="AA62" i="21"/>
  <c r="AA98" i="21" s="1"/>
  <c r="AA66" i="21"/>
  <c r="AA102" i="21" s="1"/>
  <c r="AA61" i="21"/>
  <c r="AA97" i="21" s="1"/>
  <c r="AA75" i="21"/>
  <c r="AA111" i="21" s="1"/>
  <c r="AA70" i="21"/>
  <c r="AA76" i="21"/>
  <c r="AA112" i="21" s="1"/>
  <c r="AA60" i="21"/>
  <c r="AA96" i="21" s="1"/>
  <c r="AA64" i="21"/>
  <c r="AA100" i="21" s="1"/>
  <c r="AA59" i="21"/>
  <c r="AA73" i="21"/>
  <c r="AA109" i="21" s="1"/>
  <c r="AA71" i="21"/>
  <c r="AA107" i="21" s="1"/>
  <c r="AA63" i="21"/>
  <c r="AA99" i="21" s="1"/>
  <c r="AA65" i="21"/>
  <c r="AA101" i="21" s="1"/>
  <c r="Z155" i="26"/>
  <c r="AA152" i="22"/>
  <c r="AB103" i="25"/>
  <c r="AB10" i="25"/>
  <c r="AA117" i="25"/>
  <c r="AA13" i="25"/>
  <c r="AA103" i="26" s="1"/>
  <c r="AA127" i="25"/>
  <c r="AA116" i="25"/>
  <c r="AA32" i="25"/>
  <c r="AA132" i="26" s="1"/>
  <c r="AA22" i="25"/>
  <c r="AA115" i="26" s="1"/>
  <c r="AA26" i="25"/>
  <c r="AA119" i="26" s="1"/>
  <c r="AA136" i="25"/>
  <c r="AA27" i="25"/>
  <c r="AA120" i="26" s="1"/>
  <c r="AA137" i="25"/>
  <c r="AA126" i="25"/>
  <c r="AA12" i="25"/>
  <c r="AA102" i="26" s="1"/>
  <c r="AA8" i="51"/>
  <c r="AA8" i="52"/>
  <c r="AA8" i="48"/>
  <c r="AA8" i="53"/>
  <c r="AA8" i="49"/>
  <c r="Z38" i="22"/>
  <c r="AA49" i="22"/>
  <c r="AA166" i="22"/>
  <c r="AA78" i="26" s="1"/>
  <c r="AA75" i="22"/>
  <c r="AA78" i="22"/>
  <c r="AA79" i="22" s="1"/>
  <c r="AA16" i="22"/>
  <c r="AA179" i="22"/>
  <c r="AA178" i="22"/>
  <c r="AA133" i="22"/>
  <c r="AA101" i="22"/>
  <c r="AA170" i="22"/>
  <c r="AA169" i="22"/>
  <c r="AA24" i="25" s="1"/>
  <c r="AA117" i="26" s="1"/>
  <c r="AA168" i="22"/>
  <c r="AA173" i="22" s="1"/>
  <c r="AA172" i="22"/>
  <c r="AA177" i="22"/>
  <c r="AA17" i="21"/>
  <c r="AA54" i="21" s="1"/>
  <c r="AA90" i="21" s="1"/>
  <c r="AA41" i="21"/>
  <c r="AA30" i="21"/>
  <c r="Z151" i="21"/>
  <c r="Z152" i="21"/>
  <c r="Z61" i="26"/>
  <c r="Z150" i="21"/>
  <c r="AB10" i="26"/>
  <c r="AB99" i="26"/>
  <c r="AB151" i="26"/>
  <c r="AA29" i="44"/>
  <c r="AA30" i="44"/>
  <c r="AA129" i="48"/>
  <c r="AA190" i="48"/>
  <c r="AA135" i="48"/>
  <c r="AA142" i="48"/>
  <c r="AA158" i="48"/>
  <c r="AA115" i="48"/>
  <c r="AA157" i="48"/>
  <c r="AA121" i="48"/>
  <c r="AA130" i="48"/>
  <c r="AA187" i="48"/>
  <c r="AA152" i="48"/>
  <c r="AA198" i="48"/>
  <c r="AA207" i="48"/>
  <c r="AA154" i="48"/>
  <c r="AA134" i="48"/>
  <c r="AA122" i="48"/>
  <c r="AA148" i="48"/>
  <c r="AA215" i="48"/>
  <c r="AA89" i="48"/>
  <c r="AA100" i="48"/>
  <c r="AA90" i="48"/>
  <c r="AA144" i="48" s="1"/>
  <c r="AA172" i="48" s="1"/>
  <c r="AA91" i="48"/>
  <c r="AA99" i="48"/>
  <c r="AA97" i="48"/>
  <c r="AA101" i="48"/>
  <c r="AA174" i="48"/>
  <c r="AA170" i="48"/>
  <c r="AA201" i="48"/>
  <c r="AA159" i="48"/>
  <c r="AA29" i="48"/>
  <c r="AA155" i="48"/>
  <c r="AA40" i="48"/>
  <c r="AA92" i="48"/>
  <c r="AA87" i="48"/>
  <c r="AA141" i="48" s="1"/>
  <c r="AA169" i="48" s="1"/>
  <c r="AA103" i="48"/>
  <c r="AA88" i="48"/>
  <c r="AA176" i="48"/>
  <c r="AA180" i="48"/>
  <c r="AA177" i="48"/>
  <c r="AA184" i="48"/>
  <c r="AA204" i="48"/>
  <c r="AA133" i="48"/>
  <c r="AA127" i="48"/>
  <c r="AA140" i="48"/>
  <c r="AA132" i="48"/>
  <c r="AA131" i="48"/>
  <c r="AA113" i="48"/>
  <c r="AA210" i="48"/>
  <c r="AA149" i="48"/>
  <c r="AA213" i="48"/>
  <c r="AA195" i="48"/>
  <c r="AA156" i="48"/>
  <c r="AA124" i="48"/>
  <c r="AA160" i="48"/>
  <c r="AA188" i="48"/>
  <c r="AA214" i="48"/>
  <c r="AA102" i="48"/>
  <c r="AA128" i="48"/>
  <c r="AA104" i="48"/>
  <c r="AA49" i="48"/>
  <c r="AA51" i="48" s="1"/>
  <c r="AA98" i="48"/>
  <c r="AA85" i="48"/>
  <c r="AA107" i="48"/>
  <c r="AA86" i="48"/>
  <c r="AA25" i="48"/>
  <c r="AA76" i="48" s="1"/>
  <c r="AA143" i="48"/>
  <c r="AA116" i="48"/>
  <c r="AA161" i="48"/>
  <c r="AA218" i="48"/>
  <c r="AA119" i="48"/>
  <c r="AA139" i="48"/>
  <c r="AA125" i="48"/>
  <c r="AA75" i="48"/>
  <c r="AA146" i="48"/>
  <c r="AA196" i="48"/>
  <c r="AA212" i="48"/>
  <c r="AA185" i="48"/>
  <c r="AA189" i="48"/>
  <c r="AA208" i="48"/>
  <c r="AA216" i="48"/>
  <c r="AA93" i="48"/>
  <c r="AA108" i="48"/>
  <c r="AA95" i="48"/>
  <c r="AA26" i="48"/>
  <c r="AA106" i="48"/>
  <c r="AA94" i="48"/>
  <c r="AA168" i="48"/>
  <c r="AA182" i="48"/>
  <c r="AA162" i="48"/>
  <c r="AA205" i="48"/>
  <c r="AA118" i="48"/>
  <c r="AA186" i="48"/>
  <c r="AA194" i="48"/>
  <c r="AA151" i="48"/>
  <c r="AA183" i="48"/>
  <c r="AA217" i="48"/>
  <c r="AA112" i="48"/>
  <c r="AA202" i="48"/>
  <c r="AA211" i="48"/>
  <c r="AA46" i="48"/>
  <c r="AA199" i="48"/>
  <c r="AA145" i="48"/>
  <c r="AA105" i="48"/>
  <c r="AA166" i="48"/>
  <c r="AA96" i="48"/>
  <c r="AA171" i="48"/>
  <c r="Z141" i="21"/>
  <c r="Z143" i="21"/>
  <c r="Z142" i="21"/>
  <c r="Z45" i="26"/>
  <c r="Z123" i="22"/>
  <c r="Y30" i="48"/>
  <c r="AA52" i="22"/>
  <c r="Y63" i="26"/>
  <c r="Y60" i="26" s="1"/>
  <c r="Y164" i="21"/>
  <c r="Y76" i="44"/>
  <c r="Y89" i="44" s="1"/>
  <c r="AB329" i="1"/>
  <c r="AB7" i="26"/>
  <c r="AA35" i="26"/>
  <c r="AA48" i="26"/>
  <c r="AA53" i="26"/>
  <c r="AA50" i="26"/>
  <c r="AA34" i="26"/>
  <c r="AA68" i="26"/>
  <c r="AA136" i="26"/>
  <c r="AA43" i="26"/>
  <c r="AA56" i="26"/>
  <c r="AA58" i="26"/>
  <c r="AA72" i="26"/>
  <c r="AA134" i="26"/>
  <c r="AA54" i="26"/>
  <c r="AA38" i="26"/>
  <c r="AA39" i="26"/>
  <c r="AA71" i="26"/>
  <c r="AA85" i="26"/>
  <c r="AA74" i="26"/>
  <c r="AA37" i="26"/>
  <c r="AA55" i="26"/>
  <c r="AA86" i="26"/>
  <c r="AA42" i="26"/>
  <c r="AA59" i="26"/>
  <c r="AA73" i="26"/>
  <c r="AA41" i="26"/>
  <c r="AA40" i="26"/>
  <c r="AA64" i="26"/>
  <c r="AA142" i="26"/>
  <c r="AA92" i="26" s="1"/>
  <c r="AA75" i="26"/>
  <c r="AA69" i="26"/>
  <c r="AA52" i="26"/>
  <c r="AA49" i="26"/>
  <c r="AA65" i="26"/>
  <c r="AA51" i="26"/>
  <c r="AA57" i="26"/>
  <c r="AA70" i="26"/>
  <c r="AA66" i="26"/>
  <c r="AA135" i="26"/>
  <c r="AA67" i="26"/>
  <c r="AA36" i="26"/>
  <c r="AA59" i="47"/>
  <c r="AA61" i="47" s="1"/>
  <c r="AA55" i="47"/>
  <c r="AA339" i="1"/>
  <c r="AA342" i="1" s="1"/>
  <c r="AA351" i="1"/>
  <c r="AA354" i="1" s="1"/>
  <c r="AA345" i="1"/>
  <c r="AA348" i="1" s="1"/>
  <c r="Z191" i="48"/>
  <c r="Z23" i="48" s="1"/>
  <c r="AA167" i="48"/>
  <c r="AA104" i="22"/>
  <c r="AA105" i="22" s="1"/>
  <c r="V168" i="26"/>
  <c r="W38" i="6"/>
  <c r="Y53" i="48"/>
  <c r="Z135" i="25"/>
  <c r="Y185" i="26"/>
  <c r="Z125" i="25"/>
  <c r="Y184" i="26"/>
  <c r="X86" i="21"/>
  <c r="Z115" i="25"/>
  <c r="Y183" i="26"/>
  <c r="X91" i="21"/>
  <c r="Z145" i="25"/>
  <c r="Y181" i="26"/>
  <c r="L16" i="47" l="1"/>
  <c r="L17" i="25"/>
  <c r="L110" i="26" s="1"/>
  <c r="M162" i="21"/>
  <c r="Z15" i="48"/>
  <c r="Z18" i="48" s="1"/>
  <c r="M169" i="21"/>
  <c r="M20" i="25"/>
  <c r="M113" i="26" s="1"/>
  <c r="M161" i="21"/>
  <c r="M19" i="26" s="1"/>
  <c r="M172" i="21"/>
  <c r="S49" i="44"/>
  <c r="S55" i="44" s="1"/>
  <c r="M155" i="21"/>
  <c r="M12" i="44"/>
  <c r="M25" i="44" s="1"/>
  <c r="M91" i="44" s="1"/>
  <c r="M94" i="44" s="1"/>
  <c r="M95" i="44" s="1"/>
  <c r="M175" i="21"/>
  <c r="R23" i="26"/>
  <c r="M31" i="26"/>
  <c r="M28" i="26" s="1"/>
  <c r="M76" i="26" s="1"/>
  <c r="N123" i="6"/>
  <c r="N172" i="26" s="1"/>
  <c r="K30" i="47"/>
  <c r="L29" i="47"/>
  <c r="L33" i="25" s="1"/>
  <c r="L124" i="26" s="1"/>
  <c r="N124" i="21"/>
  <c r="N80" i="21"/>
  <c r="N123" i="21"/>
  <c r="N125" i="21"/>
  <c r="R39" i="44"/>
  <c r="R43" i="44" s="1"/>
  <c r="R37" i="44"/>
  <c r="O14" i="21"/>
  <c r="O87" i="21"/>
  <c r="M210" i="26"/>
  <c r="M211" i="26" s="1"/>
  <c r="M15" i="47" s="1"/>
  <c r="P160" i="26"/>
  <c r="Q15" i="6"/>
  <c r="M113" i="6"/>
  <c r="L173" i="26"/>
  <c r="N133" i="21"/>
  <c r="N134" i="21"/>
  <c r="N132" i="21"/>
  <c r="N29" i="26"/>
  <c r="R53" i="44"/>
  <c r="R57" i="44" s="1"/>
  <c r="R51" i="44"/>
  <c r="O20" i="26"/>
  <c r="R13" i="47"/>
  <c r="R32" i="6"/>
  <c r="Q18" i="6"/>
  <c r="N161" i="26"/>
  <c r="O31" i="6"/>
  <c r="O34" i="6" s="1"/>
  <c r="S36" i="44"/>
  <c r="S42" i="44" s="1"/>
  <c r="S50" i="44"/>
  <c r="S56" i="44" s="1"/>
  <c r="S201" i="26"/>
  <c r="S202" i="26" s="1"/>
  <c r="S47" i="44"/>
  <c r="S48" i="44"/>
  <c r="S54" i="44" s="1"/>
  <c r="S33" i="44"/>
  <c r="S34" i="44"/>
  <c r="S40" i="44" s="1"/>
  <c r="O92" i="21"/>
  <c r="O30" i="26" s="1"/>
  <c r="O19" i="21"/>
  <c r="Q35" i="44"/>
  <c r="Q41" i="44" s="1"/>
  <c r="Q36" i="44"/>
  <c r="Q42" i="44" s="1"/>
  <c r="Q50" i="44"/>
  <c r="Q56" i="44" s="1"/>
  <c r="Q48" i="44"/>
  <c r="Q54" i="44" s="1"/>
  <c r="Q34" i="44"/>
  <c r="Q40" i="44" s="1"/>
  <c r="Q33" i="44"/>
  <c r="Q47" i="44"/>
  <c r="Q201" i="26"/>
  <c r="Q202" i="26" s="1"/>
  <c r="Q106" i="6"/>
  <c r="Q109" i="6" s="1"/>
  <c r="P169" i="26"/>
  <c r="O18" i="26"/>
  <c r="L77" i="26"/>
  <c r="L82" i="26" s="1"/>
  <c r="L26" i="26"/>
  <c r="M207" i="26"/>
  <c r="AA114" i="48"/>
  <c r="AA117" i="48"/>
  <c r="AA154" i="22"/>
  <c r="AA137" i="22"/>
  <c r="Y18" i="48"/>
  <c r="Y16" i="48"/>
  <c r="AA166" i="26"/>
  <c r="AA147" i="48"/>
  <c r="AA175" i="48" s="1"/>
  <c r="AA203" i="48" s="1"/>
  <c r="AA91" i="22"/>
  <c r="AA77" i="22"/>
  <c r="Z153" i="26"/>
  <c r="AA35" i="22"/>
  <c r="AA67" i="21"/>
  <c r="AA95" i="21"/>
  <c r="AA103" i="21" s="1"/>
  <c r="AA46" i="26" s="1"/>
  <c r="AA78" i="21"/>
  <c r="AA106" i="21"/>
  <c r="AA114" i="21" s="1"/>
  <c r="AA62" i="26" s="1"/>
  <c r="AA159" i="26"/>
  <c r="AA122" i="22"/>
  <c r="Y77" i="48"/>
  <c r="Y31" i="48"/>
  <c r="Y32" i="48" s="1"/>
  <c r="AA14" i="44"/>
  <c r="AA33" i="26" s="1"/>
  <c r="AA109" i="48"/>
  <c r="AA22" i="48" s="1"/>
  <c r="Z153" i="21"/>
  <c r="AA14" i="25"/>
  <c r="AA104" i="26" s="1"/>
  <c r="AA180" i="22"/>
  <c r="AA80" i="26" s="1"/>
  <c r="AA174" i="22"/>
  <c r="AA175" i="22" s="1"/>
  <c r="AA25" i="25"/>
  <c r="AA118" i="26" s="1"/>
  <c r="Z30" i="48"/>
  <c r="AA170" i="26"/>
  <c r="AB8" i="21"/>
  <c r="AA153" i="48"/>
  <c r="AA181" i="48" s="1"/>
  <c r="AA209" i="48" s="1"/>
  <c r="AA148" i="21"/>
  <c r="AA147" i="21"/>
  <c r="AA149" i="21"/>
  <c r="AA117" i="22"/>
  <c r="AA103" i="22"/>
  <c r="AA32" i="22"/>
  <c r="AA18" i="22"/>
  <c r="AA36" i="22"/>
  <c r="AA160" i="22"/>
  <c r="AA161" i="22"/>
  <c r="AA51" i="22"/>
  <c r="AA162" i="22"/>
  <c r="AA121" i="22"/>
  <c r="AA65" i="22"/>
  <c r="AA13" i="44"/>
  <c r="AA53" i="22"/>
  <c r="AB65" i="6"/>
  <c r="AB80" i="6"/>
  <c r="AB71" i="6"/>
  <c r="AB79" i="6"/>
  <c r="AB86" i="6"/>
  <c r="AB69" i="6"/>
  <c r="AB59" i="6"/>
  <c r="AB52" i="6"/>
  <c r="AB68" i="6"/>
  <c r="AB83" i="6"/>
  <c r="AB55" i="6"/>
  <c r="AB73" i="6"/>
  <c r="AB64" i="6"/>
  <c r="AB67" i="6"/>
  <c r="AB54" i="6"/>
  <c r="AB56" i="6"/>
  <c r="AB82" i="6"/>
  <c r="AB72" i="6"/>
  <c r="AB53" i="6"/>
  <c r="AB81" i="6"/>
  <c r="AB66" i="6"/>
  <c r="AB62" i="6"/>
  <c r="AB77" i="6"/>
  <c r="AB60" i="6"/>
  <c r="AB84" i="6"/>
  <c r="AB78" i="6"/>
  <c r="AB57" i="6"/>
  <c r="AB76" i="6"/>
  <c r="AB63" i="6"/>
  <c r="AB70" i="6"/>
  <c r="AB85" i="6"/>
  <c r="AB75" i="6"/>
  <c r="AB58" i="6"/>
  <c r="AB51" i="6"/>
  <c r="AB330" i="1"/>
  <c r="AB351" i="1" s="1"/>
  <c r="AB354" i="1" s="1"/>
  <c r="AB28" i="47"/>
  <c r="AB28" i="44"/>
  <c r="AC7" i="25"/>
  <c r="AC328" i="1"/>
  <c r="AB89" i="25"/>
  <c r="AB90" i="25"/>
  <c r="Z154" i="26"/>
  <c r="AA120" i="22"/>
  <c r="Z144" i="21"/>
  <c r="AA150" i="48"/>
  <c r="AA178" i="48" s="1"/>
  <c r="AA42" i="48"/>
  <c r="AA138" i="21"/>
  <c r="AA139" i="21"/>
  <c r="AA140" i="21"/>
  <c r="AA163" i="22"/>
  <c r="AA149" i="22"/>
  <c r="AA153" i="22"/>
  <c r="AA135" i="22"/>
  <c r="AA94" i="6"/>
  <c r="AA98" i="6"/>
  <c r="AA115" i="6" s="1"/>
  <c r="AA164" i="22"/>
  <c r="AA81" i="26" s="1"/>
  <c r="AA200" i="48"/>
  <c r="AA197" i="48"/>
  <c r="W25" i="6"/>
  <c r="W40" i="6"/>
  <c r="W43" i="6" s="1"/>
  <c r="Z149" i="25"/>
  <c r="Z31" i="25" s="1"/>
  <c r="Z123" i="26" s="1"/>
  <c r="Z147" i="25"/>
  <c r="Z129" i="25"/>
  <c r="Z131" i="25" s="1"/>
  <c r="Z128" i="25"/>
  <c r="Z119" i="25"/>
  <c r="Z121" i="25" s="1"/>
  <c r="Z118" i="25"/>
  <c r="Z138" i="25"/>
  <c r="Z139" i="25"/>
  <c r="Z141" i="25" s="1"/>
  <c r="L14" i="47" l="1"/>
  <c r="L21" i="47" s="1"/>
  <c r="M93" i="6"/>
  <c r="M95" i="6" s="1"/>
  <c r="N92" i="6" s="1"/>
  <c r="M69" i="48"/>
  <c r="M70" i="48" s="1"/>
  <c r="M165" i="21"/>
  <c r="S26" i="6"/>
  <c r="S28" i="6" s="1"/>
  <c r="S22" i="47" s="1"/>
  <c r="M18" i="25"/>
  <c r="M111" i="26" s="1"/>
  <c r="O120" i="6"/>
  <c r="N126" i="21"/>
  <c r="N20" i="25" s="1"/>
  <c r="N113" i="26" s="1"/>
  <c r="O116" i="21"/>
  <c r="O121" i="6" s="1"/>
  <c r="P122" i="6" s="1"/>
  <c r="P21" i="25" s="1"/>
  <c r="P114" i="26" s="1"/>
  <c r="M156" i="21"/>
  <c r="M19" i="25" s="1"/>
  <c r="M112" i="26" s="1"/>
  <c r="M158" i="21"/>
  <c r="N135" i="21"/>
  <c r="N172" i="21" s="1"/>
  <c r="M177" i="21"/>
  <c r="T79" i="26"/>
  <c r="O56" i="21"/>
  <c r="S53" i="44"/>
  <c r="S57" i="44" s="1"/>
  <c r="S51" i="44"/>
  <c r="Q23" i="26"/>
  <c r="K175" i="26"/>
  <c r="L26" i="47"/>
  <c r="M114" i="6"/>
  <c r="M116" i="6" s="1"/>
  <c r="M16" i="47"/>
  <c r="N205" i="26"/>
  <c r="N203" i="26" s="1"/>
  <c r="N206" i="26" s="1"/>
  <c r="M158" i="26"/>
  <c r="R106" i="6"/>
  <c r="R109" i="6" s="1"/>
  <c r="Q169" i="26"/>
  <c r="U103" i="6"/>
  <c r="T16" i="25"/>
  <c r="T109" i="26" s="1"/>
  <c r="Q32" i="6"/>
  <c r="Q13" i="47"/>
  <c r="M24" i="26"/>
  <c r="M25" i="26" s="1"/>
  <c r="Q53" i="44"/>
  <c r="Q57" i="44" s="1"/>
  <c r="Q51" i="44"/>
  <c r="S39" i="44"/>
  <c r="S43" i="44" s="1"/>
  <c r="S37" i="44"/>
  <c r="R26" i="6"/>
  <c r="R28" i="6" s="1"/>
  <c r="R18" i="6"/>
  <c r="O51" i="21"/>
  <c r="S18" i="6"/>
  <c r="T16" i="26"/>
  <c r="T49" i="44" s="1"/>
  <c r="T55" i="44" s="1"/>
  <c r="Q39" i="44"/>
  <c r="Q43" i="44" s="1"/>
  <c r="Q37" i="44"/>
  <c r="O129" i="21"/>
  <c r="O131" i="21"/>
  <c r="O130" i="21"/>
  <c r="P31" i="6"/>
  <c r="P34" i="6" s="1"/>
  <c r="O161" i="26"/>
  <c r="Q21" i="6"/>
  <c r="O120" i="21"/>
  <c r="O122" i="21"/>
  <c r="O43" i="21"/>
  <c r="O44" i="21" s="1"/>
  <c r="O121" i="21"/>
  <c r="N81" i="21"/>
  <c r="AA155" i="22"/>
  <c r="AA155" i="26" s="1"/>
  <c r="AB104" i="48"/>
  <c r="AB50" i="6"/>
  <c r="AA123" i="48"/>
  <c r="AA120" i="48"/>
  <c r="AB136" i="22"/>
  <c r="Z156" i="26"/>
  <c r="AA126" i="48"/>
  <c r="AA191" i="48"/>
  <c r="AA23" i="48" s="1"/>
  <c r="Y33" i="48"/>
  <c r="Y35" i="48" s="1"/>
  <c r="Y64" i="48"/>
  <c r="Y13" i="21"/>
  <c r="Y50" i="21" s="1"/>
  <c r="Y86" i="21" s="1"/>
  <c r="Y24" i="48"/>
  <c r="Y61" i="48"/>
  <c r="Y60" i="48"/>
  <c r="Y18" i="21"/>
  <c r="Y55" i="21" s="1"/>
  <c r="Y63" i="48"/>
  <c r="Z13" i="48"/>
  <c r="AB123" i="48"/>
  <c r="AB197" i="48"/>
  <c r="AB113" i="48"/>
  <c r="AB214" i="48"/>
  <c r="AB149" i="48"/>
  <c r="AB130" i="48"/>
  <c r="AB140" i="48"/>
  <c r="AB205" i="48"/>
  <c r="AB29" i="48"/>
  <c r="AB122" i="48"/>
  <c r="AB155" i="48"/>
  <c r="AB218" i="48"/>
  <c r="AB162" i="48"/>
  <c r="AB117" i="48"/>
  <c r="AB75" i="48"/>
  <c r="AB116" i="48"/>
  <c r="AB203" i="48"/>
  <c r="AB213" i="48"/>
  <c r="AB199" i="48"/>
  <c r="AB157" i="48"/>
  <c r="AB215" i="48"/>
  <c r="AB147" i="48"/>
  <c r="AB153" i="48"/>
  <c r="AB25" i="48"/>
  <c r="AB76" i="48" s="1"/>
  <c r="AB180" i="48"/>
  <c r="AB108" i="48"/>
  <c r="AB105" i="48"/>
  <c r="AB106" i="48"/>
  <c r="AB88" i="48"/>
  <c r="AB133" i="48"/>
  <c r="AB183" i="48"/>
  <c r="AB217" i="48"/>
  <c r="AB40" i="48"/>
  <c r="AB125" i="48"/>
  <c r="AB156" i="48"/>
  <c r="AB216" i="48"/>
  <c r="AB152" i="48"/>
  <c r="AB190" i="48"/>
  <c r="AB135" i="48"/>
  <c r="AB209" i="48"/>
  <c r="AB189" i="48"/>
  <c r="AB159" i="48"/>
  <c r="AB187" i="48"/>
  <c r="AB208" i="48"/>
  <c r="AB129" i="48"/>
  <c r="AB128" i="48"/>
  <c r="AB158" i="48"/>
  <c r="AB196" i="48"/>
  <c r="AB188" i="48"/>
  <c r="AB114" i="48"/>
  <c r="AB119" i="48"/>
  <c r="AB26" i="48"/>
  <c r="AB96" i="48"/>
  <c r="AB185" i="48"/>
  <c r="AB132" i="48"/>
  <c r="AB143" i="48"/>
  <c r="AB126" i="48"/>
  <c r="AB161" i="48"/>
  <c r="AB141" i="48"/>
  <c r="AB211" i="48"/>
  <c r="AB131" i="48"/>
  <c r="AB150" i="48"/>
  <c r="AB186" i="48"/>
  <c r="AB160" i="48"/>
  <c r="AB120" i="48"/>
  <c r="AB134" i="48"/>
  <c r="AB206" i="48"/>
  <c r="AB90" i="48"/>
  <c r="AB174" i="48"/>
  <c r="AB202" i="48"/>
  <c r="AB103" i="48"/>
  <c r="AB146" i="48"/>
  <c r="AB144" i="48"/>
  <c r="AB200" i="48"/>
  <c r="AB212" i="48"/>
  <c r="AB46" i="48"/>
  <c r="AB166" i="48"/>
  <c r="AB101" i="48"/>
  <c r="AB95" i="48"/>
  <c r="AA32" i="26"/>
  <c r="AB49" i="6"/>
  <c r="AB99" i="48"/>
  <c r="Z164" i="21"/>
  <c r="Z63" i="26"/>
  <c r="Z60" i="26" s="1"/>
  <c r="Z76" i="44"/>
  <c r="Z89" i="44" s="1"/>
  <c r="AB85" i="48"/>
  <c r="Y12" i="26"/>
  <c r="Z78" i="48"/>
  <c r="Z102" i="6" s="1"/>
  <c r="Y66" i="48"/>
  <c r="AB78" i="22"/>
  <c r="AB79" i="22" s="1"/>
  <c r="AB91" i="48"/>
  <c r="Z47" i="26"/>
  <c r="Z44" i="26" s="1"/>
  <c r="Z163" i="21"/>
  <c r="Z60" i="44"/>
  <c r="Z73" i="44" s="1"/>
  <c r="AC99" i="26"/>
  <c r="AC151" i="26"/>
  <c r="AC10" i="26"/>
  <c r="AC7" i="26"/>
  <c r="AC329" i="1"/>
  <c r="AB179" i="22"/>
  <c r="AB177" i="22"/>
  <c r="AB101" i="22"/>
  <c r="AB117" i="22" s="1"/>
  <c r="AB168" i="22"/>
  <c r="AB173" i="22" s="1"/>
  <c r="AB169" i="22"/>
  <c r="AB24" i="25" s="1"/>
  <c r="AB117" i="26" s="1"/>
  <c r="AB75" i="22"/>
  <c r="AB91" i="22" s="1"/>
  <c r="AB16" i="22"/>
  <c r="AB18" i="22" s="1"/>
  <c r="AB49" i="22"/>
  <c r="AB178" i="22"/>
  <c r="AB133" i="22"/>
  <c r="AB170" i="22"/>
  <c r="AB166" i="22"/>
  <c r="AB78" i="26" s="1"/>
  <c r="AB159" i="26"/>
  <c r="AB87" i="48"/>
  <c r="AB168" i="48"/>
  <c r="AB52" i="22"/>
  <c r="AB19" i="22"/>
  <c r="AB100" i="48"/>
  <c r="AB92" i="48"/>
  <c r="AB77" i="21"/>
  <c r="AB113" i="21" s="1"/>
  <c r="AB71" i="21"/>
  <c r="AB107" i="21" s="1"/>
  <c r="AB72" i="21"/>
  <c r="AB108" i="21" s="1"/>
  <c r="AB65" i="21"/>
  <c r="AB101" i="21" s="1"/>
  <c r="AB60" i="21"/>
  <c r="AB96" i="21" s="1"/>
  <c r="AB59" i="21"/>
  <c r="AB74" i="21"/>
  <c r="AB110" i="21" s="1"/>
  <c r="AB76" i="21"/>
  <c r="AB112" i="21" s="1"/>
  <c r="AB62" i="21"/>
  <c r="AB98" i="21" s="1"/>
  <c r="AB73" i="21"/>
  <c r="AB109" i="21" s="1"/>
  <c r="AB63" i="21"/>
  <c r="AB99" i="21" s="1"/>
  <c r="AB64" i="21"/>
  <c r="AB100" i="21" s="1"/>
  <c r="AB61" i="21"/>
  <c r="AB97" i="21" s="1"/>
  <c r="AB75" i="21"/>
  <c r="AB111" i="21" s="1"/>
  <c r="AB70" i="21"/>
  <c r="AB66" i="21"/>
  <c r="AB102" i="21" s="1"/>
  <c r="AB339" i="1"/>
  <c r="AB342" i="1" s="1"/>
  <c r="AB170" i="26" s="1"/>
  <c r="AB345" i="1"/>
  <c r="AB348" i="1" s="1"/>
  <c r="AB89" i="48"/>
  <c r="AA28" i="48"/>
  <c r="AB181" i="48"/>
  <c r="AB98" i="48"/>
  <c r="AB178" i="48"/>
  <c r="AA206" i="48"/>
  <c r="AA219" i="48" s="1"/>
  <c r="AB92" i="25"/>
  <c r="AB93" i="25" s="1"/>
  <c r="AB91" i="25"/>
  <c r="AB94" i="25" s="1"/>
  <c r="AC10" i="25"/>
  <c r="AC103" i="25"/>
  <c r="AB30" i="44"/>
  <c r="AB29" i="44"/>
  <c r="AB32" i="25"/>
  <c r="AB132" i="26" s="1"/>
  <c r="AB137" i="25"/>
  <c r="AB136" i="25"/>
  <c r="AB126" i="25"/>
  <c r="AB27" i="25"/>
  <c r="AB120" i="26" s="1"/>
  <c r="AB127" i="25"/>
  <c r="AB12" i="25"/>
  <c r="AB102" i="26" s="1"/>
  <c r="AB116" i="25"/>
  <c r="AB117" i="25"/>
  <c r="AB26" i="25"/>
  <c r="AB119" i="26" s="1"/>
  <c r="AB22" i="25"/>
  <c r="AB115" i="26" s="1"/>
  <c r="AB13" i="25"/>
  <c r="AB103" i="26" s="1"/>
  <c r="AB59" i="47"/>
  <c r="AB61" i="47" s="1"/>
  <c r="AB55" i="47"/>
  <c r="AB57" i="26"/>
  <c r="AB142" i="26"/>
  <c r="AB92" i="26" s="1"/>
  <c r="AB38" i="26"/>
  <c r="AB34" i="26"/>
  <c r="AB86" i="26"/>
  <c r="AB71" i="26"/>
  <c r="AB50" i="26"/>
  <c r="AB66" i="26"/>
  <c r="AB36" i="26"/>
  <c r="AB48" i="26"/>
  <c r="AB67" i="26"/>
  <c r="AB54" i="26"/>
  <c r="AB64" i="26"/>
  <c r="AB40" i="26"/>
  <c r="AB136" i="26"/>
  <c r="AB69" i="26"/>
  <c r="AB56" i="26"/>
  <c r="AB39" i="26"/>
  <c r="AB85" i="26"/>
  <c r="AB53" i="26"/>
  <c r="AB37" i="26"/>
  <c r="AB135" i="26"/>
  <c r="AB74" i="26"/>
  <c r="AB41" i="26"/>
  <c r="AB49" i="26"/>
  <c r="AB59" i="26"/>
  <c r="AB42" i="26"/>
  <c r="AB65" i="26"/>
  <c r="AB68" i="26"/>
  <c r="AB73" i="26"/>
  <c r="AB134" i="26"/>
  <c r="AB58" i="26"/>
  <c r="AB43" i="26"/>
  <c r="AB52" i="26"/>
  <c r="AB75" i="26"/>
  <c r="AB70" i="26"/>
  <c r="AB55" i="26"/>
  <c r="AB72" i="26"/>
  <c r="AB51" i="26"/>
  <c r="AB35" i="26"/>
  <c r="AA182" i="22"/>
  <c r="AA17" i="47" s="1"/>
  <c r="AB177" i="48"/>
  <c r="AB86" i="48"/>
  <c r="Z77" i="48"/>
  <c r="Z31" i="48"/>
  <c r="Z32" i="48" s="1"/>
  <c r="AB97" i="48"/>
  <c r="AB49" i="48"/>
  <c r="AB51" i="48" s="1"/>
  <c r="AA152" i="21"/>
  <c r="AA61" i="26"/>
  <c r="AA151" i="21"/>
  <c r="AA150" i="21"/>
  <c r="AA38" i="22"/>
  <c r="AB93" i="48"/>
  <c r="AB8" i="49"/>
  <c r="AB8" i="51"/>
  <c r="AB8" i="52"/>
  <c r="AB8" i="53"/>
  <c r="AB8" i="48"/>
  <c r="AB102" i="48"/>
  <c r="AA142" i="21"/>
  <c r="AA45" i="26"/>
  <c r="AA143" i="21"/>
  <c r="AA141" i="21"/>
  <c r="AB175" i="48"/>
  <c r="AB169" i="48"/>
  <c r="AB172" i="48"/>
  <c r="AB107" i="48"/>
  <c r="AB30" i="21"/>
  <c r="AB17" i="21"/>
  <c r="AB54" i="21" s="1"/>
  <c r="AB90" i="21" s="1"/>
  <c r="AB41" i="21"/>
  <c r="AA123" i="22"/>
  <c r="AB104" i="22"/>
  <c r="AB105" i="22" s="1"/>
  <c r="AA171" i="26"/>
  <c r="AB172" i="22"/>
  <c r="AB184" i="48"/>
  <c r="AB94" i="48"/>
  <c r="AB171" i="48"/>
  <c r="AA163" i="48"/>
  <c r="X38" i="6"/>
  <c r="W168" i="26"/>
  <c r="Z185" i="26"/>
  <c r="AA135" i="25"/>
  <c r="AA145" i="25"/>
  <c r="Z181" i="26"/>
  <c r="Z183" i="26"/>
  <c r="AA115" i="25"/>
  <c r="Z184" i="26"/>
  <c r="AA125" i="25"/>
  <c r="L18" i="47" l="1"/>
  <c r="L27" i="47" s="1"/>
  <c r="M29" i="47" s="1"/>
  <c r="M33" i="25" s="1"/>
  <c r="M124" i="26" s="1"/>
  <c r="M167" i="26"/>
  <c r="M72" i="48"/>
  <c r="M14" i="47" s="1"/>
  <c r="M18" i="47" s="1"/>
  <c r="M27" i="47" s="1"/>
  <c r="N161" i="21"/>
  <c r="N19" i="26" s="1"/>
  <c r="S33" i="6"/>
  <c r="S11" i="25"/>
  <c r="S101" i="26" s="1"/>
  <c r="S21" i="26"/>
  <c r="N175" i="21"/>
  <c r="O123" i="6"/>
  <c r="P120" i="6" s="1"/>
  <c r="N155" i="21"/>
  <c r="N156" i="21" s="1"/>
  <c r="N19" i="25" s="1"/>
  <c r="N112" i="26" s="1"/>
  <c r="N162" i="21"/>
  <c r="N12" i="44"/>
  <c r="N25" i="44" s="1"/>
  <c r="N91" i="44" s="1"/>
  <c r="N94" i="44" s="1"/>
  <c r="N95" i="44" s="1"/>
  <c r="N31" i="26"/>
  <c r="N28" i="26" s="1"/>
  <c r="N76" i="26" s="1"/>
  <c r="N169" i="21"/>
  <c r="W16" i="26"/>
  <c r="W49" i="44" s="1"/>
  <c r="W55" i="44" s="1"/>
  <c r="W79" i="26"/>
  <c r="M173" i="26"/>
  <c r="N113" i="6"/>
  <c r="R15" i="6"/>
  <c r="R21" i="6" s="1"/>
  <c r="Q160" i="26"/>
  <c r="U79" i="26"/>
  <c r="S32" i="6"/>
  <c r="S13" i="47"/>
  <c r="O123" i="21"/>
  <c r="O124" i="21"/>
  <c r="O125" i="21"/>
  <c r="O80" i="21"/>
  <c r="R21" i="26"/>
  <c r="V16" i="26"/>
  <c r="V35" i="44" s="1"/>
  <c r="V41" i="44" s="1"/>
  <c r="P14" i="21"/>
  <c r="P20" i="26"/>
  <c r="U16" i="25"/>
  <c r="U109" i="26" s="1"/>
  <c r="U108" i="6"/>
  <c r="O134" i="21"/>
  <c r="O29" i="26"/>
  <c r="O132" i="21"/>
  <c r="O133" i="21"/>
  <c r="V103" i="6"/>
  <c r="R11" i="25"/>
  <c r="R101" i="26" s="1"/>
  <c r="M26" i="26"/>
  <c r="M77" i="26"/>
  <c r="M82" i="26" s="1"/>
  <c r="P18" i="26"/>
  <c r="T22" i="26"/>
  <c r="T107" i="6"/>
  <c r="Q31" i="6"/>
  <c r="Q34" i="6" s="1"/>
  <c r="P161" i="26"/>
  <c r="T26" i="6"/>
  <c r="T28" i="6" s="1"/>
  <c r="P19" i="21"/>
  <c r="P92" i="21"/>
  <c r="P30" i="26" s="1"/>
  <c r="U16" i="26"/>
  <c r="U49" i="44" s="1"/>
  <c r="U55" i="44" s="1"/>
  <c r="W103" i="6"/>
  <c r="T35" i="44"/>
  <c r="T41" i="44" s="1"/>
  <c r="T34" i="44"/>
  <c r="T40" i="44" s="1"/>
  <c r="T48" i="44"/>
  <c r="T54" i="44" s="1"/>
  <c r="T36" i="44"/>
  <c r="T42" i="44" s="1"/>
  <c r="T201" i="26"/>
  <c r="T202" i="26" s="1"/>
  <c r="T50" i="44"/>
  <c r="T56" i="44" s="1"/>
  <c r="T33" i="44"/>
  <c r="T47" i="44"/>
  <c r="S23" i="26"/>
  <c r="R33" i="6"/>
  <c r="R22" i="47"/>
  <c r="V79" i="26"/>
  <c r="R169" i="26"/>
  <c r="S106" i="6"/>
  <c r="S109" i="6" s="1"/>
  <c r="N207" i="26"/>
  <c r="N210" i="26"/>
  <c r="N211" i="26" s="1"/>
  <c r="N15" i="47" s="1"/>
  <c r="T18" i="6"/>
  <c r="AB152" i="22"/>
  <c r="Y54" i="48"/>
  <c r="Y16" i="6" s="1"/>
  <c r="AB103" i="22"/>
  <c r="AA30" i="48"/>
  <c r="AA31" i="48" s="1"/>
  <c r="AA32" i="48" s="1"/>
  <c r="AA33" i="48" s="1"/>
  <c r="Y91" i="21"/>
  <c r="Y65" i="48"/>
  <c r="Z47" i="48"/>
  <c r="Z57" i="48" s="1"/>
  <c r="Z24" i="6" s="1"/>
  <c r="AA136" i="48"/>
  <c r="AA15" i="48" s="1"/>
  <c r="AB87" i="6"/>
  <c r="AB98" i="6" s="1"/>
  <c r="AB115" i="6" s="1"/>
  <c r="AA23" i="25"/>
  <c r="AA116" i="26" s="1"/>
  <c r="AB95" i="25"/>
  <c r="AB110" i="25" s="1"/>
  <c r="AB154" i="22"/>
  <c r="AB137" i="22"/>
  <c r="Z16" i="48"/>
  <c r="AC330" i="1"/>
  <c r="AC345" i="1" s="1"/>
  <c r="AC348" i="1" s="1"/>
  <c r="AC28" i="47"/>
  <c r="AC28" i="44"/>
  <c r="AB151" i="48"/>
  <c r="AB179" i="48" s="1"/>
  <c r="AB164" i="22"/>
  <c r="AB81" i="26" s="1"/>
  <c r="AB20" i="22"/>
  <c r="AB37" i="22"/>
  <c r="AB135" i="22"/>
  <c r="AB153" i="22"/>
  <c r="AB149" i="22"/>
  <c r="AB163" i="22"/>
  <c r="AC86" i="6"/>
  <c r="AC79" i="6"/>
  <c r="AC77" i="6"/>
  <c r="AC75" i="6"/>
  <c r="AC72" i="6"/>
  <c r="AC58" i="6"/>
  <c r="AC71" i="6"/>
  <c r="AC57" i="6"/>
  <c r="AC51" i="6"/>
  <c r="AC63" i="6"/>
  <c r="AC62" i="6"/>
  <c r="AC54" i="6"/>
  <c r="AC80" i="6"/>
  <c r="AC64" i="6"/>
  <c r="AC84" i="6"/>
  <c r="AC85" i="6"/>
  <c r="AC56" i="6"/>
  <c r="AC66" i="6"/>
  <c r="AC69" i="6"/>
  <c r="AC82" i="6"/>
  <c r="AC83" i="6"/>
  <c r="AC70" i="6"/>
  <c r="AC53" i="6"/>
  <c r="AC60" i="6"/>
  <c r="AC52" i="6"/>
  <c r="AC73" i="6"/>
  <c r="AC55" i="6"/>
  <c r="AC76" i="6"/>
  <c r="AC65" i="6"/>
  <c r="AC59" i="6"/>
  <c r="AC81" i="6"/>
  <c r="AC68" i="6"/>
  <c r="AC78" i="6"/>
  <c r="AC67" i="6"/>
  <c r="Y19" i="6"/>
  <c r="AA153" i="26"/>
  <c r="AB35" i="22"/>
  <c r="Z19" i="6"/>
  <c r="Z12" i="26"/>
  <c r="Z66" i="48"/>
  <c r="AC8" i="21"/>
  <c r="AC89" i="25"/>
  <c r="AC90" i="25"/>
  <c r="AB145" i="48"/>
  <c r="AB173" i="48" s="1"/>
  <c r="AB14" i="44"/>
  <c r="AB33" i="26" s="1"/>
  <c r="Z33" i="48"/>
  <c r="Z65" i="48" s="1"/>
  <c r="AB148" i="48"/>
  <c r="AB176" i="48" s="1"/>
  <c r="AB140" i="21"/>
  <c r="AB139" i="21"/>
  <c r="AB138" i="21"/>
  <c r="AA144" i="21"/>
  <c r="AA78" i="48"/>
  <c r="AA102" i="6" s="1"/>
  <c r="AB106" i="21"/>
  <c r="AB114" i="21" s="1"/>
  <c r="AB62" i="26" s="1"/>
  <c r="AB78" i="21"/>
  <c r="AB53" i="22"/>
  <c r="AB122" i="22"/>
  <c r="AB162" i="22"/>
  <c r="AB65" i="22"/>
  <c r="AB51" i="22"/>
  <c r="AB121" i="22"/>
  <c r="Z27" i="6"/>
  <c r="AB77" i="22"/>
  <c r="AB194" i="48"/>
  <c r="AB42" i="48"/>
  <c r="AB142" i="48"/>
  <c r="AB170" i="48" s="1"/>
  <c r="AB198" i="48" s="1"/>
  <c r="AB14" i="25"/>
  <c r="AB104" i="26" s="1"/>
  <c r="AB180" i="22"/>
  <c r="AB80" i="26" s="1"/>
  <c r="AA154" i="26"/>
  <c r="AB120" i="22"/>
  <c r="AB148" i="21"/>
  <c r="AB149" i="21"/>
  <c r="AB147" i="21"/>
  <c r="AA153" i="21"/>
  <c r="AB166" i="26"/>
  <c r="AB95" i="21"/>
  <c r="AB103" i="21" s="1"/>
  <c r="AB46" i="26" s="1"/>
  <c r="AB67" i="21"/>
  <c r="AB154" i="48"/>
  <c r="AB182" i="48" s="1"/>
  <c r="AB25" i="25"/>
  <c r="AB118" i="26" s="1"/>
  <c r="AB174" i="22"/>
  <c r="AB175" i="22" s="1"/>
  <c r="AB36" i="22"/>
  <c r="AB161" i="22"/>
  <c r="AB160" i="22"/>
  <c r="AB32" i="22"/>
  <c r="AD7" i="25"/>
  <c r="AD328" i="1"/>
  <c r="AB139" i="48"/>
  <c r="AB109" i="48"/>
  <c r="AB22" i="48" s="1"/>
  <c r="AB13" i="44"/>
  <c r="AB32" i="26" s="1"/>
  <c r="AA149" i="25"/>
  <c r="AA31" i="25" s="1"/>
  <c r="AA123" i="26" s="1"/>
  <c r="AA147" i="25"/>
  <c r="AA129" i="25"/>
  <c r="AA131" i="25" s="1"/>
  <c r="AA128" i="25"/>
  <c r="AA119" i="25"/>
  <c r="AA121" i="25" s="1"/>
  <c r="AA118" i="25"/>
  <c r="AA139" i="25"/>
  <c r="AA141" i="25" s="1"/>
  <c r="AA138" i="25"/>
  <c r="L30" i="47" l="1"/>
  <c r="M26" i="47" s="1"/>
  <c r="M30" i="47" s="1"/>
  <c r="M17" i="25"/>
  <c r="M110" i="26" s="1"/>
  <c r="N165" i="21"/>
  <c r="N93" i="6"/>
  <c r="N95" i="6" s="1"/>
  <c r="N167" i="26" s="1"/>
  <c r="O172" i="26"/>
  <c r="N69" i="48"/>
  <c r="N70" i="48" s="1"/>
  <c r="O135" i="21"/>
  <c r="O172" i="21" s="1"/>
  <c r="V49" i="44"/>
  <c r="V55" i="44" s="1"/>
  <c r="AC19" i="22"/>
  <c r="AC37" i="22" s="1"/>
  <c r="M21" i="47"/>
  <c r="N158" i="21"/>
  <c r="U35" i="44"/>
  <c r="U41" i="44" s="1"/>
  <c r="X103" i="6"/>
  <c r="X108" i="6" s="1"/>
  <c r="N177" i="21"/>
  <c r="N18" i="25"/>
  <c r="N111" i="26" s="1"/>
  <c r="T11" i="25"/>
  <c r="T101" i="26" s="1"/>
  <c r="O126" i="21"/>
  <c r="T23" i="26"/>
  <c r="O205" i="26"/>
  <c r="N158" i="26"/>
  <c r="W16" i="25"/>
  <c r="W109" i="26" s="1"/>
  <c r="W108" i="6"/>
  <c r="N24" i="26"/>
  <c r="N25" i="26" s="1"/>
  <c r="N29" i="47"/>
  <c r="N33" i="25" s="1"/>
  <c r="N124" i="26" s="1"/>
  <c r="P51" i="21"/>
  <c r="N16" i="47"/>
  <c r="N114" i="6"/>
  <c r="N116" i="6" s="1"/>
  <c r="T13" i="47"/>
  <c r="T32" i="6"/>
  <c r="T106" i="6"/>
  <c r="T109" i="6" s="1"/>
  <c r="S169" i="26"/>
  <c r="T53" i="44"/>
  <c r="T57" i="44" s="1"/>
  <c r="T51" i="44"/>
  <c r="U33" i="44"/>
  <c r="U48" i="44"/>
  <c r="U54" i="44" s="1"/>
  <c r="U201" i="26"/>
  <c r="U202" i="26" s="1"/>
  <c r="U34" i="44"/>
  <c r="U40" i="44" s="1"/>
  <c r="U36" i="44"/>
  <c r="U42" i="44" s="1"/>
  <c r="U50" i="44"/>
  <c r="U56" i="44" s="1"/>
  <c r="U47" i="44"/>
  <c r="P56" i="21"/>
  <c r="T22" i="47"/>
  <c r="T33" i="6"/>
  <c r="V108" i="6"/>
  <c r="V16" i="25"/>
  <c r="V109" i="26" s="1"/>
  <c r="R160" i="26"/>
  <c r="S15" i="6"/>
  <c r="S21" i="6" s="1"/>
  <c r="O81" i="21"/>
  <c r="T37" i="44"/>
  <c r="T39" i="44"/>
  <c r="T43" i="44" s="1"/>
  <c r="V107" i="6"/>
  <c r="V22" i="26"/>
  <c r="P130" i="21"/>
  <c r="P131" i="21"/>
  <c r="P129" i="21"/>
  <c r="Q161" i="26"/>
  <c r="R31" i="6"/>
  <c r="R34" i="6" s="1"/>
  <c r="U22" i="26"/>
  <c r="U107" i="6"/>
  <c r="P87" i="21"/>
  <c r="P116" i="21" s="1"/>
  <c r="P121" i="6" s="1"/>
  <c r="Q122" i="6" s="1"/>
  <c r="Q21" i="25" s="1"/>
  <c r="Q114" i="26" s="1"/>
  <c r="W35" i="44"/>
  <c r="W41" i="44" s="1"/>
  <c r="W50" i="44"/>
  <c r="W56" i="44" s="1"/>
  <c r="W36" i="44"/>
  <c r="W42" i="44" s="1"/>
  <c r="W201" i="26"/>
  <c r="W202" i="26" s="1"/>
  <c r="W48" i="44"/>
  <c r="W54" i="44" s="1"/>
  <c r="W34" i="44"/>
  <c r="W40" i="44" s="1"/>
  <c r="W33" i="44"/>
  <c r="W47" i="44"/>
  <c r="U26" i="6"/>
  <c r="U28" i="6" s="1"/>
  <c r="T21" i="26"/>
  <c r="P122" i="21"/>
  <c r="P43" i="21"/>
  <c r="P44" i="21" s="1"/>
  <c r="P121" i="21"/>
  <c r="P120" i="21"/>
  <c r="V48" i="44"/>
  <c r="V54" i="44" s="1"/>
  <c r="V36" i="44"/>
  <c r="V42" i="44" s="1"/>
  <c r="V47" i="44"/>
  <c r="V201" i="26"/>
  <c r="V202" i="26" s="1"/>
  <c r="V50" i="44"/>
  <c r="V56" i="44" s="1"/>
  <c r="V33" i="44"/>
  <c r="V34" i="44"/>
  <c r="V40" i="44" s="1"/>
  <c r="Y55" i="48"/>
  <c r="AC166" i="48"/>
  <c r="AC103" i="48"/>
  <c r="AC97" i="48"/>
  <c r="AC91" i="48"/>
  <c r="AC50" i="6"/>
  <c r="AC78" i="22"/>
  <c r="AC79" i="22" s="1"/>
  <c r="Z62" i="48"/>
  <c r="AA77" i="48"/>
  <c r="AA12" i="26" s="1"/>
  <c r="AA18" i="48"/>
  <c r="AB94" i="6"/>
  <c r="Z54" i="48"/>
  <c r="Z16" i="6" s="1"/>
  <c r="AC136" i="22"/>
  <c r="AC137" i="22" s="1"/>
  <c r="AB124" i="48"/>
  <c r="AB38" i="22"/>
  <c r="AB153" i="26" s="1"/>
  <c r="AB155" i="22"/>
  <c r="AB155" i="26" s="1"/>
  <c r="AB127" i="48"/>
  <c r="AB121" i="48"/>
  <c r="AC108" i="48"/>
  <c r="AA47" i="48"/>
  <c r="AC170" i="48"/>
  <c r="Z35" i="48"/>
  <c r="AA13" i="48"/>
  <c r="Z13" i="21"/>
  <c r="Z50" i="21" s="1"/>
  <c r="Z63" i="48"/>
  <c r="Z61" i="48"/>
  <c r="Z64" i="48"/>
  <c r="Z24" i="48"/>
  <c r="Z18" i="21"/>
  <c r="Z55" i="21" s="1"/>
  <c r="Z60" i="48"/>
  <c r="AD151" i="26"/>
  <c r="AD99" i="26"/>
  <c r="AD10" i="26"/>
  <c r="AC73" i="21"/>
  <c r="AC109" i="21" s="1"/>
  <c r="AC65" i="21"/>
  <c r="AC101" i="21" s="1"/>
  <c r="AC77" i="21"/>
  <c r="AC113" i="21" s="1"/>
  <c r="AC76" i="21"/>
  <c r="AC112" i="21" s="1"/>
  <c r="AC64" i="21"/>
  <c r="AC100" i="21" s="1"/>
  <c r="AC62" i="21"/>
  <c r="AC98" i="21" s="1"/>
  <c r="AC75" i="21"/>
  <c r="AC111" i="21" s="1"/>
  <c r="AC72" i="21"/>
  <c r="AC108" i="21" s="1"/>
  <c r="AC71" i="21"/>
  <c r="AC107" i="21" s="1"/>
  <c r="AC74" i="21"/>
  <c r="AC110" i="21" s="1"/>
  <c r="AC60" i="21"/>
  <c r="AC96" i="21" s="1"/>
  <c r="AC66" i="21"/>
  <c r="AC102" i="21" s="1"/>
  <c r="AC70" i="21"/>
  <c r="AC61" i="21"/>
  <c r="AC97" i="21" s="1"/>
  <c r="AC63" i="21"/>
  <c r="AC99" i="21" s="1"/>
  <c r="AC59" i="21"/>
  <c r="AA27" i="6"/>
  <c r="AC54" i="26"/>
  <c r="AC53" i="26"/>
  <c r="AC42" i="26"/>
  <c r="AC49" i="26"/>
  <c r="AC39" i="26"/>
  <c r="AC86" i="26"/>
  <c r="AC37" i="26"/>
  <c r="AC58" i="26"/>
  <c r="AC40" i="26"/>
  <c r="AC52" i="26"/>
  <c r="AC142" i="26"/>
  <c r="AC92" i="26" s="1"/>
  <c r="AC74" i="26"/>
  <c r="AC65" i="26"/>
  <c r="AC51" i="26"/>
  <c r="AC75" i="26"/>
  <c r="AC134" i="26"/>
  <c r="AC34" i="26"/>
  <c r="AC68" i="26"/>
  <c r="AC136" i="26"/>
  <c r="AC85" i="26"/>
  <c r="AC72" i="26"/>
  <c r="AC57" i="26"/>
  <c r="AC35" i="26"/>
  <c r="AC71" i="26"/>
  <c r="AC55" i="26"/>
  <c r="AC67" i="26"/>
  <c r="AC50" i="26"/>
  <c r="AC48" i="26"/>
  <c r="AC59" i="26"/>
  <c r="AC64" i="26"/>
  <c r="AC36" i="26"/>
  <c r="AC66" i="26"/>
  <c r="AC135" i="26"/>
  <c r="AC43" i="26"/>
  <c r="AC73" i="26"/>
  <c r="AC41" i="26"/>
  <c r="AC38" i="26"/>
  <c r="AC70" i="26"/>
  <c r="AC69" i="26"/>
  <c r="AC56" i="26"/>
  <c r="AC339" i="1"/>
  <c r="AC342" i="1" s="1"/>
  <c r="AC351" i="1"/>
  <c r="AC354" i="1" s="1"/>
  <c r="AB142" i="21"/>
  <c r="AB143" i="21"/>
  <c r="AB141" i="21"/>
  <c r="AB45" i="26"/>
  <c r="AA76" i="44"/>
  <c r="AA89" i="44" s="1"/>
  <c r="AA63" i="26"/>
  <c r="AA60" i="26" s="1"/>
  <c r="AA164" i="21"/>
  <c r="AC52" i="22"/>
  <c r="AB204" i="48"/>
  <c r="AC176" i="48"/>
  <c r="AC92" i="25"/>
  <c r="AC93" i="25" s="1"/>
  <c r="AC91" i="25"/>
  <c r="AC94" i="25" s="1"/>
  <c r="AA156" i="26"/>
  <c r="AC29" i="44"/>
  <c r="AC30" i="44"/>
  <c r="AB28" i="48"/>
  <c r="AB182" i="22"/>
  <c r="AB17" i="47" s="1"/>
  <c r="AC172" i="22"/>
  <c r="AB171" i="26"/>
  <c r="AB115" i="48"/>
  <c r="AC179" i="48"/>
  <c r="AB207" i="48"/>
  <c r="AC105" i="48"/>
  <c r="AC197" i="48"/>
  <c r="AC204" i="48"/>
  <c r="AC215" i="48"/>
  <c r="AC131" i="48"/>
  <c r="AC121" i="48"/>
  <c r="AC189" i="48"/>
  <c r="AC217" i="48"/>
  <c r="AC147" i="48"/>
  <c r="AC133" i="48"/>
  <c r="AC213" i="48"/>
  <c r="AC154" i="48"/>
  <c r="AC124" i="48"/>
  <c r="AC126" i="48"/>
  <c r="AC145" i="48"/>
  <c r="AC115" i="48"/>
  <c r="AC194" i="48"/>
  <c r="AC212" i="48"/>
  <c r="AC26" i="48"/>
  <c r="AC169" i="48"/>
  <c r="AC172" i="48"/>
  <c r="AC46" i="48"/>
  <c r="AC150" i="48"/>
  <c r="AC156" i="48"/>
  <c r="AC148" i="48"/>
  <c r="AC75" i="48"/>
  <c r="AC151" i="48"/>
  <c r="AC114" i="48"/>
  <c r="AC89" i="48"/>
  <c r="AC117" i="48"/>
  <c r="AC134" i="48"/>
  <c r="AC123" i="48"/>
  <c r="AC104" i="48"/>
  <c r="AC118" i="48"/>
  <c r="AC99" i="48"/>
  <c r="AC93" i="48"/>
  <c r="AC101" i="48"/>
  <c r="AC87" i="48"/>
  <c r="AC130" i="48"/>
  <c r="AC120" i="48"/>
  <c r="AC157" i="48"/>
  <c r="AC40" i="48"/>
  <c r="AC161" i="48"/>
  <c r="AC187" i="48"/>
  <c r="AC186" i="48"/>
  <c r="AC214" i="48"/>
  <c r="AC190" i="48"/>
  <c r="AC29" i="48"/>
  <c r="AC160" i="48"/>
  <c r="AC216" i="48"/>
  <c r="AC201" i="48"/>
  <c r="AC206" i="48"/>
  <c r="AC139" i="48"/>
  <c r="AC135" i="48"/>
  <c r="AC162" i="48"/>
  <c r="AC195" i="48"/>
  <c r="AC25" i="48"/>
  <c r="AC76" i="48" s="1"/>
  <c r="AC100" i="48"/>
  <c r="AC94" i="48"/>
  <c r="AC181" i="48"/>
  <c r="AC88" i="48"/>
  <c r="AC106" i="48"/>
  <c r="AC175" i="48"/>
  <c r="AC209" i="48"/>
  <c r="AC210" i="48"/>
  <c r="AC185" i="48"/>
  <c r="AC158" i="48"/>
  <c r="AC142" i="48"/>
  <c r="AC127" i="48"/>
  <c r="AC144" i="48"/>
  <c r="AC132" i="48"/>
  <c r="AC203" i="48"/>
  <c r="AC85" i="48"/>
  <c r="AC92" i="48"/>
  <c r="AC184" i="48"/>
  <c r="AC96" i="48"/>
  <c r="AC159" i="48"/>
  <c r="AC112" i="48"/>
  <c r="AC141" i="48"/>
  <c r="AC153" i="48"/>
  <c r="AC207" i="48"/>
  <c r="AC198" i="48"/>
  <c r="AC129" i="48"/>
  <c r="AC218" i="48"/>
  <c r="AC200" i="48"/>
  <c r="AC188" i="48"/>
  <c r="AC49" i="48"/>
  <c r="AC51" i="48" s="1"/>
  <c r="AC107" i="48"/>
  <c r="AC102" i="48"/>
  <c r="AC178" i="48"/>
  <c r="AC95" i="48"/>
  <c r="AC55" i="47"/>
  <c r="AC59" i="47"/>
  <c r="AC61" i="47" s="1"/>
  <c r="AC75" i="22"/>
  <c r="AC133" i="22"/>
  <c r="AC179" i="22"/>
  <c r="AC178" i="22"/>
  <c r="AC170" i="22"/>
  <c r="AC177" i="22"/>
  <c r="AC49" i="22"/>
  <c r="AC51" i="22" s="1"/>
  <c r="AC166" i="22"/>
  <c r="AC78" i="26" s="1"/>
  <c r="AC168" i="22"/>
  <c r="AC173" i="22" s="1"/>
  <c r="AC169" i="22"/>
  <c r="AC24" i="25" s="1"/>
  <c r="AC117" i="26" s="1"/>
  <c r="AC16" i="22"/>
  <c r="AC101" i="22"/>
  <c r="AC104" i="22"/>
  <c r="AC105" i="22" s="1"/>
  <c r="AC90" i="48"/>
  <c r="AC86" i="48"/>
  <c r="AB167" i="48"/>
  <c r="AB163" i="48"/>
  <c r="AC166" i="26"/>
  <c r="AC173" i="48"/>
  <c r="AB201" i="48"/>
  <c r="AB112" i="48"/>
  <c r="AD10" i="25"/>
  <c r="AD103" i="25"/>
  <c r="AD329" i="1"/>
  <c r="AD7" i="26"/>
  <c r="AC182" i="48"/>
  <c r="AB210" i="48"/>
  <c r="AB123" i="22"/>
  <c r="AB151" i="21"/>
  <c r="AB150" i="21"/>
  <c r="AB152" i="21"/>
  <c r="AB61" i="26"/>
  <c r="AA47" i="26"/>
  <c r="AA44" i="26" s="1"/>
  <c r="AA60" i="44"/>
  <c r="AA73" i="44" s="1"/>
  <c r="AA163" i="21"/>
  <c r="AB118" i="48"/>
  <c r="AC8" i="49"/>
  <c r="AC8" i="53"/>
  <c r="AC8" i="48"/>
  <c r="AC8" i="52"/>
  <c r="AC8" i="51"/>
  <c r="AC49" i="6"/>
  <c r="AC13" i="25"/>
  <c r="AC103" i="26" s="1"/>
  <c r="AC126" i="25"/>
  <c r="AC22" i="25"/>
  <c r="AC115" i="26" s="1"/>
  <c r="AC26" i="25"/>
  <c r="AC119" i="26" s="1"/>
  <c r="AC32" i="25"/>
  <c r="AC132" i="26" s="1"/>
  <c r="AC12" i="25"/>
  <c r="AC102" i="26" s="1"/>
  <c r="AC127" i="25"/>
  <c r="AC136" i="25"/>
  <c r="AC137" i="25"/>
  <c r="AC27" i="25"/>
  <c r="AC120" i="26" s="1"/>
  <c r="AC116" i="25"/>
  <c r="AC117" i="25"/>
  <c r="AC41" i="21"/>
  <c r="AC17" i="21"/>
  <c r="AC54" i="21" s="1"/>
  <c r="AC90" i="21" s="1"/>
  <c r="AC30" i="21"/>
  <c r="AC98" i="48"/>
  <c r="AA65" i="48"/>
  <c r="AA35" i="48"/>
  <c r="AB47" i="48"/>
  <c r="AB115" i="25"/>
  <c r="AA183" i="26"/>
  <c r="AB125" i="25"/>
  <c r="AA184" i="26"/>
  <c r="AA185" i="26"/>
  <c r="AB135" i="25"/>
  <c r="AA181" i="26"/>
  <c r="AB145" i="25"/>
  <c r="L175" i="26" l="1"/>
  <c r="AC20" i="22"/>
  <c r="N72" i="48"/>
  <c r="N17" i="25" s="1"/>
  <c r="N110" i="26" s="1"/>
  <c r="O92" i="6"/>
  <c r="Z53" i="48"/>
  <c r="Z55" i="48" s="1"/>
  <c r="AA53" i="48" s="1"/>
  <c r="X16" i="26"/>
  <c r="X35" i="44" s="1"/>
  <c r="X41" i="44" s="1"/>
  <c r="W18" i="6"/>
  <c r="O31" i="26"/>
  <c r="O28" i="26" s="1"/>
  <c r="O76" i="26" s="1"/>
  <c r="O162" i="21"/>
  <c r="O175" i="21"/>
  <c r="O12" i="44"/>
  <c r="O25" i="44" s="1"/>
  <c r="O91" i="44" s="1"/>
  <c r="O94" i="44" s="1"/>
  <c r="O93" i="6" s="1"/>
  <c r="W22" i="26"/>
  <c r="O155" i="21"/>
  <c r="O156" i="21" s="1"/>
  <c r="O19" i="25" s="1"/>
  <c r="O112" i="26" s="1"/>
  <c r="U11" i="25"/>
  <c r="U101" i="26" s="1"/>
  <c r="W107" i="6"/>
  <c r="O161" i="21"/>
  <c r="O19" i="26" s="1"/>
  <c r="AD28" i="44"/>
  <c r="AD30" i="44" s="1"/>
  <c r="AD330" i="1"/>
  <c r="AD345" i="1" s="1"/>
  <c r="AD348" i="1" s="1"/>
  <c r="AD166" i="26" s="1"/>
  <c r="O169" i="21"/>
  <c r="X16" i="25"/>
  <c r="X109" i="26" s="1"/>
  <c r="Y103" i="6"/>
  <c r="Y108" i="6" s="1"/>
  <c r="P123" i="6"/>
  <c r="P172" i="26" s="1"/>
  <c r="O20" i="25"/>
  <c r="O113" i="26" s="1"/>
  <c r="X107" i="6"/>
  <c r="X22" i="26"/>
  <c r="U18" i="6"/>
  <c r="U53" i="44"/>
  <c r="U57" i="44" s="1"/>
  <c r="U51" i="44"/>
  <c r="V13" i="47"/>
  <c r="V32" i="6"/>
  <c r="T169" i="26"/>
  <c r="U106" i="6"/>
  <c r="U109" i="6" s="1"/>
  <c r="P124" i="21"/>
  <c r="P125" i="21"/>
  <c r="P80" i="21"/>
  <c r="P123" i="21"/>
  <c r="Q19" i="21"/>
  <c r="Q92" i="21"/>
  <c r="Q30" i="26" s="1"/>
  <c r="Q20" i="26"/>
  <c r="AC154" i="22"/>
  <c r="AD49" i="26"/>
  <c r="V53" i="44"/>
  <c r="V57" i="44" s="1"/>
  <c r="V51" i="44"/>
  <c r="S31" i="6"/>
  <c r="S34" i="6" s="1"/>
  <c r="R161" i="26"/>
  <c r="U33" i="6"/>
  <c r="U22" i="47"/>
  <c r="W51" i="44"/>
  <c r="W53" i="44"/>
  <c r="W57" i="44" s="1"/>
  <c r="S160" i="26"/>
  <c r="T15" i="6"/>
  <c r="T21" i="6" s="1"/>
  <c r="P133" i="21"/>
  <c r="P134" i="21"/>
  <c r="P29" i="26"/>
  <c r="P132" i="21"/>
  <c r="N173" i="26"/>
  <c r="O113" i="6"/>
  <c r="N26" i="26"/>
  <c r="N77" i="26"/>
  <c r="N82" i="26" s="1"/>
  <c r="X79" i="26"/>
  <c r="V37" i="44"/>
  <c r="V39" i="44"/>
  <c r="V43" i="44" s="1"/>
  <c r="W37" i="44"/>
  <c r="W39" i="44"/>
  <c r="W43" i="44" s="1"/>
  <c r="U39" i="44"/>
  <c r="U43" i="44" s="1"/>
  <c r="U37" i="44"/>
  <c r="W26" i="6"/>
  <c r="W28" i="6" s="1"/>
  <c r="N26" i="47"/>
  <c r="M175" i="26"/>
  <c r="Q18" i="26"/>
  <c r="O203" i="26"/>
  <c r="O206" i="26" s="1"/>
  <c r="O207" i="26" s="1"/>
  <c r="AD12" i="25"/>
  <c r="AD102" i="26" s="1"/>
  <c r="W13" i="47"/>
  <c r="W32" i="6"/>
  <c r="U21" i="26"/>
  <c r="V23" i="26"/>
  <c r="Q14" i="21"/>
  <c r="Q87" i="21"/>
  <c r="AC35" i="22"/>
  <c r="AC87" i="6"/>
  <c r="AC98" i="6" s="1"/>
  <c r="AC115" i="6" s="1"/>
  <c r="AD93" i="48"/>
  <c r="AD147" i="48" s="1"/>
  <c r="AD175" i="48" s="1"/>
  <c r="AD203" i="48" s="1"/>
  <c r="AB78" i="48"/>
  <c r="AB102" i="6" s="1"/>
  <c r="AA66" i="48"/>
  <c r="Z86" i="21"/>
  <c r="AA62" i="48"/>
  <c r="AA57" i="48"/>
  <c r="AA24" i="6" s="1"/>
  <c r="AA54" i="48"/>
  <c r="AA16" i="6" s="1"/>
  <c r="AB23" i="25"/>
  <c r="AB116" i="26" s="1"/>
  <c r="AD104" i="48"/>
  <c r="Z91" i="21"/>
  <c r="AC152" i="22"/>
  <c r="AC164" i="22"/>
  <c r="AC81" i="26" s="1"/>
  <c r="AA16" i="48"/>
  <c r="AC149" i="21"/>
  <c r="AC147" i="21"/>
  <c r="AC148" i="21"/>
  <c r="X25" i="6"/>
  <c r="AC25" i="25"/>
  <c r="AC118" i="26" s="1"/>
  <c r="AC174" i="22"/>
  <c r="AC175" i="22" s="1"/>
  <c r="AC91" i="22"/>
  <c r="AC77" i="22"/>
  <c r="AC143" i="48"/>
  <c r="AC171" i="48" s="1"/>
  <c r="AD171" i="48" s="1"/>
  <c r="AD13" i="25"/>
  <c r="AD103" i="26" s="1"/>
  <c r="AD27" i="25"/>
  <c r="AD120" i="26" s="1"/>
  <c r="AD26" i="25"/>
  <c r="AD119" i="26" s="1"/>
  <c r="AD116" i="25"/>
  <c r="AD32" i="25"/>
  <c r="AD132" i="26" s="1"/>
  <c r="AD126" i="25"/>
  <c r="AD22" i="25"/>
  <c r="AD115" i="26" s="1"/>
  <c r="AD127" i="25"/>
  <c r="AD136" i="25"/>
  <c r="AC78" i="21"/>
  <c r="AC106" i="21"/>
  <c r="AC114" i="21" s="1"/>
  <c r="AC62" i="26" s="1"/>
  <c r="AC152" i="48"/>
  <c r="AC180" i="48" s="1"/>
  <c r="AD89" i="25"/>
  <c r="AD90" i="25"/>
  <c r="AB136" i="48"/>
  <c r="AC140" i="48"/>
  <c r="AC117" i="22"/>
  <c r="AC103" i="22"/>
  <c r="AC146" i="48"/>
  <c r="AC174" i="48" s="1"/>
  <c r="AC202" i="48" s="1"/>
  <c r="AC14" i="44"/>
  <c r="AC33" i="26" s="1"/>
  <c r="AD177" i="22"/>
  <c r="AD168" i="22"/>
  <c r="AD173" i="22" s="1"/>
  <c r="AD169" i="22"/>
  <c r="AD24" i="25" s="1"/>
  <c r="AD117" i="26" s="1"/>
  <c r="AD75" i="22"/>
  <c r="AD91" i="22" s="1"/>
  <c r="AD178" i="22"/>
  <c r="AD16" i="22"/>
  <c r="AD101" i="22"/>
  <c r="AD117" i="22" s="1"/>
  <c r="AD49" i="22"/>
  <c r="AD51" i="22" s="1"/>
  <c r="AD166" i="22"/>
  <c r="AD78" i="26" s="1"/>
  <c r="AD179" i="22"/>
  <c r="AD170" i="22"/>
  <c r="AD133" i="22"/>
  <c r="AD59" i="47"/>
  <c r="AD61" i="47" s="1"/>
  <c r="AD55" i="47"/>
  <c r="AC170" i="26"/>
  <c r="AC67" i="21"/>
  <c r="AC95" i="21"/>
  <c r="AC103" i="21" s="1"/>
  <c r="AC46" i="26" s="1"/>
  <c r="X40" i="6"/>
  <c r="X43" i="6" s="1"/>
  <c r="AC120" i="22"/>
  <c r="AB154" i="26"/>
  <c r="AB156" i="26" s="1"/>
  <c r="AE328" i="1"/>
  <c r="AE7" i="25"/>
  <c r="AD52" i="6"/>
  <c r="AD54" i="6"/>
  <c r="AD51" i="6"/>
  <c r="AD84" i="6"/>
  <c r="AD64" i="6"/>
  <c r="AD66" i="6"/>
  <c r="AD60" i="6"/>
  <c r="AD68" i="6"/>
  <c r="AD58" i="6"/>
  <c r="AD71" i="6"/>
  <c r="AD59" i="6"/>
  <c r="AD77" i="6"/>
  <c r="AD80" i="6"/>
  <c r="AD56" i="6"/>
  <c r="AD73" i="6"/>
  <c r="AD57" i="6"/>
  <c r="AD55" i="6"/>
  <c r="AD65" i="6"/>
  <c r="AD67" i="6"/>
  <c r="AD85" i="6"/>
  <c r="AD76" i="6"/>
  <c r="AD75" i="6"/>
  <c r="AD28" i="47"/>
  <c r="AD63" i="6"/>
  <c r="AD69" i="6"/>
  <c r="AD79" i="6"/>
  <c r="AD78" i="6"/>
  <c r="AD81" i="6"/>
  <c r="AD70" i="6"/>
  <c r="AD53" i="6"/>
  <c r="AD72" i="6"/>
  <c r="AD62" i="6"/>
  <c r="AD83" i="6"/>
  <c r="AD86" i="6"/>
  <c r="AD82" i="6"/>
  <c r="AC167" i="48"/>
  <c r="AB195" i="48"/>
  <c r="AB219" i="48" s="1"/>
  <c r="AB191" i="48"/>
  <c r="AB23" i="48" s="1"/>
  <c r="AC36" i="22"/>
  <c r="AC161" i="22"/>
  <c r="AC18" i="22"/>
  <c r="AC32" i="22"/>
  <c r="AC160" i="22"/>
  <c r="AC121" i="22"/>
  <c r="AC162" i="22"/>
  <c r="AC65" i="22"/>
  <c r="AC13" i="44"/>
  <c r="AC32" i="26" s="1"/>
  <c r="AC42" i="48"/>
  <c r="AC155" i="48"/>
  <c r="AC95" i="25"/>
  <c r="AC110" i="25" s="1"/>
  <c r="AD67" i="26"/>
  <c r="AD42" i="26"/>
  <c r="AD132" i="48"/>
  <c r="AD195" i="48"/>
  <c r="AD155" i="48"/>
  <c r="AD207" i="48"/>
  <c r="AD143" i="48"/>
  <c r="AD146" i="48"/>
  <c r="AD133" i="48"/>
  <c r="AD201" i="48"/>
  <c r="AD211" i="48"/>
  <c r="AD205" i="48"/>
  <c r="AC140" i="21"/>
  <c r="AC138" i="21"/>
  <c r="AC139" i="21"/>
  <c r="AD49" i="48"/>
  <c r="AD51" i="48" s="1"/>
  <c r="AC159" i="26"/>
  <c r="AB153" i="21"/>
  <c r="AD8" i="21"/>
  <c r="AC180" i="22"/>
  <c r="AC80" i="26" s="1"/>
  <c r="AC14" i="25"/>
  <c r="AC104" i="26" s="1"/>
  <c r="AC135" i="22"/>
  <c r="AC149" i="22"/>
  <c r="AC153" i="22"/>
  <c r="AC163" i="22"/>
  <c r="AC149" i="48"/>
  <c r="AC109" i="48"/>
  <c r="AC22" i="48" s="1"/>
  <c r="AD85" i="48"/>
  <c r="AC53" i="22"/>
  <c r="AD52" i="22" s="1"/>
  <c r="AD53" i="22" s="1"/>
  <c r="AC122" i="22"/>
  <c r="AB144" i="21"/>
  <c r="AD30" i="21"/>
  <c r="AD17" i="21"/>
  <c r="AB62" i="48"/>
  <c r="AB57" i="48"/>
  <c r="AB24" i="6" s="1"/>
  <c r="AB129" i="25"/>
  <c r="AB131" i="25" s="1"/>
  <c r="AB128" i="25"/>
  <c r="AB119" i="25"/>
  <c r="AB121" i="25" s="1"/>
  <c r="AB118" i="25"/>
  <c r="AB149" i="25"/>
  <c r="AB31" i="25" s="1"/>
  <c r="AB123" i="26" s="1"/>
  <c r="AB147" i="25"/>
  <c r="AB139" i="25"/>
  <c r="AB141" i="25" s="1"/>
  <c r="AB138" i="25"/>
  <c r="AD29" i="44" l="1"/>
  <c r="AD351" i="1"/>
  <c r="AD354" i="1" s="1"/>
  <c r="AD339" i="1"/>
  <c r="AD342" i="1" s="1"/>
  <c r="AD170" i="26" s="1"/>
  <c r="O95" i="6"/>
  <c r="O167" i="26" s="1"/>
  <c r="N14" i="47"/>
  <c r="N21" i="47" s="1"/>
  <c r="O95" i="44"/>
  <c r="O16" i="47" s="1"/>
  <c r="W23" i="26"/>
  <c r="X26" i="6"/>
  <c r="X28" i="6" s="1"/>
  <c r="X33" i="6" s="1"/>
  <c r="Y16" i="25"/>
  <c r="Y109" i="26" s="1"/>
  <c r="O69" i="48"/>
  <c r="O70" i="48" s="1"/>
  <c r="O158" i="21"/>
  <c r="AD118" i="48"/>
  <c r="AD187" i="48"/>
  <c r="AD142" i="48"/>
  <c r="AD216" i="48"/>
  <c r="AD186" i="48"/>
  <c r="AD189" i="48"/>
  <c r="AD215" i="48"/>
  <c r="AD52" i="26"/>
  <c r="AD35" i="26"/>
  <c r="AD71" i="26"/>
  <c r="AD108" i="48"/>
  <c r="AD58" i="26"/>
  <c r="AD43" i="26"/>
  <c r="AD53" i="26"/>
  <c r="AD185" i="48"/>
  <c r="AD148" i="48"/>
  <c r="AD119" i="48"/>
  <c r="AD162" i="48"/>
  <c r="AD214" i="48"/>
  <c r="AD57" i="26"/>
  <c r="AD135" i="26"/>
  <c r="AD117" i="25"/>
  <c r="AD137" i="25"/>
  <c r="AD26" i="48"/>
  <c r="AD90" i="48"/>
  <c r="AD144" i="48" s="1"/>
  <c r="AD172" i="48" s="1"/>
  <c r="AD200" i="48" s="1"/>
  <c r="AD66" i="26"/>
  <c r="AD41" i="21"/>
  <c r="AD149" i="21" s="1"/>
  <c r="AD65" i="26"/>
  <c r="AD136" i="26"/>
  <c r="AD74" i="26"/>
  <c r="AD69" i="26"/>
  <c r="AD70" i="26"/>
  <c r="AD64" i="26"/>
  <c r="AD50" i="26"/>
  <c r="AD37" i="26"/>
  <c r="AD59" i="26"/>
  <c r="AD55" i="26"/>
  <c r="Y16" i="26"/>
  <c r="Y49" i="44" s="1"/>
  <c r="Y55" i="44" s="1"/>
  <c r="O165" i="21"/>
  <c r="AD39" i="26"/>
  <c r="AD56" i="26"/>
  <c r="AD41" i="26"/>
  <c r="AD38" i="26"/>
  <c r="AD72" i="26"/>
  <c r="AD40" i="26"/>
  <c r="AD48" i="26"/>
  <c r="AD51" i="26"/>
  <c r="AD75" i="26"/>
  <c r="AD68" i="26"/>
  <c r="AD54" i="26"/>
  <c r="AD142" i="26"/>
  <c r="AD92" i="26" s="1"/>
  <c r="AD34" i="26"/>
  <c r="AD73" i="26"/>
  <c r="AD85" i="26"/>
  <c r="AD134" i="26"/>
  <c r="AD86" i="26"/>
  <c r="AD36" i="26"/>
  <c r="X49" i="44"/>
  <c r="X55" i="44" s="1"/>
  <c r="O177" i="21"/>
  <c r="AC38" i="22"/>
  <c r="AD35" i="22" s="1"/>
  <c r="Q120" i="6"/>
  <c r="AD217" i="48"/>
  <c r="AD208" i="48"/>
  <c r="AD140" i="48"/>
  <c r="AD188" i="48"/>
  <c r="AD92" i="48"/>
  <c r="AD176" i="48"/>
  <c r="AD100" i="48"/>
  <c r="AD91" i="48"/>
  <c r="AD170" i="48"/>
  <c r="AD96" i="48"/>
  <c r="AD150" i="48" s="1"/>
  <c r="AD178" i="48" s="1"/>
  <c r="AD206" i="48" s="1"/>
  <c r="AD87" i="48"/>
  <c r="AD141" i="48" s="1"/>
  <c r="AD169" i="48" s="1"/>
  <c r="AD197" i="48" s="1"/>
  <c r="AD97" i="48"/>
  <c r="AD106" i="48"/>
  <c r="AD179" i="48"/>
  <c r="AD199" i="48"/>
  <c r="AD194" i="48"/>
  <c r="AD202" i="48"/>
  <c r="AD161" i="48"/>
  <c r="AD112" i="48"/>
  <c r="AD125" i="48"/>
  <c r="AD210" i="48"/>
  <c r="AD40" i="48"/>
  <c r="AD42" i="48" s="1"/>
  <c r="AD145" i="48"/>
  <c r="AD151" i="48"/>
  <c r="AD131" i="48"/>
  <c r="AD128" i="48"/>
  <c r="AD149" i="48"/>
  <c r="AD116" i="48"/>
  <c r="AD152" i="48"/>
  <c r="AD134" i="48"/>
  <c r="AD115" i="48"/>
  <c r="AD198" i="48"/>
  <c r="AD88" i="48"/>
  <c r="AD99" i="48"/>
  <c r="AD153" i="48" s="1"/>
  <c r="AD181" i="48" s="1"/>
  <c r="AD209" i="48" s="1"/>
  <c r="AD182" i="48"/>
  <c r="AD103" i="48"/>
  <c r="AD166" i="48"/>
  <c r="AD75" i="48"/>
  <c r="AD14" i="44" s="1"/>
  <c r="AD33" i="26" s="1"/>
  <c r="AD190" i="48"/>
  <c r="AD159" i="48"/>
  <c r="AD160" i="48"/>
  <c r="AD124" i="48"/>
  <c r="AD139" i="48"/>
  <c r="AD122" i="48"/>
  <c r="AD213" i="48"/>
  <c r="AD218" i="48"/>
  <c r="AD204" i="48"/>
  <c r="AD196" i="48"/>
  <c r="AD158" i="48"/>
  <c r="AD105" i="48"/>
  <c r="AD95" i="48"/>
  <c r="AD25" i="48"/>
  <c r="AD76" i="48" s="1"/>
  <c r="AD89" i="48"/>
  <c r="AD98" i="48"/>
  <c r="AD86" i="48"/>
  <c r="AD101" i="48"/>
  <c r="AD121" i="48"/>
  <c r="AD157" i="48"/>
  <c r="AD135" i="48"/>
  <c r="AD102" i="48"/>
  <c r="AD156" i="48" s="1"/>
  <c r="AD184" i="48" s="1"/>
  <c r="AD212" i="48" s="1"/>
  <c r="AD94" i="48"/>
  <c r="AD173" i="48"/>
  <c r="AD29" i="48"/>
  <c r="AD130" i="48"/>
  <c r="AD46" i="48"/>
  <c r="AD113" i="48"/>
  <c r="AD154" i="48"/>
  <c r="AD127" i="48"/>
  <c r="AD107" i="48"/>
  <c r="AD167" i="48"/>
  <c r="AD180" i="48"/>
  <c r="W11" i="25"/>
  <c r="W101" i="26" s="1"/>
  <c r="P126" i="21"/>
  <c r="P135" i="21"/>
  <c r="P172" i="21" s="1"/>
  <c r="Q116" i="21"/>
  <c r="Q121" i="6" s="1"/>
  <c r="R122" i="6" s="1"/>
  <c r="R21" i="25" s="1"/>
  <c r="R114" i="26" s="1"/>
  <c r="S161" i="26"/>
  <c r="T31" i="6"/>
  <c r="T34" i="6" s="1"/>
  <c r="U32" i="6"/>
  <c r="U13" i="47"/>
  <c r="Q51" i="21"/>
  <c r="Z79" i="26"/>
  <c r="W33" i="6"/>
  <c r="W22" i="47"/>
  <c r="V26" i="6"/>
  <c r="V28" i="6" s="1"/>
  <c r="V18" i="6"/>
  <c r="Q121" i="21"/>
  <c r="Q43" i="21"/>
  <c r="Q44" i="21" s="1"/>
  <c r="Q120" i="21"/>
  <c r="Q122" i="21"/>
  <c r="P205" i="26"/>
  <c r="O158" i="26"/>
  <c r="O24" i="26"/>
  <c r="O25" i="26" s="1"/>
  <c r="Q56" i="21"/>
  <c r="P81" i="21"/>
  <c r="U169" i="26"/>
  <c r="V106" i="6"/>
  <c r="V109" i="6" s="1"/>
  <c r="U23" i="26"/>
  <c r="Y79" i="26"/>
  <c r="O210" i="26"/>
  <c r="O211" i="26" s="1"/>
  <c r="O15" i="47" s="1"/>
  <c r="W21" i="26"/>
  <c r="T160" i="26"/>
  <c r="U15" i="6"/>
  <c r="U21" i="6" s="1"/>
  <c r="X47" i="44"/>
  <c r="X201" i="26"/>
  <c r="X202" i="26" s="1"/>
  <c r="X36" i="44"/>
  <c r="X42" i="44" s="1"/>
  <c r="X34" i="44"/>
  <c r="X40" i="44" s="1"/>
  <c r="X48" i="44"/>
  <c r="X54" i="44" s="1"/>
  <c r="X50" i="44"/>
  <c r="X56" i="44" s="1"/>
  <c r="X33" i="44"/>
  <c r="Q129" i="21"/>
  <c r="Q130" i="21"/>
  <c r="Q131" i="21"/>
  <c r="AC94" i="6"/>
  <c r="AD120" i="48"/>
  <c r="Y40" i="6"/>
  <c r="Y25" i="6"/>
  <c r="AA55" i="48"/>
  <c r="AC155" i="22"/>
  <c r="AC155" i="26" s="1"/>
  <c r="AC199" i="48"/>
  <c r="AC116" i="48"/>
  <c r="AD174" i="48"/>
  <c r="AC208" i="48"/>
  <c r="AA24" i="48"/>
  <c r="AA13" i="21"/>
  <c r="AA50" i="21" s="1"/>
  <c r="AA64" i="48"/>
  <c r="AA61" i="48"/>
  <c r="AB13" i="48"/>
  <c r="AA18" i="21"/>
  <c r="AA55" i="21" s="1"/>
  <c r="AA60" i="48"/>
  <c r="AA63" i="48"/>
  <c r="AD138" i="21"/>
  <c r="AD139" i="21"/>
  <c r="AD140" i="21"/>
  <c r="AD18" i="22"/>
  <c r="AD19" i="22"/>
  <c r="AE10" i="25"/>
  <c r="AE103" i="25"/>
  <c r="AE99" i="26"/>
  <c r="AE151" i="26"/>
  <c r="AE10" i="26"/>
  <c r="AD174" i="22"/>
  <c r="AD25" i="25"/>
  <c r="AD118" i="26" s="1"/>
  <c r="AC171" i="26"/>
  <c r="AD172" i="22"/>
  <c r="AD54" i="21"/>
  <c r="AD90" i="21" s="1"/>
  <c r="AC122" i="48"/>
  <c r="AC177" i="48"/>
  <c r="AD135" i="22"/>
  <c r="AD136" i="22"/>
  <c r="AD8" i="48"/>
  <c r="AD8" i="51"/>
  <c r="AD8" i="52"/>
  <c r="AD8" i="49"/>
  <c r="AD8" i="53"/>
  <c r="AB30" i="48"/>
  <c r="AE329" i="1"/>
  <c r="AE7" i="26"/>
  <c r="AC141" i="21"/>
  <c r="AC45" i="26"/>
  <c r="AC143" i="21"/>
  <c r="AC142" i="21"/>
  <c r="AD32" i="22"/>
  <c r="AD160" i="22"/>
  <c r="AD161" i="22"/>
  <c r="AD36" i="22"/>
  <c r="AD103" i="22"/>
  <c r="AD104" i="22"/>
  <c r="AD105" i="22" s="1"/>
  <c r="AC125" i="48"/>
  <c r="AD159" i="26"/>
  <c r="AC128" i="48"/>
  <c r="AC183" i="48"/>
  <c r="AB15" i="48"/>
  <c r="AD50" i="6"/>
  <c r="AD49" i="6"/>
  <c r="Y38" i="6"/>
  <c r="X168" i="26"/>
  <c r="AD180" i="22"/>
  <c r="AD80" i="26" s="1"/>
  <c r="AD14" i="25"/>
  <c r="AD104" i="26" s="1"/>
  <c r="AC119" i="48"/>
  <c r="AD91" i="25"/>
  <c r="AD94" i="25" s="1"/>
  <c r="AD92" i="25"/>
  <c r="AD93" i="25" s="1"/>
  <c r="AD77" i="22"/>
  <c r="AD78" i="22"/>
  <c r="AD79" i="22" s="1"/>
  <c r="AD74" i="21"/>
  <c r="AD110" i="21" s="1"/>
  <c r="AD71" i="21"/>
  <c r="AD107" i="21" s="1"/>
  <c r="AD65" i="21"/>
  <c r="AD101" i="21" s="1"/>
  <c r="AD60" i="21"/>
  <c r="AD96" i="21" s="1"/>
  <c r="AD59" i="21"/>
  <c r="AD66" i="21"/>
  <c r="AD102" i="21" s="1"/>
  <c r="AD76" i="21"/>
  <c r="AD112" i="21" s="1"/>
  <c r="AD70" i="21"/>
  <c r="AD75" i="21"/>
  <c r="AD111" i="21" s="1"/>
  <c r="AD73" i="21"/>
  <c r="AD109" i="21" s="1"/>
  <c r="AD62" i="21"/>
  <c r="AD98" i="21" s="1"/>
  <c r="AD77" i="21"/>
  <c r="AD113" i="21" s="1"/>
  <c r="AD63" i="21"/>
  <c r="AD99" i="21" s="1"/>
  <c r="AD64" i="21"/>
  <c r="AD100" i="21" s="1"/>
  <c r="AD61" i="21"/>
  <c r="AD97" i="21" s="1"/>
  <c r="AD72" i="21"/>
  <c r="AD108" i="21" s="1"/>
  <c r="AC152" i="21"/>
  <c r="AC151" i="21"/>
  <c r="AC150" i="21"/>
  <c r="AC61" i="26"/>
  <c r="AB47" i="26"/>
  <c r="AB44" i="26" s="1"/>
  <c r="AB163" i="21"/>
  <c r="AB60" i="44"/>
  <c r="AB73" i="44" s="1"/>
  <c r="AC28" i="48"/>
  <c r="AB19" i="6"/>
  <c r="AB63" i="26"/>
  <c r="AB60" i="26" s="1"/>
  <c r="AB76" i="44"/>
  <c r="AB89" i="44" s="1"/>
  <c r="AB164" i="21"/>
  <c r="AC182" i="22"/>
  <c r="AC17" i="47" s="1"/>
  <c r="AC123" i="22"/>
  <c r="AD149" i="22"/>
  <c r="AD153" i="22"/>
  <c r="AD163" i="22"/>
  <c r="AD162" i="22"/>
  <c r="AD121" i="22"/>
  <c r="AD65" i="22"/>
  <c r="AC168" i="48"/>
  <c r="AC113" i="48"/>
  <c r="AC163" i="48"/>
  <c r="AB181" i="26"/>
  <c r="AC145" i="25"/>
  <c r="AB183" i="26"/>
  <c r="AC115" i="25"/>
  <c r="AB185" i="26"/>
  <c r="AC135" i="25"/>
  <c r="AB184" i="26"/>
  <c r="AC125" i="25"/>
  <c r="AD147" i="21" l="1"/>
  <c r="AD148" i="21"/>
  <c r="P92" i="6"/>
  <c r="N18" i="47"/>
  <c r="N27" i="47" s="1"/>
  <c r="N30" i="47" s="1"/>
  <c r="O26" i="47" s="1"/>
  <c r="AD126" i="48"/>
  <c r="O114" i="6"/>
  <c r="O116" i="6" s="1"/>
  <c r="O173" i="26" s="1"/>
  <c r="Z22" i="26"/>
  <c r="Z16" i="26"/>
  <c r="X21" i="26"/>
  <c r="AD117" i="48"/>
  <c r="X11" i="25"/>
  <c r="X101" i="26" s="1"/>
  <c r="X22" i="47"/>
  <c r="O18" i="25"/>
  <c r="O111" i="26" s="1"/>
  <c r="O72" i="48"/>
  <c r="O14" i="47" s="1"/>
  <c r="O18" i="47" s="1"/>
  <c r="O27" i="47" s="1"/>
  <c r="AC153" i="26"/>
  <c r="P12" i="44"/>
  <c r="P25" i="44" s="1"/>
  <c r="P91" i="44" s="1"/>
  <c r="P94" i="44" s="1"/>
  <c r="P93" i="6" s="1"/>
  <c r="P162" i="21"/>
  <c r="P175" i="21"/>
  <c r="P31" i="26"/>
  <c r="P28" i="26" s="1"/>
  <c r="P76" i="26" s="1"/>
  <c r="AD129" i="48"/>
  <c r="V11" i="25"/>
  <c r="V101" i="26" s="1"/>
  <c r="AD109" i="48"/>
  <c r="AD22" i="48" s="1"/>
  <c r="AD28" i="48" s="1"/>
  <c r="AD13" i="44"/>
  <c r="AD32" i="26" s="1"/>
  <c r="P20" i="25"/>
  <c r="P113" i="26" s="1"/>
  <c r="P155" i="21"/>
  <c r="AD123" i="48"/>
  <c r="P169" i="21"/>
  <c r="P69" i="48" s="1"/>
  <c r="P70" i="48" s="1"/>
  <c r="P161" i="21"/>
  <c r="P19" i="26" s="1"/>
  <c r="Z18" i="6"/>
  <c r="V169" i="26"/>
  <c r="W106" i="6"/>
  <c r="W109" i="6" s="1"/>
  <c r="R14" i="21"/>
  <c r="X53" i="44"/>
  <c r="X57" i="44" s="1"/>
  <c r="X51" i="44"/>
  <c r="Q123" i="6"/>
  <c r="Q134" i="21"/>
  <c r="Q133" i="21"/>
  <c r="Q29" i="26"/>
  <c r="Q132" i="21"/>
  <c r="V22" i="47"/>
  <c r="V33" i="6"/>
  <c r="X18" i="6"/>
  <c r="Y35" i="44"/>
  <c r="Y41" i="44" s="1"/>
  <c r="Y50" i="44"/>
  <c r="Y56" i="44" s="1"/>
  <c r="Y48" i="44"/>
  <c r="Y54" i="44" s="1"/>
  <c r="Y33" i="44"/>
  <c r="Y34" i="44"/>
  <c r="Y40" i="44" s="1"/>
  <c r="Y47" i="44"/>
  <c r="Y36" i="44"/>
  <c r="Y42" i="44" s="1"/>
  <c r="Y201" i="26"/>
  <c r="Y202" i="26" s="1"/>
  <c r="Q124" i="21"/>
  <c r="Q125" i="21"/>
  <c r="Q123" i="21"/>
  <c r="Q80" i="21"/>
  <c r="T161" i="26"/>
  <c r="U31" i="6"/>
  <c r="U34" i="6" s="1"/>
  <c r="R92" i="21"/>
  <c r="R30" i="26" s="1"/>
  <c r="R19" i="21"/>
  <c r="U160" i="26"/>
  <c r="V15" i="6"/>
  <c r="V21" i="6" s="1"/>
  <c r="O77" i="26"/>
  <c r="O82" i="26" s="1"/>
  <c r="O26" i="26"/>
  <c r="P203" i="26"/>
  <c r="P206" i="26" s="1"/>
  <c r="P207" i="26" s="1"/>
  <c r="Y107" i="6"/>
  <c r="Y22" i="26"/>
  <c r="R20" i="26"/>
  <c r="X39" i="44"/>
  <c r="X43" i="44" s="1"/>
  <c r="X37" i="44"/>
  <c r="V21" i="26"/>
  <c r="R18" i="26"/>
  <c r="AD163" i="48"/>
  <c r="AD114" i="48"/>
  <c r="Y43" i="6"/>
  <c r="Y168" i="26" s="1"/>
  <c r="AD152" i="22"/>
  <c r="AB53" i="48"/>
  <c r="AD122" i="22"/>
  <c r="AC144" i="21"/>
  <c r="AC163" i="21" s="1"/>
  <c r="AA91" i="21"/>
  <c r="AD219" i="48"/>
  <c r="AA86" i="21"/>
  <c r="AD87" i="6"/>
  <c r="AD98" i="6" s="1"/>
  <c r="AD115" i="6" s="1"/>
  <c r="Z103" i="6"/>
  <c r="AC154" i="26"/>
  <c r="AD120" i="22"/>
  <c r="AD106" i="21"/>
  <c r="AD114" i="21" s="1"/>
  <c r="AD62" i="26" s="1"/>
  <c r="AD78" i="21"/>
  <c r="AB18" i="48"/>
  <c r="AB16" i="48"/>
  <c r="AD183" i="48"/>
  <c r="AC211" i="48"/>
  <c r="AF328" i="1"/>
  <c r="AF7" i="25"/>
  <c r="AB31" i="48"/>
  <c r="AB32" i="48" s="1"/>
  <c r="AB77" i="48"/>
  <c r="AE28" i="44"/>
  <c r="AE78" i="22"/>
  <c r="AE79" i="22" s="1"/>
  <c r="AE330" i="1"/>
  <c r="AE57" i="6"/>
  <c r="AE76" i="6"/>
  <c r="AE80" i="6"/>
  <c r="AE77" i="6"/>
  <c r="AE81" i="6"/>
  <c r="AE66" i="6"/>
  <c r="AE86" i="6"/>
  <c r="AE55" i="6"/>
  <c r="AE70" i="6"/>
  <c r="AE50" i="6"/>
  <c r="AE62" i="6"/>
  <c r="AE75" i="6"/>
  <c r="AE51" i="6"/>
  <c r="AE72" i="6"/>
  <c r="AE79" i="6"/>
  <c r="AE85" i="6"/>
  <c r="AE67" i="6"/>
  <c r="AE82" i="6"/>
  <c r="AE78" i="6"/>
  <c r="AE83" i="6"/>
  <c r="AE56" i="6"/>
  <c r="AE60" i="6"/>
  <c r="AE63" i="6"/>
  <c r="AE68" i="6"/>
  <c r="AE69" i="6"/>
  <c r="AE52" i="6"/>
  <c r="AE59" i="6"/>
  <c r="AE53" i="6"/>
  <c r="AE64" i="6"/>
  <c r="AE58" i="6"/>
  <c r="AE65" i="6"/>
  <c r="AE71" i="6"/>
  <c r="AE84" i="6"/>
  <c r="AE54" i="6"/>
  <c r="AE73" i="6"/>
  <c r="AC205" i="48"/>
  <c r="AD177" i="48"/>
  <c r="AD37" i="22"/>
  <c r="AD38" i="22" s="1"/>
  <c r="AD164" i="22"/>
  <c r="AD81" i="26" s="1"/>
  <c r="AD20" i="22"/>
  <c r="AC136" i="48"/>
  <c r="AB27" i="6"/>
  <c r="AD95" i="25"/>
  <c r="AD182" i="22"/>
  <c r="AD17" i="47" s="1"/>
  <c r="AE89" i="25"/>
  <c r="AE90" i="25"/>
  <c r="AE8" i="21"/>
  <c r="AC196" i="48"/>
  <c r="AD168" i="48"/>
  <c r="AC191" i="48"/>
  <c r="AC23" i="48" s="1"/>
  <c r="AA19" i="6"/>
  <c r="AC153" i="21"/>
  <c r="AD95" i="21"/>
  <c r="AD103" i="21" s="1"/>
  <c r="AD46" i="26" s="1"/>
  <c r="AD67" i="21"/>
  <c r="AC23" i="25"/>
  <c r="AC116" i="26" s="1"/>
  <c r="AD137" i="22"/>
  <c r="AD154" i="22"/>
  <c r="AD175" i="22"/>
  <c r="AC27" i="6"/>
  <c r="AC119" i="25"/>
  <c r="AC121" i="25" s="1"/>
  <c r="AC118" i="25"/>
  <c r="AC128" i="25"/>
  <c r="AC129" i="25"/>
  <c r="AC131" i="25" s="1"/>
  <c r="AC149" i="25"/>
  <c r="AC31" i="25" s="1"/>
  <c r="AC123" i="26" s="1"/>
  <c r="AC147" i="25"/>
  <c r="AC139" i="25"/>
  <c r="AC141" i="25" s="1"/>
  <c r="AC138" i="25"/>
  <c r="AC156" i="26" l="1"/>
  <c r="N175" i="26"/>
  <c r="P29" i="47"/>
  <c r="P33" i="25" s="1"/>
  <c r="P124" i="26" s="1"/>
  <c r="P95" i="6"/>
  <c r="P167" i="26" s="1"/>
  <c r="O29" i="47"/>
  <c r="O33" i="25" s="1"/>
  <c r="O124" i="26" s="1"/>
  <c r="P113" i="6"/>
  <c r="Z107" i="6"/>
  <c r="AE49" i="6"/>
  <c r="AE87" i="6" s="1"/>
  <c r="AE94" i="6" s="1"/>
  <c r="Z35" i="44"/>
  <c r="Z41" i="44" s="1"/>
  <c r="O17" i="25"/>
  <c r="O110" i="26" s="1"/>
  <c r="P95" i="44"/>
  <c r="P114" i="6" s="1"/>
  <c r="AD136" i="48"/>
  <c r="AD15" i="48" s="1"/>
  <c r="AD18" i="48" s="1"/>
  <c r="P165" i="21"/>
  <c r="P177" i="21"/>
  <c r="Q126" i="21"/>
  <c r="O21" i="47"/>
  <c r="P156" i="21"/>
  <c r="P19" i="25" s="1"/>
  <c r="P112" i="26" s="1"/>
  <c r="P158" i="21"/>
  <c r="AD155" i="22"/>
  <c r="AD155" i="26" s="1"/>
  <c r="Q135" i="21"/>
  <c r="Z49" i="44"/>
  <c r="Z55" i="44" s="1"/>
  <c r="AA16" i="26"/>
  <c r="AA33" i="44" s="1"/>
  <c r="Y53" i="44"/>
  <c r="Y57" i="44" s="1"/>
  <c r="Y51" i="44"/>
  <c r="R121" i="21"/>
  <c r="R122" i="21"/>
  <c r="R43" i="21"/>
  <c r="R44" i="21" s="1"/>
  <c r="R120" i="21"/>
  <c r="Z26" i="6"/>
  <c r="P24" i="26"/>
  <c r="P25" i="26" s="1"/>
  <c r="AA79" i="26"/>
  <c r="R130" i="21"/>
  <c r="R131" i="21"/>
  <c r="R129" i="21"/>
  <c r="V31" i="6"/>
  <c r="V34" i="6" s="1"/>
  <c r="U161" i="26"/>
  <c r="X32" i="6"/>
  <c r="X13" i="47"/>
  <c r="R51" i="21"/>
  <c r="Z23" i="26"/>
  <c r="Y13" i="47"/>
  <c r="Y32" i="6"/>
  <c r="Z33" i="44"/>
  <c r="Z47" i="44"/>
  <c r="Z36" i="44"/>
  <c r="Z42" i="44" s="1"/>
  <c r="Z34" i="44"/>
  <c r="Z40" i="44" s="1"/>
  <c r="Z48" i="44"/>
  <c r="Z54" i="44" s="1"/>
  <c r="Z201" i="26"/>
  <c r="Z202" i="26" s="1"/>
  <c r="Z50" i="44"/>
  <c r="Z56" i="44" s="1"/>
  <c r="Q205" i="26"/>
  <c r="P158" i="26"/>
  <c r="V160" i="26"/>
  <c r="W15" i="6"/>
  <c r="W21" i="6" s="1"/>
  <c r="R56" i="21"/>
  <c r="Q81" i="21"/>
  <c r="Y39" i="44"/>
  <c r="Y43" i="44" s="1"/>
  <c r="Y37" i="44"/>
  <c r="Z32" i="6"/>
  <c r="Z13" i="47"/>
  <c r="W169" i="26"/>
  <c r="X106" i="6"/>
  <c r="X109" i="6" s="1"/>
  <c r="Y23" i="26"/>
  <c r="P72" i="48"/>
  <c r="P210" i="26"/>
  <c r="P211" i="26" s="1"/>
  <c r="P15" i="47" s="1"/>
  <c r="X23" i="26"/>
  <c r="R120" i="6"/>
  <c r="Q172" i="26"/>
  <c r="R87" i="21"/>
  <c r="R116" i="21" s="1"/>
  <c r="R121" i="6" s="1"/>
  <c r="S122" i="6" s="1"/>
  <c r="S21" i="25" s="1"/>
  <c r="S114" i="26" s="1"/>
  <c r="AA26" i="6"/>
  <c r="Y18" i="6"/>
  <c r="Z38" i="6"/>
  <c r="AC47" i="26"/>
  <c r="AC44" i="26" s="1"/>
  <c r="AD123" i="22"/>
  <c r="AD154" i="26" s="1"/>
  <c r="AB33" i="48"/>
  <c r="AC47" i="48" s="1"/>
  <c r="AC57" i="48" s="1"/>
  <c r="AC24" i="6" s="1"/>
  <c r="AD23" i="25"/>
  <c r="AD116" i="26" s="1"/>
  <c r="AE104" i="22"/>
  <c r="AE105" i="22" s="1"/>
  <c r="AC60" i="44"/>
  <c r="AC73" i="44" s="1"/>
  <c r="AD94" i="6"/>
  <c r="Z16" i="25"/>
  <c r="Z109" i="26" s="1"/>
  <c r="Z108" i="6"/>
  <c r="Z40" i="6"/>
  <c r="AD171" i="26"/>
  <c r="AE172" i="22"/>
  <c r="AE168" i="48"/>
  <c r="AD191" i="48"/>
  <c r="AD23" i="48" s="1"/>
  <c r="AE19" i="22"/>
  <c r="AE85" i="48"/>
  <c r="AE104" i="48"/>
  <c r="AE181" i="48"/>
  <c r="AE126" i="48"/>
  <c r="AE149" i="48"/>
  <c r="AE208" i="48"/>
  <c r="AE212" i="48"/>
  <c r="AE189" i="48"/>
  <c r="AE153" i="48"/>
  <c r="AE46" i="48"/>
  <c r="AE29" i="48"/>
  <c r="AE217" i="48"/>
  <c r="AE135" i="48"/>
  <c r="AE161" i="48"/>
  <c r="AE162" i="48"/>
  <c r="AE216" i="48"/>
  <c r="AE147" i="48"/>
  <c r="AE103" i="48"/>
  <c r="AE94" i="48"/>
  <c r="AE91" i="48"/>
  <c r="AE99" i="48"/>
  <c r="AE98" i="48"/>
  <c r="AE26" i="48"/>
  <c r="AE199" i="48"/>
  <c r="AE211" i="48"/>
  <c r="AE40" i="48"/>
  <c r="AE141" i="48"/>
  <c r="AE75" i="48"/>
  <c r="AE200" i="48"/>
  <c r="AE101" i="48"/>
  <c r="AE116" i="48"/>
  <c r="AE120" i="48"/>
  <c r="AE107" i="48"/>
  <c r="AE97" i="48"/>
  <c r="AE203" i="48"/>
  <c r="AE159" i="48"/>
  <c r="AE113" i="48"/>
  <c r="AE197" i="48"/>
  <c r="AE128" i="48"/>
  <c r="AE218" i="48"/>
  <c r="AE215" i="48"/>
  <c r="AE123" i="48"/>
  <c r="AE140" i="48"/>
  <c r="AE119" i="48"/>
  <c r="AE155" i="48"/>
  <c r="AE150" i="48"/>
  <c r="AE129" i="48"/>
  <c r="AE190" i="48"/>
  <c r="AE144" i="48"/>
  <c r="AE202" i="48"/>
  <c r="AE90" i="48"/>
  <c r="AE108" i="48"/>
  <c r="AE49" i="48"/>
  <c r="AE51" i="48" s="1"/>
  <c r="AE134" i="48"/>
  <c r="AE146" i="48"/>
  <c r="AE125" i="48"/>
  <c r="AE188" i="48"/>
  <c r="AE160" i="48"/>
  <c r="AE209" i="48"/>
  <c r="AE122" i="48"/>
  <c r="AE196" i="48"/>
  <c r="AE206" i="48"/>
  <c r="AE158" i="48"/>
  <c r="AE152" i="48"/>
  <c r="AE131" i="48"/>
  <c r="AE93" i="48"/>
  <c r="AE88" i="48"/>
  <c r="AE187" i="48"/>
  <c r="AE175" i="48"/>
  <c r="AE143" i="48"/>
  <c r="AE114" i="48"/>
  <c r="AE156" i="48"/>
  <c r="AE117" i="48"/>
  <c r="AE205" i="48"/>
  <c r="AE214" i="48"/>
  <c r="AE106" i="48"/>
  <c r="AE133" i="48"/>
  <c r="AE132" i="48"/>
  <c r="AE166" i="48"/>
  <c r="AE96" i="48"/>
  <c r="AE100" i="48"/>
  <c r="AE102" i="48"/>
  <c r="AE87" i="48"/>
  <c r="AE169" i="48"/>
  <c r="AE172" i="48"/>
  <c r="AE86" i="48"/>
  <c r="AE25" i="48"/>
  <c r="AE76" i="48" s="1"/>
  <c r="AE89" i="48"/>
  <c r="AE92" i="48"/>
  <c r="AE180" i="48"/>
  <c r="AE186" i="48"/>
  <c r="AE95" i="48"/>
  <c r="AE178" i="48"/>
  <c r="AE184" i="48"/>
  <c r="AE174" i="48"/>
  <c r="AE171" i="48"/>
  <c r="AE105" i="48"/>
  <c r="AB12" i="26"/>
  <c r="AB66" i="48"/>
  <c r="AC78" i="48"/>
  <c r="AC102" i="6" s="1"/>
  <c r="AF99" i="26"/>
  <c r="AF151" i="26"/>
  <c r="AF10" i="26"/>
  <c r="AC219" i="48"/>
  <c r="AC15" i="48" s="1"/>
  <c r="AE91" i="25"/>
  <c r="AE94" i="25" s="1"/>
  <c r="AE92" i="25"/>
  <c r="AE93" i="25" s="1"/>
  <c r="AE75" i="26"/>
  <c r="AE55" i="26"/>
  <c r="AE134" i="26"/>
  <c r="AE70" i="26"/>
  <c r="AE35" i="26"/>
  <c r="AE43" i="26"/>
  <c r="AE66" i="26"/>
  <c r="AE38" i="26"/>
  <c r="AE42" i="26"/>
  <c r="AE65" i="26"/>
  <c r="AE58" i="26"/>
  <c r="AE74" i="26"/>
  <c r="AE56" i="26"/>
  <c r="AE69" i="26"/>
  <c r="AE54" i="26"/>
  <c r="AE50" i="26"/>
  <c r="AE136" i="26"/>
  <c r="AE64" i="26"/>
  <c r="AE72" i="26"/>
  <c r="AE36" i="26"/>
  <c r="AE71" i="26"/>
  <c r="AE48" i="26"/>
  <c r="AE142" i="26"/>
  <c r="AE92" i="26" s="1"/>
  <c r="AE49" i="26"/>
  <c r="AE59" i="26"/>
  <c r="AE57" i="26"/>
  <c r="AE53" i="26"/>
  <c r="AE41" i="26"/>
  <c r="AE52" i="26"/>
  <c r="AE39" i="26"/>
  <c r="AE85" i="26"/>
  <c r="AE67" i="26"/>
  <c r="AE51" i="26"/>
  <c r="AE73" i="26"/>
  <c r="AE68" i="26"/>
  <c r="AE40" i="26"/>
  <c r="AE135" i="26"/>
  <c r="AE37" i="26"/>
  <c r="AE34" i="26"/>
  <c r="AE86" i="26"/>
  <c r="AE59" i="47"/>
  <c r="AE61" i="47" s="1"/>
  <c r="AE55" i="47"/>
  <c r="AF10" i="25"/>
  <c r="AF103" i="25"/>
  <c r="AE183" i="48"/>
  <c r="AC63" i="26"/>
  <c r="AC60" i="26" s="1"/>
  <c r="AC76" i="44"/>
  <c r="AC89" i="44" s="1"/>
  <c r="AC164" i="21"/>
  <c r="AD153" i="26"/>
  <c r="AE35" i="22"/>
  <c r="AE177" i="48"/>
  <c r="AE345" i="1"/>
  <c r="AE348" i="1" s="1"/>
  <c r="AE339" i="1"/>
  <c r="AE342" i="1" s="1"/>
  <c r="AE351" i="1"/>
  <c r="AE354" i="1" s="1"/>
  <c r="AB60" i="48"/>
  <c r="AB13" i="21"/>
  <c r="AB50" i="21" s="1"/>
  <c r="AB18" i="21"/>
  <c r="AB55" i="21" s="1"/>
  <c r="AB64" i="48"/>
  <c r="AB61" i="48"/>
  <c r="AB63" i="48"/>
  <c r="AC13" i="48"/>
  <c r="AB24" i="48"/>
  <c r="AE71" i="21"/>
  <c r="AE107" i="21" s="1"/>
  <c r="AE63" i="21"/>
  <c r="AE99" i="21" s="1"/>
  <c r="AE64" i="21"/>
  <c r="AE100" i="21" s="1"/>
  <c r="AE75" i="21"/>
  <c r="AE111" i="21" s="1"/>
  <c r="AE72" i="21"/>
  <c r="AE108" i="21" s="1"/>
  <c r="AE77" i="21"/>
  <c r="AE113" i="21" s="1"/>
  <c r="AE74" i="21"/>
  <c r="AE110" i="21" s="1"/>
  <c r="AE70" i="21"/>
  <c r="AE59" i="21"/>
  <c r="AE62" i="21"/>
  <c r="AE98" i="21" s="1"/>
  <c r="AE73" i="21"/>
  <c r="AE109" i="21" s="1"/>
  <c r="AE61" i="21"/>
  <c r="AE97" i="21" s="1"/>
  <c r="AE65" i="21"/>
  <c r="AE101" i="21" s="1"/>
  <c r="AE60" i="21"/>
  <c r="AE96" i="21" s="1"/>
  <c r="AE76" i="21"/>
  <c r="AE112" i="21" s="1"/>
  <c r="AE66" i="21"/>
  <c r="AE102" i="21" s="1"/>
  <c r="AD143" i="21"/>
  <c r="AD45" i="26"/>
  <c r="AD142" i="21"/>
  <c r="AD141" i="21"/>
  <c r="AC30" i="48"/>
  <c r="AE136" i="22"/>
  <c r="AE154" i="22" s="1"/>
  <c r="AE8" i="48"/>
  <c r="AE8" i="49"/>
  <c r="AE8" i="51"/>
  <c r="AE8" i="53"/>
  <c r="AE8" i="52"/>
  <c r="AE28" i="47"/>
  <c r="AE117" i="25"/>
  <c r="AE127" i="25"/>
  <c r="AE13" i="25"/>
  <c r="AE103" i="26" s="1"/>
  <c r="AE26" i="25"/>
  <c r="AE119" i="26" s="1"/>
  <c r="AE12" i="25"/>
  <c r="AE102" i="26" s="1"/>
  <c r="AE116" i="25"/>
  <c r="AE22" i="25"/>
  <c r="AE115" i="26" s="1"/>
  <c r="AE27" i="25"/>
  <c r="AE120" i="26" s="1"/>
  <c r="AE32" i="25"/>
  <c r="AE132" i="26" s="1"/>
  <c r="AE136" i="25"/>
  <c r="AE126" i="25"/>
  <c r="AE137" i="25"/>
  <c r="AE41" i="21"/>
  <c r="AE30" i="21"/>
  <c r="AE17" i="21"/>
  <c r="AE54" i="21" s="1"/>
  <c r="AE90" i="21" s="1"/>
  <c r="AE52" i="22"/>
  <c r="AE170" i="22"/>
  <c r="AE49" i="22"/>
  <c r="AE178" i="22"/>
  <c r="AE16" i="22"/>
  <c r="AE75" i="22"/>
  <c r="AE169" i="22"/>
  <c r="AE24" i="25" s="1"/>
  <c r="AE117" i="26" s="1"/>
  <c r="AE168" i="22"/>
  <c r="AE173" i="22" s="1"/>
  <c r="AE179" i="22"/>
  <c r="AE177" i="22"/>
  <c r="AE166" i="22"/>
  <c r="AE78" i="26" s="1"/>
  <c r="AE101" i="22"/>
  <c r="AE133" i="22"/>
  <c r="AE29" i="44"/>
  <c r="AE30" i="44"/>
  <c r="AF28" i="44"/>
  <c r="AF330" i="1"/>
  <c r="AF55" i="47"/>
  <c r="AF329" i="1"/>
  <c r="AF7" i="26"/>
  <c r="AD152" i="21"/>
  <c r="AD61" i="26"/>
  <c r="AD151" i="21"/>
  <c r="AD150" i="21"/>
  <c r="AA103" i="6"/>
  <c r="AC185" i="26"/>
  <c r="AD135" i="25"/>
  <c r="AC184" i="26"/>
  <c r="AD125" i="25"/>
  <c r="AD115" i="25"/>
  <c r="AC183" i="26"/>
  <c r="AD145" i="25"/>
  <c r="AC181" i="26"/>
  <c r="P116" i="6" l="1"/>
  <c r="Q113" i="6" s="1"/>
  <c r="Q92" i="6"/>
  <c r="O30" i="47"/>
  <c r="O175" i="26" s="1"/>
  <c r="P16" i="47"/>
  <c r="AA48" i="44"/>
  <c r="AA54" i="44" s="1"/>
  <c r="P17" i="25"/>
  <c r="P110" i="26" s="1"/>
  <c r="AA34" i="44"/>
  <c r="AA40" i="44" s="1"/>
  <c r="Q20" i="25"/>
  <c r="Q113" i="26" s="1"/>
  <c r="AA50" i="44"/>
  <c r="AA56" i="44" s="1"/>
  <c r="AA36" i="44"/>
  <c r="AA42" i="44" s="1"/>
  <c r="AA47" i="44"/>
  <c r="AA53" i="44" s="1"/>
  <c r="AE120" i="22"/>
  <c r="Q161" i="21"/>
  <c r="Q19" i="26" s="1"/>
  <c r="AA49" i="44"/>
  <c r="AA55" i="44" s="1"/>
  <c r="AA35" i="44"/>
  <c r="AA41" i="44" s="1"/>
  <c r="AA201" i="26"/>
  <c r="AA202" i="26" s="1"/>
  <c r="Q169" i="21"/>
  <c r="Q155" i="21"/>
  <c r="Q156" i="21" s="1"/>
  <c r="Q19" i="25" s="1"/>
  <c r="Q112" i="26" s="1"/>
  <c r="P14" i="47"/>
  <c r="P21" i="47" s="1"/>
  <c r="Q162" i="21"/>
  <c r="Q175" i="21"/>
  <c r="Q172" i="21"/>
  <c r="AE152" i="22"/>
  <c r="Q12" i="44"/>
  <c r="Q25" i="44" s="1"/>
  <c r="Q91" i="44" s="1"/>
  <c r="Q94" i="44" s="1"/>
  <c r="Q93" i="6" s="1"/>
  <c r="Q31" i="26"/>
  <c r="Q28" i="26" s="1"/>
  <c r="Q76" i="26" s="1"/>
  <c r="S20" i="26"/>
  <c r="S19" i="21"/>
  <c r="Z53" i="44"/>
  <c r="Z57" i="44" s="1"/>
  <c r="Z51" i="44"/>
  <c r="R80" i="21"/>
  <c r="R125" i="21"/>
  <c r="R124" i="21"/>
  <c r="R123" i="21"/>
  <c r="P26" i="26"/>
  <c r="P77" i="26"/>
  <c r="P82" i="26" s="1"/>
  <c r="P18" i="25"/>
  <c r="P111" i="26" s="1"/>
  <c r="S14" i="21"/>
  <c r="Y21" i="26"/>
  <c r="AB16" i="26"/>
  <c r="AB35" i="44" s="1"/>
  <c r="AB41" i="44" s="1"/>
  <c r="Z39" i="44"/>
  <c r="Z43" i="44" s="1"/>
  <c r="Z37" i="44"/>
  <c r="W31" i="6"/>
  <c r="W34" i="6" s="1"/>
  <c r="V161" i="26"/>
  <c r="AA107" i="6"/>
  <c r="AA22" i="26"/>
  <c r="S18" i="26"/>
  <c r="Q203" i="26"/>
  <c r="Q206" i="26" s="1"/>
  <c r="R123" i="6"/>
  <c r="Y106" i="6"/>
  <c r="Y109" i="6" s="1"/>
  <c r="X169" i="26"/>
  <c r="Y26" i="6"/>
  <c r="Y28" i="6" s="1"/>
  <c r="Y11" i="25"/>
  <c r="Y101" i="26" s="1"/>
  <c r="R132" i="21"/>
  <c r="R133" i="21"/>
  <c r="R134" i="21"/>
  <c r="R29" i="26"/>
  <c r="X15" i="6"/>
  <c r="X21" i="6" s="1"/>
  <c r="W160" i="26"/>
  <c r="Z43" i="6"/>
  <c r="Z168" i="26" s="1"/>
  <c r="AC62" i="48"/>
  <c r="AB65" i="48"/>
  <c r="AB35" i="48"/>
  <c r="AB54" i="48"/>
  <c r="AB16" i="6" s="1"/>
  <c r="AE98" i="6"/>
  <c r="AE115" i="6" s="1"/>
  <c r="AD144" i="21"/>
  <c r="AD47" i="26" s="1"/>
  <c r="AD44" i="26" s="1"/>
  <c r="AE95" i="25"/>
  <c r="AE110" i="25" s="1"/>
  <c r="AF59" i="47"/>
  <c r="AF61" i="47" s="1"/>
  <c r="Z25" i="6"/>
  <c r="Z28" i="6" s="1"/>
  <c r="Z11" i="25"/>
  <c r="Z101" i="26" s="1"/>
  <c r="Z21" i="26"/>
  <c r="AF89" i="25"/>
  <c r="AF90" i="25"/>
  <c r="AF41" i="26"/>
  <c r="AF39" i="26"/>
  <c r="AF85" i="26"/>
  <c r="AF142" i="26"/>
  <c r="AF92" i="26" s="1"/>
  <c r="AF72" i="26"/>
  <c r="AF57" i="26"/>
  <c r="AF70" i="26"/>
  <c r="AF36" i="26"/>
  <c r="AF136" i="26"/>
  <c r="AF134" i="26"/>
  <c r="AF67" i="26"/>
  <c r="AF69" i="26"/>
  <c r="AF73" i="26"/>
  <c r="AF38" i="26"/>
  <c r="AF71" i="26"/>
  <c r="AF68" i="26"/>
  <c r="AF58" i="26"/>
  <c r="AF66" i="26"/>
  <c r="AF135" i="26"/>
  <c r="AF35" i="26"/>
  <c r="AF75" i="26"/>
  <c r="AF59" i="26"/>
  <c r="AF56" i="26"/>
  <c r="AF74" i="26"/>
  <c r="AF48" i="26"/>
  <c r="AF37" i="26"/>
  <c r="AF34" i="26"/>
  <c r="AF49" i="26"/>
  <c r="AF55" i="26"/>
  <c r="AF43" i="26"/>
  <c r="AF64" i="26"/>
  <c r="AF52" i="26"/>
  <c r="AF51" i="26"/>
  <c r="AF53" i="26"/>
  <c r="AF42" i="26"/>
  <c r="AF54" i="26"/>
  <c r="AF65" i="26"/>
  <c r="AF50" i="26"/>
  <c r="AF86" i="26"/>
  <c r="AF40" i="26"/>
  <c r="AF117" i="48"/>
  <c r="AF148" i="48"/>
  <c r="AF129" i="48"/>
  <c r="AF139" i="48"/>
  <c r="AF151" i="48"/>
  <c r="AF75" i="48"/>
  <c r="AF112" i="48"/>
  <c r="AF188" i="48"/>
  <c r="AF189" i="48"/>
  <c r="AF200" i="48"/>
  <c r="AF133" i="48"/>
  <c r="AF218" i="48"/>
  <c r="AF197" i="48"/>
  <c r="AF147" i="48"/>
  <c r="AF162" i="48"/>
  <c r="AF194" i="48"/>
  <c r="AF190" i="48"/>
  <c r="AF215" i="48"/>
  <c r="AF135" i="48"/>
  <c r="AF114" i="48"/>
  <c r="AF118" i="48"/>
  <c r="AF115" i="48"/>
  <c r="AF207" i="48"/>
  <c r="AF201" i="48"/>
  <c r="AF198" i="48"/>
  <c r="AF132" i="48"/>
  <c r="AF142" i="48"/>
  <c r="AF40" i="48"/>
  <c r="AF212" i="48"/>
  <c r="AF124" i="48"/>
  <c r="AF141" i="48"/>
  <c r="AF213" i="48"/>
  <c r="AF204" i="48"/>
  <c r="AF203" i="48"/>
  <c r="AF154" i="48"/>
  <c r="AF46" i="48"/>
  <c r="AF121" i="48"/>
  <c r="AF144" i="48"/>
  <c r="AF160" i="48"/>
  <c r="AF127" i="48"/>
  <c r="AF206" i="48"/>
  <c r="AF210" i="48"/>
  <c r="AF130" i="48"/>
  <c r="AF126" i="48"/>
  <c r="AF107" i="48"/>
  <c r="AF123" i="48"/>
  <c r="AF145" i="48"/>
  <c r="AF156" i="48"/>
  <c r="AF153" i="48"/>
  <c r="AF29" i="48"/>
  <c r="AF216" i="48"/>
  <c r="AF209" i="48"/>
  <c r="AF120" i="48"/>
  <c r="AF217" i="48"/>
  <c r="AF150" i="48"/>
  <c r="AF161" i="48"/>
  <c r="AF157" i="48"/>
  <c r="AF159" i="48"/>
  <c r="AF195" i="48"/>
  <c r="AF134" i="48"/>
  <c r="AE14" i="25"/>
  <c r="AE104" i="26" s="1"/>
  <c r="AE180" i="22"/>
  <c r="AE80" i="26" s="1"/>
  <c r="AE91" i="22"/>
  <c r="AE77" i="22"/>
  <c r="AE174" i="22"/>
  <c r="AE175" i="22" s="1"/>
  <c r="AE25" i="25"/>
  <c r="AE118" i="26" s="1"/>
  <c r="AF169" i="48"/>
  <c r="AF102" i="48"/>
  <c r="AF187" i="48"/>
  <c r="AF108" i="48"/>
  <c r="AF94" i="48"/>
  <c r="AE148" i="48"/>
  <c r="AF181" i="48"/>
  <c r="AE37" i="22"/>
  <c r="AE164" i="22"/>
  <c r="AE81" i="26" s="1"/>
  <c r="AF29" i="44"/>
  <c r="AF30" i="44"/>
  <c r="AE135" i="22"/>
  <c r="AE149" i="22"/>
  <c r="AE163" i="22"/>
  <c r="AE153" i="22"/>
  <c r="AE161" i="22"/>
  <c r="AE160" i="22"/>
  <c r="AE32" i="22"/>
  <c r="AE18" i="22"/>
  <c r="AE36" i="22"/>
  <c r="AE38" i="22" s="1"/>
  <c r="AE53" i="22"/>
  <c r="AE122" i="22"/>
  <c r="AE159" i="26"/>
  <c r="AF351" i="1"/>
  <c r="AF354" i="1" s="1"/>
  <c r="AA39" i="44"/>
  <c r="AF184" i="48"/>
  <c r="AF100" i="48"/>
  <c r="AE154" i="48"/>
  <c r="AE182" i="48" s="1"/>
  <c r="AE194" i="48"/>
  <c r="AF166" i="48"/>
  <c r="AF101" i="48"/>
  <c r="AE14" i="44"/>
  <c r="AE33" i="26" s="1"/>
  <c r="AE157" i="48"/>
  <c r="AE185" i="48" s="1"/>
  <c r="AF103" i="48"/>
  <c r="AF104" i="48"/>
  <c r="AD30" i="48"/>
  <c r="AB86" i="21"/>
  <c r="AB91" i="21"/>
  <c r="AD153" i="21"/>
  <c r="AF8" i="21"/>
  <c r="AF41" i="21"/>
  <c r="AF17" i="21"/>
  <c r="AF30" i="21"/>
  <c r="AE117" i="22"/>
  <c r="AE103" i="22"/>
  <c r="AE139" i="21"/>
  <c r="AE140" i="21"/>
  <c r="AE138" i="21"/>
  <c r="AE95" i="21"/>
  <c r="AE103" i="21" s="1"/>
  <c r="AE46" i="26" s="1"/>
  <c r="AE67" i="21"/>
  <c r="AE170" i="26"/>
  <c r="AF339" i="1"/>
  <c r="AF342" i="1" s="1"/>
  <c r="AF25" i="48"/>
  <c r="AF76" i="48" s="1"/>
  <c r="AF105" i="48"/>
  <c r="AF178" i="48"/>
  <c r="AF92" i="48"/>
  <c r="AF146" i="48" s="1"/>
  <c r="AF174" i="48" s="1"/>
  <c r="AE109" i="48"/>
  <c r="AE22" i="48" s="1"/>
  <c r="AF86" i="48"/>
  <c r="AF49" i="48"/>
  <c r="AF51" i="48" s="1"/>
  <c r="AF90" i="48"/>
  <c r="AE42" i="48"/>
  <c r="AF98" i="48"/>
  <c r="AF91" i="48"/>
  <c r="AE145" i="48"/>
  <c r="AE173" i="48" s="1"/>
  <c r="AE139" i="48"/>
  <c r="AE112" i="48" s="1"/>
  <c r="AF85" i="48"/>
  <c r="AC18" i="48"/>
  <c r="AE13" i="44"/>
  <c r="AE32" i="26" s="1"/>
  <c r="AG328" i="1"/>
  <c r="AG7" i="25"/>
  <c r="AC77" i="48"/>
  <c r="AC31" i="48"/>
  <c r="AC32" i="48" s="1"/>
  <c r="AF70" i="6"/>
  <c r="AF64" i="6"/>
  <c r="AF82" i="6"/>
  <c r="AF86" i="6"/>
  <c r="AF53" i="6"/>
  <c r="AF81" i="6"/>
  <c r="AF83" i="6"/>
  <c r="AF62" i="6"/>
  <c r="AF69" i="6"/>
  <c r="AF79" i="6"/>
  <c r="AF55" i="6"/>
  <c r="AF65" i="6"/>
  <c r="AF59" i="6"/>
  <c r="AF78" i="6"/>
  <c r="AF68" i="6"/>
  <c r="AF56" i="6"/>
  <c r="AF58" i="6"/>
  <c r="AF52" i="6"/>
  <c r="AF85" i="6"/>
  <c r="AF75" i="6"/>
  <c r="AF28" i="47"/>
  <c r="AF57" i="6"/>
  <c r="AF76" i="6"/>
  <c r="AF66" i="6"/>
  <c r="AF77" i="6"/>
  <c r="AF73" i="6"/>
  <c r="AF84" i="6"/>
  <c r="AF54" i="6"/>
  <c r="AF67" i="6"/>
  <c r="AF60" i="6"/>
  <c r="AF51" i="6"/>
  <c r="AF80" i="6"/>
  <c r="AF71" i="6"/>
  <c r="AF72" i="6"/>
  <c r="AF63" i="6"/>
  <c r="AF101" i="22"/>
  <c r="AF117" i="22" s="1"/>
  <c r="AF179" i="22"/>
  <c r="AF169" i="22"/>
  <c r="AF24" i="25" s="1"/>
  <c r="AF117" i="26" s="1"/>
  <c r="AF75" i="22"/>
  <c r="AF91" i="22" s="1"/>
  <c r="AF133" i="22"/>
  <c r="AF166" i="22"/>
  <c r="AF78" i="26" s="1"/>
  <c r="AF49" i="22"/>
  <c r="AF170" i="22"/>
  <c r="AF16" i="22"/>
  <c r="AF177" i="22"/>
  <c r="AF168" i="22"/>
  <c r="AF173" i="22" s="1"/>
  <c r="AF178" i="22"/>
  <c r="AF137" i="25"/>
  <c r="AF22" i="25"/>
  <c r="AF115" i="26" s="1"/>
  <c r="AF12" i="25"/>
  <c r="AF102" i="26" s="1"/>
  <c r="AF136" i="25"/>
  <c r="AF13" i="25"/>
  <c r="AF103" i="26" s="1"/>
  <c r="AF117" i="25"/>
  <c r="AF127" i="25"/>
  <c r="AF27" i="25"/>
  <c r="AF120" i="26" s="1"/>
  <c r="AF116" i="25"/>
  <c r="AF126" i="25"/>
  <c r="AF32" i="25"/>
  <c r="AF132" i="26" s="1"/>
  <c r="AF26" i="25"/>
  <c r="AF119" i="26" s="1"/>
  <c r="AE65" i="22"/>
  <c r="AE121" i="22"/>
  <c r="AE51" i="22"/>
  <c r="AE162" i="22"/>
  <c r="AE149" i="21"/>
  <c r="AE147" i="21"/>
  <c r="AE148" i="21"/>
  <c r="AE78" i="21"/>
  <c r="AE106" i="21"/>
  <c r="AE114" i="21" s="1"/>
  <c r="AE62" i="26" s="1"/>
  <c r="AE137" i="22"/>
  <c r="AC16" i="48"/>
  <c r="AE166" i="26"/>
  <c r="AF345" i="1"/>
  <c r="AF348" i="1" s="1"/>
  <c r="AD156" i="26"/>
  <c r="AF26" i="48"/>
  <c r="AF95" i="48"/>
  <c r="AF89" i="48"/>
  <c r="AF143" i="48" s="1"/>
  <c r="AF116" i="48" s="1"/>
  <c r="AF172" i="48"/>
  <c r="AF87" i="48"/>
  <c r="AF96" i="48"/>
  <c r="AF106" i="48"/>
  <c r="AF175" i="48"/>
  <c r="AE142" i="48"/>
  <c r="AE170" i="48" s="1"/>
  <c r="AF88" i="48"/>
  <c r="AF93" i="48"/>
  <c r="AF97" i="48"/>
  <c r="AE151" i="48"/>
  <c r="AE179" i="48" s="1"/>
  <c r="AF99" i="48"/>
  <c r="AE20" i="22"/>
  <c r="AA25" i="6"/>
  <c r="AA28" i="6" s="1"/>
  <c r="AA108" i="6"/>
  <c r="AA16" i="25"/>
  <c r="AA109" i="26" s="1"/>
  <c r="AD149" i="25"/>
  <c r="AD31" i="25" s="1"/>
  <c r="AD123" i="26" s="1"/>
  <c r="AD147" i="25"/>
  <c r="AD128" i="25"/>
  <c r="AD129" i="25"/>
  <c r="AD131" i="25" s="1"/>
  <c r="AD118" i="25"/>
  <c r="AD119" i="25"/>
  <c r="AD121" i="25" s="1"/>
  <c r="AD138" i="25"/>
  <c r="AD139" i="25"/>
  <c r="AD141" i="25" s="1"/>
  <c r="P173" i="26" l="1"/>
  <c r="Q95" i="6"/>
  <c r="Q167" i="26" s="1"/>
  <c r="P26" i="47"/>
  <c r="AA32" i="6"/>
  <c r="Q165" i="21"/>
  <c r="Q95" i="44"/>
  <c r="Q114" i="6" s="1"/>
  <c r="Q116" i="6" s="1"/>
  <c r="AE155" i="22"/>
  <c r="AF152" i="22" s="1"/>
  <c r="Q69" i="48"/>
  <c r="Q70" i="48" s="1"/>
  <c r="AA37" i="44"/>
  <c r="AA43" i="44"/>
  <c r="AA18" i="6"/>
  <c r="Q158" i="21"/>
  <c r="AA57" i="44"/>
  <c r="AA51" i="44"/>
  <c r="P18" i="47"/>
  <c r="P27" i="47" s="1"/>
  <c r="Q29" i="47" s="1"/>
  <c r="Q33" i="25" s="1"/>
  <c r="Q124" i="26" s="1"/>
  <c r="S33" i="38" s="1"/>
  <c r="R126" i="21"/>
  <c r="Q177" i="21"/>
  <c r="R135" i="21"/>
  <c r="S30" i="35"/>
  <c r="S21" i="38"/>
  <c r="T28" i="35"/>
  <c r="Q210" i="26"/>
  <c r="Q211" i="26" s="1"/>
  <c r="Q15" i="47" s="1"/>
  <c r="R19" i="38"/>
  <c r="R81" i="21"/>
  <c r="S56" i="21"/>
  <c r="Y15" i="6"/>
  <c r="Y21" i="6" s="1"/>
  <c r="X160" i="26"/>
  <c r="Y22" i="47"/>
  <c r="Y33" i="6"/>
  <c r="AA23" i="26"/>
  <c r="AB79" i="26"/>
  <c r="S129" i="21"/>
  <c r="S131" i="21"/>
  <c r="S130" i="21"/>
  <c r="M78" i="35"/>
  <c r="M36" i="35"/>
  <c r="M64" i="35"/>
  <c r="M55" i="35"/>
  <c r="M41" i="38"/>
  <c r="M71" i="35"/>
  <c r="M28" i="38"/>
  <c r="M65" i="35"/>
  <c r="M12" i="38"/>
  <c r="M42" i="35"/>
  <c r="M73" i="35"/>
  <c r="M47" i="35"/>
  <c r="M37" i="35"/>
  <c r="M43" i="38"/>
  <c r="M69" i="35"/>
  <c r="M29" i="38"/>
  <c r="M70" i="35"/>
  <c r="M56" i="35"/>
  <c r="M72" i="35"/>
  <c r="M26" i="38"/>
  <c r="M58" i="35"/>
  <c r="M50" i="35"/>
  <c r="M52" i="35"/>
  <c r="M11" i="38"/>
  <c r="M66" i="35"/>
  <c r="M49" i="35"/>
  <c r="M39" i="35"/>
  <c r="M34" i="35"/>
  <c r="M74" i="35"/>
  <c r="M45" i="38"/>
  <c r="M53" i="35"/>
  <c r="M35" i="35"/>
  <c r="M24" i="38"/>
  <c r="M54" i="35"/>
  <c r="M63" i="35"/>
  <c r="M51" i="35"/>
  <c r="M48" i="35"/>
  <c r="M67" i="35"/>
  <c r="M68" i="35"/>
  <c r="M86" i="35"/>
  <c r="M38" i="35"/>
  <c r="M33" i="35"/>
  <c r="M85" i="35"/>
  <c r="M41" i="35"/>
  <c r="M57" i="35"/>
  <c r="M44" i="38"/>
  <c r="M40" i="35"/>
  <c r="N78" i="35"/>
  <c r="N24" i="38"/>
  <c r="N29" i="38"/>
  <c r="N12" i="38"/>
  <c r="N26" i="38"/>
  <c r="N28" i="38"/>
  <c r="N41" i="38"/>
  <c r="N11" i="38"/>
  <c r="O42" i="35"/>
  <c r="O48" i="35"/>
  <c r="O28" i="38"/>
  <c r="O38" i="35"/>
  <c r="O53" i="35"/>
  <c r="O47" i="35"/>
  <c r="O41" i="38"/>
  <c r="N65" i="35"/>
  <c r="N40" i="35"/>
  <c r="M44" i="35"/>
  <c r="M31" i="35"/>
  <c r="O50" i="35"/>
  <c r="O41" i="35"/>
  <c r="O54" i="35"/>
  <c r="O11" i="38"/>
  <c r="N61" i="35"/>
  <c r="O49" i="35"/>
  <c r="O74" i="35"/>
  <c r="Q81" i="35"/>
  <c r="U56" i="35"/>
  <c r="J54" i="35"/>
  <c r="Q26" i="38"/>
  <c r="J32" i="38"/>
  <c r="Q70" i="35"/>
  <c r="J10" i="38"/>
  <c r="T42" i="35"/>
  <c r="R67" i="35"/>
  <c r="J18" i="35"/>
  <c r="K44" i="38"/>
  <c r="J46" i="35"/>
  <c r="J79" i="35"/>
  <c r="S12" i="38"/>
  <c r="J21" i="38"/>
  <c r="T70" i="35"/>
  <c r="Q29" i="38"/>
  <c r="R60" i="35"/>
  <c r="K46" i="38"/>
  <c r="Q85" i="35"/>
  <c r="R11" i="38"/>
  <c r="K73" i="35"/>
  <c r="J17" i="35"/>
  <c r="J78" i="35"/>
  <c r="J19" i="38"/>
  <c r="T34" i="35"/>
  <c r="S46" i="35"/>
  <c r="S63" i="35"/>
  <c r="R26" i="38"/>
  <c r="J70" i="35"/>
  <c r="U32" i="35"/>
  <c r="R33" i="35"/>
  <c r="S64" i="35"/>
  <c r="K69" i="35"/>
  <c r="T11" i="38"/>
  <c r="T52" i="35"/>
  <c r="U13" i="38"/>
  <c r="R61" i="35"/>
  <c r="T53" i="35"/>
  <c r="S65" i="35"/>
  <c r="S32" i="38"/>
  <c r="K20" i="35"/>
  <c r="K10" i="38"/>
  <c r="Q71" i="35"/>
  <c r="J13" i="35"/>
  <c r="R46" i="35"/>
  <c r="J62" i="35"/>
  <c r="S24" i="38"/>
  <c r="K78" i="35"/>
  <c r="R41" i="38"/>
  <c r="S60" i="35"/>
  <c r="T44" i="38"/>
  <c r="Q40" i="35"/>
  <c r="K21" i="38"/>
  <c r="K43" i="38"/>
  <c r="K36" i="35"/>
  <c r="K14" i="38"/>
  <c r="M51" i="38"/>
  <c r="U63" i="35"/>
  <c r="K71" i="35"/>
  <c r="S58" i="35"/>
  <c r="S51" i="35"/>
  <c r="J22" i="38"/>
  <c r="J68" i="35"/>
  <c r="T74" i="35"/>
  <c r="S28" i="38"/>
  <c r="S32" i="35"/>
  <c r="Q65" i="35"/>
  <c r="Q57" i="35"/>
  <c r="K25" i="38"/>
  <c r="K51" i="38"/>
  <c r="R37" i="35"/>
  <c r="S55" i="35"/>
  <c r="J30" i="38"/>
  <c r="J57" i="35"/>
  <c r="S35" i="35"/>
  <c r="T12" i="38"/>
  <c r="J55" i="35"/>
  <c r="K50" i="35"/>
  <c r="U47" i="35"/>
  <c r="K28" i="38"/>
  <c r="S37" i="35"/>
  <c r="Q62" i="35"/>
  <c r="R74" i="35"/>
  <c r="K27" i="38"/>
  <c r="S34" i="35"/>
  <c r="K14" i="35"/>
  <c r="U58" i="35"/>
  <c r="Q49" i="35"/>
  <c r="M61" i="35"/>
  <c r="R53" i="35"/>
  <c r="U32" i="38"/>
  <c r="S51" i="38"/>
  <c r="J42" i="35"/>
  <c r="U80" i="35"/>
  <c r="S71" i="35"/>
  <c r="K54" i="35"/>
  <c r="U34" i="35"/>
  <c r="K45" i="35"/>
  <c r="R63" i="35"/>
  <c r="K34" i="35"/>
  <c r="J72" i="35"/>
  <c r="Q61" i="35"/>
  <c r="K32" i="38"/>
  <c r="U67" i="35"/>
  <c r="K13" i="38"/>
  <c r="S50" i="35"/>
  <c r="J69" i="35"/>
  <c r="J20" i="38"/>
  <c r="Q50" i="35"/>
  <c r="U62" i="35"/>
  <c r="S61" i="35"/>
  <c r="U35" i="35"/>
  <c r="S86" i="35"/>
  <c r="J84" i="35"/>
  <c r="J85" i="35"/>
  <c r="T33" i="35"/>
  <c r="K55" i="35"/>
  <c r="Q68" i="35"/>
  <c r="T41" i="35"/>
  <c r="N45" i="35"/>
  <c r="O67" i="35"/>
  <c r="O72" i="35"/>
  <c r="O71" i="35"/>
  <c r="N13" i="38"/>
  <c r="O45" i="38"/>
  <c r="O63" i="35"/>
  <c r="O52" i="35"/>
  <c r="O24" i="38"/>
  <c r="N44" i="38"/>
  <c r="N55" i="35"/>
  <c r="N47" i="35"/>
  <c r="N72" i="35"/>
  <c r="O39" i="35"/>
  <c r="O86" i="35"/>
  <c r="O69" i="35"/>
  <c r="O33" i="35"/>
  <c r="O85" i="35"/>
  <c r="O78" i="35"/>
  <c r="T68" i="35"/>
  <c r="R27" i="38"/>
  <c r="K11" i="38"/>
  <c r="J14" i="38"/>
  <c r="Q45" i="38"/>
  <c r="J18" i="38"/>
  <c r="S78" i="35"/>
  <c r="J22" i="35"/>
  <c r="Q44" i="38"/>
  <c r="K64" i="35"/>
  <c r="U51" i="38"/>
  <c r="S45" i="38"/>
  <c r="T32" i="38"/>
  <c r="T24" i="38"/>
  <c r="R70" i="35"/>
  <c r="J73" i="35"/>
  <c r="R71" i="35"/>
  <c r="R50" i="35"/>
  <c r="T46" i="35"/>
  <c r="J43" i="38"/>
  <c r="T45" i="35"/>
  <c r="U33" i="35"/>
  <c r="U24" i="38"/>
  <c r="K19" i="38"/>
  <c r="U55" i="35"/>
  <c r="K29" i="35"/>
  <c r="R85" i="35"/>
  <c r="J61" i="35"/>
  <c r="J53" i="35"/>
  <c r="U46" i="35"/>
  <c r="J46" i="38"/>
  <c r="J20" i="35"/>
  <c r="Q28" i="38"/>
  <c r="J33" i="35"/>
  <c r="R24" i="38"/>
  <c r="Q32" i="38"/>
  <c r="T85" i="35"/>
  <c r="R56" i="35"/>
  <c r="R12" i="38"/>
  <c r="Q11" i="38"/>
  <c r="Q64" i="35"/>
  <c r="U68" i="35"/>
  <c r="J60" i="35"/>
  <c r="K30" i="38"/>
  <c r="U54" i="35"/>
  <c r="S48" i="35"/>
  <c r="K66" i="35"/>
  <c r="U28" i="38"/>
  <c r="Q69" i="35"/>
  <c r="K70" i="35"/>
  <c r="J37" i="35"/>
  <c r="Q52" i="35"/>
  <c r="U61" i="35"/>
  <c r="T25" i="38"/>
  <c r="S41" i="38"/>
  <c r="T37" i="35"/>
  <c r="Q33" i="35"/>
  <c r="U26" i="38"/>
  <c r="K72" i="35"/>
  <c r="U45" i="35"/>
  <c r="T38" i="35"/>
  <c r="J47" i="35"/>
  <c r="K11" i="35"/>
  <c r="J67" i="35"/>
  <c r="J30" i="35"/>
  <c r="K28" i="35"/>
  <c r="S69" i="35"/>
  <c r="J19" i="35"/>
  <c r="J33" i="38"/>
  <c r="J71" i="35"/>
  <c r="J86" i="35"/>
  <c r="U41" i="38"/>
  <c r="K84" i="35"/>
  <c r="K88" i="35"/>
  <c r="T49" i="35"/>
  <c r="R72" i="35"/>
  <c r="K33" i="38"/>
  <c r="T27" i="38"/>
  <c r="T36" i="35"/>
  <c r="T45" i="38"/>
  <c r="U11" i="38"/>
  <c r="U12" i="38"/>
  <c r="Q56" i="35"/>
  <c r="K41" i="35"/>
  <c r="T66" i="35"/>
  <c r="Q74" i="35"/>
  <c r="K45" i="38"/>
  <c r="K37" i="35"/>
  <c r="K19" i="35"/>
  <c r="R32" i="38"/>
  <c r="J32" i="35"/>
  <c r="Q25" i="38"/>
  <c r="U69" i="35"/>
  <c r="M13" i="38"/>
  <c r="R78" i="35"/>
  <c r="K40" i="35"/>
  <c r="J36" i="35"/>
  <c r="J63" i="35"/>
  <c r="Q13" i="38"/>
  <c r="S36" i="35"/>
  <c r="Q63" i="35"/>
  <c r="Q67" i="35"/>
  <c r="S81" i="35"/>
  <c r="K32" i="35"/>
  <c r="J29" i="35"/>
  <c r="S26" i="38"/>
  <c r="K81" i="35"/>
  <c r="J39" i="38"/>
  <c r="T51" i="38"/>
  <c r="S72" i="35"/>
  <c r="J44" i="35"/>
  <c r="Q46" i="35"/>
  <c r="T51" i="35"/>
  <c r="U39" i="35"/>
  <c r="T80" i="35"/>
  <c r="R47" i="35"/>
  <c r="R31" i="35"/>
  <c r="R81" i="35"/>
  <c r="R52" i="35"/>
  <c r="T81" i="35"/>
  <c r="R48" i="35"/>
  <c r="K18" i="38"/>
  <c r="K23" i="38"/>
  <c r="J51" i="38"/>
  <c r="J64" i="35"/>
  <c r="R25" i="38"/>
  <c r="N33" i="35"/>
  <c r="N71" i="35"/>
  <c r="N50" i="35"/>
  <c r="O70" i="35"/>
  <c r="O40" i="35"/>
  <c r="O68" i="35"/>
  <c r="O36" i="35"/>
  <c r="O51" i="35"/>
  <c r="N37" i="35"/>
  <c r="O56" i="35"/>
  <c r="O64" i="35"/>
  <c r="O29" i="38"/>
  <c r="O37" i="35"/>
  <c r="O73" i="35"/>
  <c r="O12" i="38"/>
  <c r="Q41" i="35"/>
  <c r="Q80" i="35"/>
  <c r="S42" i="35"/>
  <c r="S44" i="38"/>
  <c r="K35" i="35"/>
  <c r="S67" i="35"/>
  <c r="R44" i="35"/>
  <c r="J80" i="35"/>
  <c r="K31" i="35"/>
  <c r="U31" i="35"/>
  <c r="U65" i="35"/>
  <c r="Q24" i="38"/>
  <c r="K41" i="38"/>
  <c r="S62" i="35"/>
  <c r="R38" i="35"/>
  <c r="K42" i="35"/>
  <c r="Q47" i="35"/>
  <c r="T40" i="35"/>
  <c r="T71" i="35"/>
  <c r="R39" i="35"/>
  <c r="T63" i="35"/>
  <c r="K44" i="35"/>
  <c r="T28" i="38"/>
  <c r="S38" i="35"/>
  <c r="K30" i="35"/>
  <c r="U29" i="38"/>
  <c r="J27" i="38"/>
  <c r="R86" i="35"/>
  <c r="S47" i="35"/>
  <c r="J45" i="38"/>
  <c r="S66" i="35"/>
  <c r="K13" i="35"/>
  <c r="U44" i="35"/>
  <c r="Q39" i="35"/>
  <c r="M45" i="35"/>
  <c r="T55" i="35"/>
  <c r="T64" i="35"/>
  <c r="Q48" i="35"/>
  <c r="K68" i="35"/>
  <c r="Q55" i="35"/>
  <c r="U45" i="38"/>
  <c r="U78" i="35"/>
  <c r="J14" i="35"/>
  <c r="U66" i="35"/>
  <c r="U51" i="35"/>
  <c r="S44" i="35"/>
  <c r="Q86" i="35"/>
  <c r="R34" i="35"/>
  <c r="Q73" i="35"/>
  <c r="R58" i="35"/>
  <c r="Q12" i="38"/>
  <c r="K17" i="35"/>
  <c r="K18" i="35"/>
  <c r="J13" i="38"/>
  <c r="K20" i="38"/>
  <c r="U64" i="35"/>
  <c r="J39" i="35"/>
  <c r="U85" i="35"/>
  <c r="T65" i="35"/>
  <c r="K79" i="35"/>
  <c r="S74" i="35"/>
  <c r="R66" i="35"/>
  <c r="T13" i="38"/>
  <c r="U37" i="35"/>
  <c r="S85" i="35"/>
  <c r="Q41" i="38"/>
  <c r="M27" i="38"/>
  <c r="K62" i="35"/>
  <c r="R35" i="35"/>
  <c r="R65" i="35"/>
  <c r="K38" i="35"/>
  <c r="S45" i="35"/>
  <c r="J88" i="35"/>
  <c r="R40" i="35"/>
  <c r="S43" i="38"/>
  <c r="U40" i="35"/>
  <c r="T44" i="35"/>
  <c r="U52" i="35"/>
  <c r="J41" i="35"/>
  <c r="K12" i="35"/>
  <c r="R44" i="38"/>
  <c r="S56" i="35"/>
  <c r="J23" i="38"/>
  <c r="T67" i="35"/>
  <c r="K67" i="35"/>
  <c r="Q60" i="35"/>
  <c r="R42" i="35"/>
  <c r="S40" i="35"/>
  <c r="U71" i="35"/>
  <c r="J24" i="38"/>
  <c r="J29" i="38"/>
  <c r="T61" i="35"/>
  <c r="K58" i="35"/>
  <c r="J25" i="38"/>
  <c r="J56" i="35"/>
  <c r="K22" i="35"/>
  <c r="R45" i="38"/>
  <c r="R54" i="35"/>
  <c r="T29" i="38"/>
  <c r="K63" i="35"/>
  <c r="S39" i="35"/>
  <c r="Q31" i="35"/>
  <c r="J35" i="35"/>
  <c r="J31" i="35"/>
  <c r="Q54" i="35"/>
  <c r="J81" i="35"/>
  <c r="J40" i="35"/>
  <c r="S31" i="35"/>
  <c r="J83" i="35"/>
  <c r="Q51" i="35"/>
  <c r="R51" i="38"/>
  <c r="Q58" i="35"/>
  <c r="J49" i="35"/>
  <c r="R41" i="35"/>
  <c r="T47" i="35"/>
  <c r="R13" i="38"/>
  <c r="K65" i="35"/>
  <c r="J51" i="35"/>
  <c r="K21" i="35"/>
  <c r="K33" i="35"/>
  <c r="Q45" i="35"/>
  <c r="S13" i="38"/>
  <c r="Q36" i="35"/>
  <c r="T48" i="35"/>
  <c r="J58" i="35"/>
  <c r="U53" i="35"/>
  <c r="J74" i="35"/>
  <c r="U72" i="35"/>
  <c r="S25" i="38"/>
  <c r="J26" i="38"/>
  <c r="N35" i="35"/>
  <c r="N70" i="35"/>
  <c r="N43" i="38"/>
  <c r="N39" i="35"/>
  <c r="O58" i="35"/>
  <c r="O43" i="38"/>
  <c r="O26" i="38"/>
  <c r="O66" i="35"/>
  <c r="O55" i="35"/>
  <c r="N51" i="38"/>
  <c r="N42" i="35"/>
  <c r="O34" i="35"/>
  <c r="O35" i="35"/>
  <c r="O65" i="35"/>
  <c r="N32" i="35"/>
  <c r="O57" i="35"/>
  <c r="O44" i="38"/>
  <c r="O51" i="38"/>
  <c r="N27" i="38"/>
  <c r="J50" i="35"/>
  <c r="K12" i="38"/>
  <c r="Q34" i="35"/>
  <c r="K83" i="35"/>
  <c r="S73" i="35"/>
  <c r="U48" i="35"/>
  <c r="U38" i="35"/>
  <c r="Q38" i="35"/>
  <c r="T31" i="35"/>
  <c r="Q43" i="38"/>
  <c r="J28" i="35"/>
  <c r="R55" i="35"/>
  <c r="R51" i="35"/>
  <c r="U42" i="35"/>
  <c r="Q72" i="35"/>
  <c r="T54" i="35"/>
  <c r="K49" i="35"/>
  <c r="T62" i="35"/>
  <c r="Q66" i="35"/>
  <c r="U60" i="35"/>
  <c r="J41" i="38"/>
  <c r="S68" i="35"/>
  <c r="U27" i="38"/>
  <c r="S57" i="35"/>
  <c r="K80" i="35"/>
  <c r="K51" i="35"/>
  <c r="T56" i="35"/>
  <c r="Q27" i="38"/>
  <c r="R80" i="35"/>
  <c r="K42" i="38"/>
  <c r="U41" i="35"/>
  <c r="J38" i="35"/>
  <c r="K31" i="38"/>
  <c r="S70" i="35"/>
  <c r="S52" i="35"/>
  <c r="T35" i="35"/>
  <c r="S80" i="35"/>
  <c r="T50" i="35"/>
  <c r="K56" i="35"/>
  <c r="Q78" i="35"/>
  <c r="T78" i="35"/>
  <c r="R57" i="35"/>
  <c r="J31" i="38"/>
  <c r="R68" i="35"/>
  <c r="K24" i="38"/>
  <c r="J45" i="35"/>
  <c r="R64" i="35"/>
  <c r="T41" i="38"/>
  <c r="T43" i="38"/>
  <c r="K39" i="38"/>
  <c r="S54" i="35"/>
  <c r="S49" i="35"/>
  <c r="K86" i="35"/>
  <c r="U73" i="35"/>
  <c r="T32" i="35"/>
  <c r="R45" i="35"/>
  <c r="J65" i="35"/>
  <c r="U36" i="35"/>
  <c r="K85" i="35"/>
  <c r="T39" i="35"/>
  <c r="S33" i="35"/>
  <c r="K53" i="35"/>
  <c r="K61" i="35"/>
  <c r="T60" i="35"/>
  <c r="U43" i="38"/>
  <c r="T69" i="35"/>
  <c r="T72" i="35"/>
  <c r="U57" i="35"/>
  <c r="T58" i="35"/>
  <c r="K74" i="35"/>
  <c r="K34" i="38"/>
  <c r="Q32" i="35"/>
  <c r="U81" i="35"/>
  <c r="R29" i="38"/>
  <c r="Q51" i="38"/>
  <c r="J66" i="35"/>
  <c r="T57" i="35"/>
  <c r="J42" i="38"/>
  <c r="J44" i="38"/>
  <c r="U44" i="38"/>
  <c r="K47" i="35"/>
  <c r="R32" i="35"/>
  <c r="U50" i="35"/>
  <c r="R36" i="35"/>
  <c r="K57" i="35"/>
  <c r="K39" i="35"/>
  <c r="J12" i="35"/>
  <c r="S29" i="38"/>
  <c r="R73" i="35"/>
  <c r="S41" i="35"/>
  <c r="U86" i="35"/>
  <c r="Q42" i="35"/>
  <c r="J34" i="38"/>
  <c r="J48" i="35"/>
  <c r="J34" i="35"/>
  <c r="L23" i="38"/>
  <c r="U49" i="35"/>
  <c r="U70" i="35"/>
  <c r="S27" i="38"/>
  <c r="Q35" i="35"/>
  <c r="K52" i="35"/>
  <c r="T26" i="38"/>
  <c r="R49" i="35"/>
  <c r="S53" i="35"/>
  <c r="J12" i="38"/>
  <c r="Q44" i="35"/>
  <c r="J21" i="35"/>
  <c r="T86" i="35"/>
  <c r="J28" i="38"/>
  <c r="Q37" i="35"/>
  <c r="S11" i="38"/>
  <c r="R43" i="38"/>
  <c r="K60" i="35"/>
  <c r="J52" i="35"/>
  <c r="J11" i="35"/>
  <c r="R28" i="38"/>
  <c r="T73" i="35"/>
  <c r="K46" i="35"/>
  <c r="K29" i="38"/>
  <c r="K22" i="38"/>
  <c r="R62" i="35"/>
  <c r="J11" i="38"/>
  <c r="U25" i="38"/>
  <c r="K48" i="35"/>
  <c r="R69" i="35"/>
  <c r="U74" i="35"/>
  <c r="Q53" i="35"/>
  <c r="K26" i="38"/>
  <c r="N80" i="35"/>
  <c r="N53" i="35"/>
  <c r="M25" i="38"/>
  <c r="N69" i="35"/>
  <c r="N54" i="35"/>
  <c r="N85" i="35"/>
  <c r="O31" i="35"/>
  <c r="O80" i="35"/>
  <c r="O27" i="38"/>
  <c r="O13" i="38"/>
  <c r="M62" i="35"/>
  <c r="O61" i="35"/>
  <c r="N64" i="35"/>
  <c r="N41" i="35"/>
  <c r="N63" i="35"/>
  <c r="N52" i="35"/>
  <c r="N49" i="35"/>
  <c r="N74" i="35"/>
  <c r="L33" i="38"/>
  <c r="L48" i="35"/>
  <c r="L73" i="35"/>
  <c r="L37" i="35"/>
  <c r="L35" i="35"/>
  <c r="L69" i="35"/>
  <c r="L44" i="38"/>
  <c r="L40" i="35"/>
  <c r="L51" i="35"/>
  <c r="L42" i="35"/>
  <c r="L71" i="35"/>
  <c r="L58" i="35"/>
  <c r="L64" i="35"/>
  <c r="N25" i="38"/>
  <c r="N48" i="35"/>
  <c r="N67" i="35"/>
  <c r="N34" i="35"/>
  <c r="N51" i="35"/>
  <c r="N38" i="35"/>
  <c r="N73" i="35"/>
  <c r="N45" i="38"/>
  <c r="L54" i="35"/>
  <c r="L50" i="35"/>
  <c r="L86" i="35"/>
  <c r="L41" i="35"/>
  <c r="L85" i="35"/>
  <c r="L36" i="35"/>
  <c r="L38" i="35"/>
  <c r="L53" i="35"/>
  <c r="L72" i="35"/>
  <c r="L33" i="35"/>
  <c r="N44" i="35"/>
  <c r="O45" i="35"/>
  <c r="N57" i="35"/>
  <c r="N36" i="35"/>
  <c r="N86" i="35"/>
  <c r="N68" i="35"/>
  <c r="N66" i="35"/>
  <c r="L67" i="35"/>
  <c r="L51" i="38"/>
  <c r="L47" i="35"/>
  <c r="L31" i="38"/>
  <c r="L84" i="35"/>
  <c r="L74" i="35"/>
  <c r="L63" i="35"/>
  <c r="L34" i="35"/>
  <c r="L57" i="35"/>
  <c r="L43" i="38"/>
  <c r="N60" i="35"/>
  <c r="O32" i="35"/>
  <c r="N56" i="35"/>
  <c r="N58" i="35"/>
  <c r="M32" i="35"/>
  <c r="M60" i="35"/>
  <c r="L39" i="35"/>
  <c r="L55" i="35"/>
  <c r="L68" i="35"/>
  <c r="L14" i="38"/>
  <c r="L49" i="35"/>
  <c r="L56" i="35"/>
  <c r="L45" i="38"/>
  <c r="L66" i="35"/>
  <c r="L52" i="35"/>
  <c r="L70" i="35"/>
  <c r="L65" i="35"/>
  <c r="N31" i="35"/>
  <c r="O60" i="35"/>
  <c r="O25" i="38"/>
  <c r="O44" i="35"/>
  <c r="N81" i="35"/>
  <c r="L12" i="38"/>
  <c r="L27" i="38"/>
  <c r="L26" i="38"/>
  <c r="L41" i="38"/>
  <c r="O81" i="35"/>
  <c r="O32" i="38"/>
  <c r="L28" i="38"/>
  <c r="N32" i="38"/>
  <c r="L24" i="38"/>
  <c r="L32" i="38"/>
  <c r="L81" i="35"/>
  <c r="M32" i="38"/>
  <c r="N46" i="35"/>
  <c r="N62" i="35"/>
  <c r="L11" i="38"/>
  <c r="L32" i="35"/>
  <c r="M46" i="35"/>
  <c r="L29" i="38"/>
  <c r="L78" i="35"/>
  <c r="M81" i="35"/>
  <c r="L30" i="38"/>
  <c r="L83" i="35"/>
  <c r="L60" i="35"/>
  <c r="O62" i="35"/>
  <c r="O46" i="35"/>
  <c r="L44" i="35"/>
  <c r="L45" i="35"/>
  <c r="L13" i="38"/>
  <c r="L46" i="35"/>
  <c r="L25" i="38"/>
  <c r="L62" i="35"/>
  <c r="L61" i="35"/>
  <c r="L31" i="35"/>
  <c r="L80" i="35"/>
  <c r="M11" i="35"/>
  <c r="L11" i="35"/>
  <c r="N12" i="35"/>
  <c r="O12" i="35"/>
  <c r="N14" i="35"/>
  <c r="L14" i="35"/>
  <c r="L12" i="35"/>
  <c r="L17" i="35"/>
  <c r="M12" i="35"/>
  <c r="L19" i="35"/>
  <c r="N11" i="35"/>
  <c r="M14" i="35"/>
  <c r="Q14" i="35"/>
  <c r="L29" i="35"/>
  <c r="P11" i="35"/>
  <c r="L28" i="35"/>
  <c r="L18" i="35"/>
  <c r="P14" i="35"/>
  <c r="M23" i="38"/>
  <c r="O14" i="35"/>
  <c r="L21" i="38"/>
  <c r="L30" i="35"/>
  <c r="L20" i="35"/>
  <c r="P12" i="35"/>
  <c r="L22" i="38"/>
  <c r="O11" i="35"/>
  <c r="Q12" i="35"/>
  <c r="R11" i="35"/>
  <c r="L10" i="38"/>
  <c r="S12" i="35"/>
  <c r="T14" i="35"/>
  <c r="R12" i="35"/>
  <c r="Q11" i="35"/>
  <c r="S14" i="35"/>
  <c r="R14" i="35"/>
  <c r="T12" i="35"/>
  <c r="T11" i="35"/>
  <c r="L22" i="35"/>
  <c r="S11" i="35"/>
  <c r="U12" i="35"/>
  <c r="U11" i="35"/>
  <c r="L13" i="35"/>
  <c r="L79" i="35"/>
  <c r="L20" i="38"/>
  <c r="L18" i="38"/>
  <c r="U14" i="35"/>
  <c r="M79" i="35"/>
  <c r="Q13" i="35"/>
  <c r="M19" i="35"/>
  <c r="N18" i="38"/>
  <c r="M21" i="35"/>
  <c r="L21" i="35"/>
  <c r="M10" i="38"/>
  <c r="L19" i="38"/>
  <c r="M22" i="35"/>
  <c r="N29" i="35"/>
  <c r="O21" i="35"/>
  <c r="N79" i="35"/>
  <c r="N13" i="35"/>
  <c r="M18" i="38"/>
  <c r="Q18" i="38"/>
  <c r="Q79" i="35"/>
  <c r="M13" i="35"/>
  <c r="M29" i="35"/>
  <c r="M17" i="35"/>
  <c r="P18" i="38"/>
  <c r="P13" i="35"/>
  <c r="P79" i="35"/>
  <c r="M30" i="35"/>
  <c r="O79" i="35"/>
  <c r="O18" i="38"/>
  <c r="M20" i="35"/>
  <c r="M33" i="38"/>
  <c r="N20" i="38"/>
  <c r="P21" i="35"/>
  <c r="N19" i="35"/>
  <c r="O20" i="35"/>
  <c r="N17" i="35"/>
  <c r="N22" i="38"/>
  <c r="O29" i="35"/>
  <c r="M28" i="35"/>
  <c r="M21" i="38"/>
  <c r="O10" i="38"/>
  <c r="N23" i="38"/>
  <c r="R10" i="38"/>
  <c r="M22" i="38"/>
  <c r="P22" i="35"/>
  <c r="N21" i="35"/>
  <c r="M20" i="38"/>
  <c r="N20" i="35"/>
  <c r="M19" i="38"/>
  <c r="N10" i="38"/>
  <c r="O23" i="38"/>
  <c r="R18" i="38"/>
  <c r="P20" i="35"/>
  <c r="P23" i="38"/>
  <c r="N30" i="35"/>
  <c r="Q21" i="35"/>
  <c r="O19" i="35"/>
  <c r="Q10" i="38"/>
  <c r="O30" i="35"/>
  <c r="R79" i="35"/>
  <c r="N28" i="35"/>
  <c r="P19" i="35"/>
  <c r="Q23" i="38"/>
  <c r="P30" i="35"/>
  <c r="M18" i="35"/>
  <c r="P29" i="35"/>
  <c r="N19" i="38"/>
  <c r="O22" i="38"/>
  <c r="R22" i="35"/>
  <c r="Q22" i="35"/>
  <c r="Q20" i="35"/>
  <c r="O17" i="35"/>
  <c r="N21" i="38"/>
  <c r="P10" i="38"/>
  <c r="O22" i="35"/>
  <c r="R21" i="35"/>
  <c r="R20" i="35"/>
  <c r="N22" i="35"/>
  <c r="S21" i="35"/>
  <c r="R13" i="35"/>
  <c r="O13" i="35"/>
  <c r="T29" i="35"/>
  <c r="S28" i="35"/>
  <c r="Q28" i="35"/>
  <c r="U79" i="35"/>
  <c r="T20" i="35"/>
  <c r="P20" i="38"/>
  <c r="U18" i="38"/>
  <c r="S17" i="35"/>
  <c r="S13" i="35"/>
  <c r="P17" i="35"/>
  <c r="S23" i="38"/>
  <c r="U21" i="35"/>
  <c r="S10" i="38"/>
  <c r="S22" i="35"/>
  <c r="S19" i="35"/>
  <c r="Q19" i="38"/>
  <c r="R22" i="38"/>
  <c r="U20" i="35"/>
  <c r="P28" i="35"/>
  <c r="R19" i="35"/>
  <c r="Q22" i="38"/>
  <c r="T18" i="38"/>
  <c r="P22" i="38"/>
  <c r="R28" i="35"/>
  <c r="S79" i="35"/>
  <c r="T22" i="35"/>
  <c r="S29" i="35"/>
  <c r="P18" i="35"/>
  <c r="R29" i="35"/>
  <c r="Q21" i="38"/>
  <c r="P19" i="38"/>
  <c r="T19" i="35"/>
  <c r="T13" i="35"/>
  <c r="R17" i="35"/>
  <c r="O20" i="38"/>
  <c r="Q18" i="35"/>
  <c r="T79" i="35"/>
  <c r="S20" i="35"/>
  <c r="O19" i="38"/>
  <c r="U13" i="35"/>
  <c r="Q19" i="35"/>
  <c r="O21" i="38"/>
  <c r="T21" i="35"/>
  <c r="N18" i="35"/>
  <c r="P33" i="38"/>
  <c r="R18" i="35"/>
  <c r="T23" i="38"/>
  <c r="Q20" i="38"/>
  <c r="T17" i="35"/>
  <c r="R23" i="38"/>
  <c r="Q17" i="35"/>
  <c r="N33" i="38"/>
  <c r="O18" i="35"/>
  <c r="P21" i="38"/>
  <c r="O33" i="38"/>
  <c r="U10" i="38"/>
  <c r="U22" i="35"/>
  <c r="T10" i="38"/>
  <c r="O28" i="35"/>
  <c r="Q29" i="35"/>
  <c r="S18" i="38"/>
  <c r="Q30" i="35"/>
  <c r="Q33" i="38"/>
  <c r="R21" i="38"/>
  <c r="R33" i="38"/>
  <c r="R30" i="35"/>
  <c r="R172" i="26"/>
  <c r="S120" i="6"/>
  <c r="U17" i="35"/>
  <c r="S18" i="35"/>
  <c r="Q24" i="26"/>
  <c r="Q25" i="26" s="1"/>
  <c r="S87" i="21"/>
  <c r="S51" i="21"/>
  <c r="R20" i="38"/>
  <c r="U19" i="35"/>
  <c r="AD163" i="21"/>
  <c r="Y169" i="26"/>
  <c r="Z106" i="6"/>
  <c r="Z109" i="6" s="1"/>
  <c r="U23" i="38"/>
  <c r="S22" i="38"/>
  <c r="AB26" i="6"/>
  <c r="Q207" i="26"/>
  <c r="W161" i="26"/>
  <c r="X31" i="6"/>
  <c r="X34" i="6" s="1"/>
  <c r="S122" i="21"/>
  <c r="S43" i="21"/>
  <c r="S44" i="21" s="1"/>
  <c r="S120" i="21"/>
  <c r="S121" i="21"/>
  <c r="S92" i="21"/>
  <c r="S30" i="26" s="1"/>
  <c r="U29" i="35" s="1"/>
  <c r="AA38" i="6"/>
  <c r="AD60" i="44"/>
  <c r="AD73" i="44" s="1"/>
  <c r="AE127" i="48"/>
  <c r="AE130" i="48"/>
  <c r="AF54" i="21"/>
  <c r="AF90" i="21" s="1"/>
  <c r="AB103" i="6"/>
  <c r="AB108" i="6" s="1"/>
  <c r="AB40" i="6"/>
  <c r="AB55" i="48"/>
  <c r="AE123" i="22"/>
  <c r="AE154" i="26" s="1"/>
  <c r="AF49" i="6"/>
  <c r="AF50" i="6"/>
  <c r="AC33" i="48"/>
  <c r="AC54" i="48" s="1"/>
  <c r="AC16" i="6" s="1"/>
  <c r="Z33" i="6"/>
  <c r="Z22" i="47"/>
  <c r="AE171" i="26"/>
  <c r="AF172" i="22"/>
  <c r="AF179" i="48"/>
  <c r="AE207" i="48"/>
  <c r="AF149" i="48"/>
  <c r="AF177" i="48" s="1"/>
  <c r="AF149" i="22"/>
  <c r="AF163" i="22"/>
  <c r="AF153" i="22"/>
  <c r="AD78" i="48"/>
  <c r="AD102" i="6" s="1"/>
  <c r="AC12" i="26"/>
  <c r="AC66" i="48"/>
  <c r="AG10" i="25"/>
  <c r="AG103" i="25"/>
  <c r="AG151" i="26"/>
  <c r="AG10" i="26"/>
  <c r="AG99" i="26"/>
  <c r="AF109" i="48"/>
  <c r="AF22" i="48" s="1"/>
  <c r="AF152" i="48"/>
  <c r="AF180" i="48" s="1"/>
  <c r="AE28" i="48"/>
  <c r="AE143" i="21"/>
  <c r="AE142" i="21"/>
  <c r="AE45" i="26"/>
  <c r="AE141" i="21"/>
  <c r="AD164" i="21"/>
  <c r="AD76" i="44"/>
  <c r="AD89" i="44" s="1"/>
  <c r="AD63" i="26"/>
  <c r="AD60" i="26" s="1"/>
  <c r="AF158" i="48"/>
  <c r="AF186" i="48" s="1"/>
  <c r="AF214" i="48" s="1"/>
  <c r="AF14" i="44"/>
  <c r="AF33" i="26" s="1"/>
  <c r="AF170" i="48"/>
  <c r="AE198" i="48"/>
  <c r="AC13" i="21"/>
  <c r="AC50" i="21" s="1"/>
  <c r="AD13" i="48"/>
  <c r="AC64" i="48"/>
  <c r="AC60" i="48"/>
  <c r="AC18" i="21"/>
  <c r="AC55" i="21" s="1"/>
  <c r="AC63" i="48"/>
  <c r="AC61" i="48"/>
  <c r="AC24" i="48"/>
  <c r="AE150" i="21"/>
  <c r="AE151" i="21"/>
  <c r="AE152" i="21"/>
  <c r="AE61" i="26"/>
  <c r="AF25" i="25"/>
  <c r="AF118" i="26" s="1"/>
  <c r="AF174" i="22"/>
  <c r="AC19" i="6"/>
  <c r="AE201" i="48"/>
  <c r="AF173" i="48"/>
  <c r="AF13" i="44"/>
  <c r="AF32" i="26" s="1"/>
  <c r="AF170" i="26"/>
  <c r="AF147" i="21"/>
  <c r="AF149" i="21"/>
  <c r="AF148" i="21"/>
  <c r="AF155" i="48"/>
  <c r="AF183" i="48" s="1"/>
  <c r="AF159" i="26"/>
  <c r="AE182" i="22"/>
  <c r="AE17" i="47" s="1"/>
  <c r="AF77" i="22"/>
  <c r="AF78" i="22"/>
  <c r="AF79" i="22" s="1"/>
  <c r="AF42" i="48"/>
  <c r="AF171" i="48"/>
  <c r="AF199" i="48" s="1"/>
  <c r="AF119" i="48"/>
  <c r="AF166" i="26"/>
  <c r="AF51" i="22"/>
  <c r="AF52" i="22"/>
  <c r="AF162" i="22"/>
  <c r="AF121" i="22"/>
  <c r="AF65" i="22"/>
  <c r="AC79" i="26"/>
  <c r="AG329" i="1"/>
  <c r="AG7" i="26"/>
  <c r="AG89" i="25"/>
  <c r="AB47" i="44"/>
  <c r="AE167" i="48"/>
  <c r="AE163" i="48"/>
  <c r="AE118" i="48"/>
  <c r="AF103" i="22"/>
  <c r="AF104" i="22"/>
  <c r="AF105" i="22" s="1"/>
  <c r="AF140" i="21"/>
  <c r="AF138" i="21"/>
  <c r="AF139" i="21"/>
  <c r="AF75" i="21"/>
  <c r="AF111" i="21" s="1"/>
  <c r="AF74" i="21"/>
  <c r="AF110" i="21" s="1"/>
  <c r="AF63" i="21"/>
  <c r="AF99" i="21" s="1"/>
  <c r="AF62" i="21"/>
  <c r="AF98" i="21" s="1"/>
  <c r="AF76" i="21"/>
  <c r="AF112" i="21" s="1"/>
  <c r="AF61" i="21"/>
  <c r="AF97" i="21" s="1"/>
  <c r="AF73" i="21"/>
  <c r="AF109" i="21" s="1"/>
  <c r="AF70" i="21"/>
  <c r="AF59" i="21"/>
  <c r="AF65" i="21"/>
  <c r="AF101" i="21" s="1"/>
  <c r="AF72" i="21"/>
  <c r="AF108" i="21" s="1"/>
  <c r="AF66" i="21"/>
  <c r="AF102" i="21" s="1"/>
  <c r="AF60" i="21"/>
  <c r="AF96" i="21" s="1"/>
  <c r="AF64" i="21"/>
  <c r="AF100" i="21" s="1"/>
  <c r="AF71" i="21"/>
  <c r="AF107" i="21" s="1"/>
  <c r="AF77" i="21"/>
  <c r="AF113" i="21" s="1"/>
  <c r="AE210" i="48"/>
  <c r="AF182" i="48"/>
  <c r="AE121" i="48"/>
  <c r="AE176" i="48"/>
  <c r="AF91" i="25"/>
  <c r="AF94" i="25" s="1"/>
  <c r="AF92" i="25"/>
  <c r="AF93" i="25" s="1"/>
  <c r="AF36" i="22"/>
  <c r="AF161" i="22"/>
  <c r="AF160" i="22"/>
  <c r="AF32" i="22"/>
  <c r="AB34" i="44"/>
  <c r="AB40" i="44" s="1"/>
  <c r="AB36" i="44"/>
  <c r="AB42" i="44" s="1"/>
  <c r="AB201" i="26"/>
  <c r="AB202" i="26" s="1"/>
  <c r="AB50" i="44"/>
  <c r="AB56" i="44" s="1"/>
  <c r="AB48" i="44"/>
  <c r="AB54" i="44" s="1"/>
  <c r="AE153" i="26"/>
  <c r="AF35" i="22"/>
  <c r="AF19" i="22"/>
  <c r="AF20" i="22" s="1"/>
  <c r="AF18" i="22"/>
  <c r="AE124" i="48"/>
  <c r="AE115" i="48"/>
  <c r="AF180" i="22"/>
  <c r="AF80" i="26" s="1"/>
  <c r="AF14" i="25"/>
  <c r="AF104" i="26" s="1"/>
  <c r="AB33" i="44"/>
  <c r="AB49" i="44"/>
  <c r="AB55" i="44" s="1"/>
  <c r="AF140" i="48"/>
  <c r="AF168" i="48" s="1"/>
  <c r="AF8" i="49"/>
  <c r="AF8" i="51"/>
  <c r="AF8" i="48"/>
  <c r="AF8" i="53"/>
  <c r="AF8" i="52"/>
  <c r="AD77" i="48"/>
  <c r="AD31" i="48"/>
  <c r="AD32" i="48" s="1"/>
  <c r="AE213" i="48"/>
  <c r="AF185" i="48"/>
  <c r="AF136" i="22"/>
  <c r="AF154" i="22" s="1"/>
  <c r="AF135" i="22"/>
  <c r="AA11" i="25"/>
  <c r="AA101" i="26" s="1"/>
  <c r="AA33" i="6"/>
  <c r="AA22" i="47"/>
  <c r="AF202" i="48"/>
  <c r="AA40" i="6"/>
  <c r="AA21" i="26"/>
  <c r="AE135" i="25"/>
  <c r="AD185" i="26"/>
  <c r="AE125" i="25"/>
  <c r="AD184" i="26"/>
  <c r="AD183" i="26"/>
  <c r="AE115" i="25"/>
  <c r="AD181" i="26"/>
  <c r="AE145" i="25"/>
  <c r="R92" i="6" l="1"/>
  <c r="AE155" i="26"/>
  <c r="AE156" i="26" s="1"/>
  <c r="AA13" i="47"/>
  <c r="Q16" i="47"/>
  <c r="Q72" i="48"/>
  <c r="Q14" i="47" s="1"/>
  <c r="P30" i="47"/>
  <c r="P175" i="26" s="1"/>
  <c r="R172" i="21"/>
  <c r="R20" i="25"/>
  <c r="R113" i="26" s="1"/>
  <c r="T22" i="38" s="1"/>
  <c r="R169" i="21"/>
  <c r="R69" i="48" s="1"/>
  <c r="R70" i="48" s="1"/>
  <c r="R175" i="21"/>
  <c r="R162" i="21"/>
  <c r="R155" i="21"/>
  <c r="R156" i="21" s="1"/>
  <c r="R19" i="25" s="1"/>
  <c r="R112" i="26" s="1"/>
  <c r="T21" i="38" s="1"/>
  <c r="R161" i="21"/>
  <c r="R19" i="26" s="1"/>
  <c r="T18" i="35" s="1"/>
  <c r="R12" i="44"/>
  <c r="R25" i="44" s="1"/>
  <c r="R91" i="44" s="1"/>
  <c r="R94" i="44" s="1"/>
  <c r="R93" i="6" s="1"/>
  <c r="S116" i="21"/>
  <c r="S121" i="6" s="1"/>
  <c r="T122" i="6" s="1"/>
  <c r="T21" i="25" s="1"/>
  <c r="T114" i="26" s="1"/>
  <c r="R31" i="26"/>
  <c r="AA43" i="6"/>
  <c r="AB38" i="6" s="1"/>
  <c r="AB43" i="6" s="1"/>
  <c r="Q173" i="26"/>
  <c r="R113" i="6"/>
  <c r="Y31" i="6"/>
  <c r="Y34" i="6" s="1"/>
  <c r="X161" i="26"/>
  <c r="T18" i="26"/>
  <c r="Y160" i="26"/>
  <c r="Z15" i="6"/>
  <c r="Z21" i="6" s="1"/>
  <c r="S134" i="21"/>
  <c r="S133" i="21"/>
  <c r="S29" i="26"/>
  <c r="S132" i="21"/>
  <c r="Q158" i="26"/>
  <c r="R205" i="26"/>
  <c r="R203" i="26" s="1"/>
  <c r="R206" i="26" s="1"/>
  <c r="Z169" i="26"/>
  <c r="AA106" i="6"/>
  <c r="AA109" i="6" s="1"/>
  <c r="AB106" i="6" s="1"/>
  <c r="Q26" i="26"/>
  <c r="Q77" i="26"/>
  <c r="Q82" i="26" s="1"/>
  <c r="Q18" i="25"/>
  <c r="Q111" i="26" s="1"/>
  <c r="S20" i="38" s="1"/>
  <c r="T19" i="21"/>
  <c r="T14" i="21"/>
  <c r="AB18" i="6"/>
  <c r="S80" i="21"/>
  <c r="S123" i="21"/>
  <c r="S124" i="21"/>
  <c r="S125" i="21"/>
  <c r="T20" i="26"/>
  <c r="AB22" i="26"/>
  <c r="AB107" i="6"/>
  <c r="AF120" i="22"/>
  <c r="AC53" i="48"/>
  <c r="AC55" i="48" s="1"/>
  <c r="AE23" i="25"/>
  <c r="AE116" i="26" s="1"/>
  <c r="AB16" i="25"/>
  <c r="AB109" i="26" s="1"/>
  <c r="AB11" i="25"/>
  <c r="AB101" i="26" s="1"/>
  <c r="AB21" i="26"/>
  <c r="AF87" i="6"/>
  <c r="AF94" i="6" s="1"/>
  <c r="AF131" i="48"/>
  <c r="AE144" i="21"/>
  <c r="AE60" i="44" s="1"/>
  <c r="AE73" i="44" s="1"/>
  <c r="AF125" i="48"/>
  <c r="AF95" i="25"/>
  <c r="AF110" i="25" s="1"/>
  <c r="AE153" i="21"/>
  <c r="AE63" i="26" s="1"/>
  <c r="AE60" i="26" s="1"/>
  <c r="AF122" i="48"/>
  <c r="AC65" i="48"/>
  <c r="AE136" i="48"/>
  <c r="AD33" i="48"/>
  <c r="AD35" i="48" s="1"/>
  <c r="AC16" i="26"/>
  <c r="AC49" i="44" s="1"/>
  <c r="AC55" i="44" s="1"/>
  <c r="AD47" i="48"/>
  <c r="AD57" i="48" s="1"/>
  <c r="AD24" i="6" s="1"/>
  <c r="AC35" i="48"/>
  <c r="AC32" i="6" s="1"/>
  <c r="AD66" i="48"/>
  <c r="AD12" i="26"/>
  <c r="AF196" i="48"/>
  <c r="AE195" i="48"/>
  <c r="AF167" i="48"/>
  <c r="AE191" i="48"/>
  <c r="AE23" i="48" s="1"/>
  <c r="AC91" i="21"/>
  <c r="AC86" i="21"/>
  <c r="AF113" i="48"/>
  <c r="AB37" i="44"/>
  <c r="AB39" i="44"/>
  <c r="AB43" i="44" s="1"/>
  <c r="AF67" i="21"/>
  <c r="AF95" i="21"/>
  <c r="AF103" i="21" s="1"/>
  <c r="AF46" i="26" s="1"/>
  <c r="AB51" i="44"/>
  <c r="AB53" i="44"/>
  <c r="AB57" i="44" s="1"/>
  <c r="AG8" i="21"/>
  <c r="AD27" i="6"/>
  <c r="AD79" i="26"/>
  <c r="AF137" i="22"/>
  <c r="AF164" i="22"/>
  <c r="AF81" i="26" s="1"/>
  <c r="AF37" i="22"/>
  <c r="AF38" i="22" s="1"/>
  <c r="AF182" i="22"/>
  <c r="AF17" i="47" s="1"/>
  <c r="AF176" i="48"/>
  <c r="AE204" i="48"/>
  <c r="AF78" i="21"/>
  <c r="AF106" i="21"/>
  <c r="AF114" i="21" s="1"/>
  <c r="AF62" i="26" s="1"/>
  <c r="AG84" i="6"/>
  <c r="AG75" i="6"/>
  <c r="AG60" i="6"/>
  <c r="AG54" i="6"/>
  <c r="AG70" i="6"/>
  <c r="AG57" i="6"/>
  <c r="AG76" i="6"/>
  <c r="AG85" i="6"/>
  <c r="AG56" i="6"/>
  <c r="AG86" i="6"/>
  <c r="AG73" i="6"/>
  <c r="AG66" i="6"/>
  <c r="AG71" i="6"/>
  <c r="AG58" i="6"/>
  <c r="AG83" i="6"/>
  <c r="AG53" i="6"/>
  <c r="AG77" i="6"/>
  <c r="AG82" i="6"/>
  <c r="AG67" i="6"/>
  <c r="AG80" i="6"/>
  <c r="AG55" i="6"/>
  <c r="AG50" i="6"/>
  <c r="AG52" i="6"/>
  <c r="AG68" i="6"/>
  <c r="AG79" i="6"/>
  <c r="AG62" i="6"/>
  <c r="AG59" i="6"/>
  <c r="AG78" i="6"/>
  <c r="AG63" i="6"/>
  <c r="AG49" i="6"/>
  <c r="AG51" i="6"/>
  <c r="AG72" i="6"/>
  <c r="AG69" i="6"/>
  <c r="AG65" i="6"/>
  <c r="AG64" i="6"/>
  <c r="AG81" i="6"/>
  <c r="AF53" i="22"/>
  <c r="AF122" i="22"/>
  <c r="AF128" i="48"/>
  <c r="AF175" i="22"/>
  <c r="AG90" i="25"/>
  <c r="AG92" i="25" s="1"/>
  <c r="AG93" i="25" s="1"/>
  <c r="AF208" i="48"/>
  <c r="AF205" i="48"/>
  <c r="AF155" i="22"/>
  <c r="AF28" i="48"/>
  <c r="AC107" i="6"/>
  <c r="AC22" i="26"/>
  <c r="AD18" i="6"/>
  <c r="AE78" i="48"/>
  <c r="AE102" i="6" s="1"/>
  <c r="AG170" i="48"/>
  <c r="AG28" i="44"/>
  <c r="AG330" i="1"/>
  <c r="AG78" i="22"/>
  <c r="AF211" i="48"/>
  <c r="AD16" i="48"/>
  <c r="AD26" i="6"/>
  <c r="AD19" i="6"/>
  <c r="AF163" i="48"/>
  <c r="AE149" i="25"/>
  <c r="AE31" i="25" s="1"/>
  <c r="AE123" i="26" s="1"/>
  <c r="AE147" i="25"/>
  <c r="AE119" i="25"/>
  <c r="AE121" i="25" s="1"/>
  <c r="AE118" i="25"/>
  <c r="AE129" i="25"/>
  <c r="AE131" i="25" s="1"/>
  <c r="AE128" i="25"/>
  <c r="AE138" i="25"/>
  <c r="AE139" i="25"/>
  <c r="AE141" i="25" s="1"/>
  <c r="Q17" i="25" l="1"/>
  <c r="Q110" i="26" s="1"/>
  <c r="S19" i="38" s="1"/>
  <c r="R95" i="6"/>
  <c r="S92" i="6" s="1"/>
  <c r="Q26" i="47"/>
  <c r="R95" i="44"/>
  <c r="R114" i="6" s="1"/>
  <c r="R116" i="6" s="1"/>
  <c r="R158" i="21"/>
  <c r="R24" i="26"/>
  <c r="R25" i="26" s="1"/>
  <c r="R26" i="26" s="1"/>
  <c r="R165" i="21"/>
  <c r="AA168" i="26"/>
  <c r="S123" i="6"/>
  <c r="S172" i="26" s="1"/>
  <c r="AB109" i="6"/>
  <c r="AB169" i="26" s="1"/>
  <c r="R177" i="21"/>
  <c r="S126" i="21"/>
  <c r="T30" i="35"/>
  <c r="R28" i="26"/>
  <c r="R76" i="26" s="1"/>
  <c r="S135" i="21"/>
  <c r="Z160" i="26"/>
  <c r="AA15" i="6"/>
  <c r="AA21" i="6" s="1"/>
  <c r="AF123" i="22"/>
  <c r="AF154" i="26" s="1"/>
  <c r="T87" i="21"/>
  <c r="T51" i="21"/>
  <c r="R207" i="26"/>
  <c r="R210" i="26"/>
  <c r="R211" i="26" s="1"/>
  <c r="R15" i="47" s="1"/>
  <c r="R72" i="48"/>
  <c r="S81" i="21"/>
  <c r="AB32" i="6"/>
  <c r="AB13" i="47"/>
  <c r="T121" i="21"/>
  <c r="T43" i="21"/>
  <c r="T44" i="21" s="1"/>
  <c r="T122" i="21"/>
  <c r="T120" i="21"/>
  <c r="T56" i="21"/>
  <c r="U28" i="35"/>
  <c r="AB23" i="26"/>
  <c r="T92" i="21"/>
  <c r="T30" i="26" s="1"/>
  <c r="AA169" i="26"/>
  <c r="Q21" i="47"/>
  <c r="Q18" i="47"/>
  <c r="Q27" i="47" s="1"/>
  <c r="AC26" i="6"/>
  <c r="AC18" i="6"/>
  <c r="T131" i="21"/>
  <c r="T129" i="21"/>
  <c r="T130" i="21"/>
  <c r="Z31" i="6"/>
  <c r="Z34" i="6" s="1"/>
  <c r="Y161" i="26"/>
  <c r="AE47" i="26"/>
  <c r="AE44" i="26" s="1"/>
  <c r="AG91" i="25"/>
  <c r="AG94" i="25" s="1"/>
  <c r="AG95" i="25" s="1"/>
  <c r="AF98" i="6"/>
  <c r="AF115" i="6" s="1"/>
  <c r="AB25" i="6"/>
  <c r="AB28" i="6" s="1"/>
  <c r="AB33" i="6" s="1"/>
  <c r="AE163" i="21"/>
  <c r="AC23" i="26"/>
  <c r="AG179" i="48"/>
  <c r="AD62" i="48"/>
  <c r="AE76" i="44"/>
  <c r="AE89" i="44" s="1"/>
  <c r="AE164" i="21"/>
  <c r="AE47" i="48"/>
  <c r="AE62" i="48" s="1"/>
  <c r="AD65" i="48"/>
  <c r="AD54" i="48"/>
  <c r="AD16" i="6" s="1"/>
  <c r="AC13" i="47"/>
  <c r="AC47" i="44"/>
  <c r="AC201" i="26"/>
  <c r="AC202" i="26" s="1"/>
  <c r="AC33" i="44"/>
  <c r="AC48" i="44"/>
  <c r="AC54" i="44" s="1"/>
  <c r="AD53" i="48"/>
  <c r="AC36" i="44"/>
  <c r="AC42" i="44" s="1"/>
  <c r="AD32" i="6"/>
  <c r="AC50" i="44"/>
  <c r="AC56" i="44" s="1"/>
  <c r="AF219" i="48"/>
  <c r="AF136" i="48"/>
  <c r="AC34" i="44"/>
  <c r="AC40" i="44" s="1"/>
  <c r="AC35" i="44"/>
  <c r="AC41" i="44" s="1"/>
  <c r="AG35" i="22"/>
  <c r="AF153" i="26"/>
  <c r="AG79" i="22"/>
  <c r="AE26" i="6"/>
  <c r="AG104" i="22"/>
  <c r="AG105" i="22" s="1"/>
  <c r="AE30" i="48"/>
  <c r="AG134" i="26"/>
  <c r="AG41" i="26"/>
  <c r="AG64" i="26"/>
  <c r="AG86" i="26"/>
  <c r="AG85" i="26"/>
  <c r="AG71" i="26"/>
  <c r="AG53" i="26"/>
  <c r="AG43" i="26"/>
  <c r="AG65" i="26"/>
  <c r="AG40" i="26"/>
  <c r="AG70" i="26"/>
  <c r="AG50" i="26"/>
  <c r="AG59" i="26"/>
  <c r="AG136" i="26"/>
  <c r="AG38" i="26"/>
  <c r="AG58" i="26"/>
  <c r="AG57" i="26"/>
  <c r="AG48" i="26"/>
  <c r="AG54" i="26"/>
  <c r="AG36" i="26"/>
  <c r="AG67" i="26"/>
  <c r="AG51" i="26"/>
  <c r="AG55" i="26"/>
  <c r="AG52" i="26"/>
  <c r="AG73" i="26"/>
  <c r="AG37" i="26"/>
  <c r="AG42" i="26"/>
  <c r="AG135" i="26"/>
  <c r="AG75" i="26"/>
  <c r="AG56" i="26"/>
  <c r="AG34" i="26"/>
  <c r="AG68" i="26"/>
  <c r="AG142" i="26"/>
  <c r="AG35" i="26"/>
  <c r="AG74" i="26"/>
  <c r="AG49" i="26"/>
  <c r="AG72" i="26"/>
  <c r="AG69" i="26"/>
  <c r="AG39" i="26"/>
  <c r="AG66" i="26"/>
  <c r="AF23" i="25"/>
  <c r="AF116" i="26" s="1"/>
  <c r="AG172" i="22"/>
  <c r="AF171" i="26"/>
  <c r="AG87" i="6"/>
  <c r="AG136" i="22"/>
  <c r="AG154" i="22" s="1"/>
  <c r="AG19" i="22"/>
  <c r="AG167" i="48"/>
  <c r="AF191" i="48"/>
  <c r="AF23" i="48" s="1"/>
  <c r="AD16" i="26"/>
  <c r="AD47" i="44" s="1"/>
  <c r="AD53" i="44" s="1"/>
  <c r="AD13" i="47"/>
  <c r="AG183" i="48"/>
  <c r="AG52" i="22"/>
  <c r="AG55" i="47"/>
  <c r="AG59" i="47"/>
  <c r="AG61" i="47" s="1"/>
  <c r="AG30" i="44"/>
  <c r="AG29" i="44"/>
  <c r="AG30" i="21"/>
  <c r="AG17" i="21"/>
  <c r="AG54" i="21" s="1"/>
  <c r="AG90" i="21" s="1"/>
  <c r="AG41" i="21"/>
  <c r="AG182" i="48"/>
  <c r="AG185" i="48"/>
  <c r="AG173" i="48"/>
  <c r="AG28" i="47"/>
  <c r="AF61" i="26"/>
  <c r="AF152" i="21"/>
  <c r="AF151" i="21"/>
  <c r="AF150" i="21"/>
  <c r="AG8" i="49"/>
  <c r="AG8" i="48"/>
  <c r="AG8" i="52"/>
  <c r="AG8" i="53"/>
  <c r="AG8" i="51"/>
  <c r="AE219" i="48"/>
  <c r="AE15" i="48" s="1"/>
  <c r="AD22" i="26"/>
  <c r="AD107" i="6"/>
  <c r="AE27" i="6"/>
  <c r="AD64" i="48"/>
  <c r="AD24" i="48"/>
  <c r="AE13" i="48"/>
  <c r="AD13" i="21"/>
  <c r="AD50" i="21" s="1"/>
  <c r="AD60" i="48"/>
  <c r="AD61" i="48"/>
  <c r="AD63" i="48"/>
  <c r="AD18" i="21"/>
  <c r="AD55" i="21" s="1"/>
  <c r="AG168" i="22"/>
  <c r="AG173" i="22" s="1"/>
  <c r="AG178" i="22"/>
  <c r="AG101" i="22"/>
  <c r="AG75" i="22"/>
  <c r="AG49" i="22"/>
  <c r="AG177" i="22"/>
  <c r="AG179" i="22"/>
  <c r="AG166" i="22"/>
  <c r="AG78" i="26" s="1"/>
  <c r="AG133" i="22"/>
  <c r="AG170" i="22"/>
  <c r="AG169" i="22"/>
  <c r="AG24" i="25" s="1"/>
  <c r="AG117" i="26" s="1"/>
  <c r="AG16" i="22"/>
  <c r="AG126" i="25"/>
  <c r="AG116" i="25"/>
  <c r="AG22" i="25"/>
  <c r="AG115" i="26" s="1"/>
  <c r="AG26" i="25"/>
  <c r="AG119" i="26" s="1"/>
  <c r="AG117" i="25"/>
  <c r="AG127" i="25"/>
  <c r="AG137" i="25"/>
  <c r="AG32" i="25"/>
  <c r="AG132" i="26" s="1"/>
  <c r="AG13" i="25"/>
  <c r="AG103" i="26" s="1"/>
  <c r="AG136" i="25"/>
  <c r="AG27" i="25"/>
  <c r="AG120" i="26" s="1"/>
  <c r="AG12" i="25"/>
  <c r="AG102" i="26" s="1"/>
  <c r="AG351" i="1"/>
  <c r="AG354" i="1" s="1"/>
  <c r="AG345" i="1"/>
  <c r="AG348" i="1" s="1"/>
  <c r="AG339" i="1"/>
  <c r="AG342" i="1" s="1"/>
  <c r="AG199" i="48"/>
  <c r="AG29" i="48"/>
  <c r="AG125" i="48"/>
  <c r="AG133" i="48"/>
  <c r="AG213" i="48"/>
  <c r="AG139" i="48"/>
  <c r="AG112" i="48"/>
  <c r="AG128" i="48"/>
  <c r="AG162" i="48"/>
  <c r="AG143" i="48"/>
  <c r="AG40" i="48"/>
  <c r="AG188" i="48"/>
  <c r="AG148" i="48"/>
  <c r="AG124" i="48"/>
  <c r="AG214" i="48"/>
  <c r="AG195" i="48"/>
  <c r="AG46" i="48"/>
  <c r="AG103" i="48"/>
  <c r="AG100" i="48"/>
  <c r="AG90" i="48"/>
  <c r="AG161" i="48"/>
  <c r="AG113" i="48"/>
  <c r="AG130" i="48"/>
  <c r="AG119" i="48"/>
  <c r="AG151" i="48"/>
  <c r="AG217" i="48"/>
  <c r="AG146" i="48"/>
  <c r="AG87" i="48"/>
  <c r="AG92" i="48"/>
  <c r="AG160" i="48"/>
  <c r="AG145" i="48"/>
  <c r="AG189" i="48"/>
  <c r="AG135" i="48"/>
  <c r="AG205" i="48"/>
  <c r="AG211" i="48"/>
  <c r="AG88" i="48"/>
  <c r="AG201" i="48"/>
  <c r="AG155" i="48"/>
  <c r="AG122" i="48"/>
  <c r="AG149" i="48"/>
  <c r="AG75" i="48"/>
  <c r="AG115" i="48"/>
  <c r="AG142" i="48"/>
  <c r="AG198" i="48"/>
  <c r="AG204" i="48"/>
  <c r="AG121" i="48"/>
  <c r="AG118" i="48"/>
  <c r="AG158" i="48"/>
  <c r="AG154" i="48"/>
  <c r="AG218" i="48"/>
  <c r="AG210" i="48"/>
  <c r="AG196" i="48"/>
  <c r="AG102" i="48"/>
  <c r="AG91" i="48"/>
  <c r="AG93" i="48"/>
  <c r="AG107" i="48"/>
  <c r="AG25" i="48"/>
  <c r="AG76" i="48" s="1"/>
  <c r="AG131" i="48"/>
  <c r="AG216" i="48"/>
  <c r="AG208" i="48"/>
  <c r="AG207" i="48"/>
  <c r="AG116" i="48"/>
  <c r="AG202" i="48"/>
  <c r="AG157" i="48"/>
  <c r="AG86" i="48"/>
  <c r="AG49" i="48"/>
  <c r="AG51" i="48" s="1"/>
  <c r="AG94" i="48"/>
  <c r="AG166" i="48"/>
  <c r="AG89" i="48"/>
  <c r="AG127" i="48"/>
  <c r="AG194" i="48"/>
  <c r="AG134" i="48"/>
  <c r="AG152" i="48"/>
  <c r="AG108" i="48"/>
  <c r="AG140" i="48"/>
  <c r="AG190" i="48"/>
  <c r="AG85" i="48"/>
  <c r="AG99" i="48"/>
  <c r="AG95" i="48"/>
  <c r="AG105" i="48"/>
  <c r="AG174" i="48"/>
  <c r="AG96" i="48"/>
  <c r="AG97" i="48"/>
  <c r="AG26" i="48"/>
  <c r="AG106" i="48"/>
  <c r="AG101" i="48"/>
  <c r="AG98" i="48"/>
  <c r="AG104" i="48"/>
  <c r="AG171" i="48"/>
  <c r="AG186" i="48"/>
  <c r="AF155" i="26"/>
  <c r="AG152" i="22"/>
  <c r="AG177" i="48"/>
  <c r="AG180" i="48"/>
  <c r="AG176" i="48"/>
  <c r="AG76" i="21"/>
  <c r="AG112" i="21" s="1"/>
  <c r="AG60" i="21"/>
  <c r="AG96" i="21" s="1"/>
  <c r="AG65" i="21"/>
  <c r="AG101" i="21" s="1"/>
  <c r="AG66" i="21"/>
  <c r="AG102" i="21" s="1"/>
  <c r="AG73" i="21"/>
  <c r="AG109" i="21" s="1"/>
  <c r="AG75" i="21"/>
  <c r="AG111" i="21" s="1"/>
  <c r="AG64" i="21"/>
  <c r="AG100" i="21" s="1"/>
  <c r="AG59" i="21"/>
  <c r="AG72" i="21"/>
  <c r="AG108" i="21" s="1"/>
  <c r="AG61" i="21"/>
  <c r="AG97" i="21" s="1"/>
  <c r="AG77" i="21"/>
  <c r="AG113" i="21" s="1"/>
  <c r="AG62" i="21"/>
  <c r="AG98" i="21" s="1"/>
  <c r="AG63" i="21"/>
  <c r="AG99" i="21" s="1"/>
  <c r="AG70" i="21"/>
  <c r="AG71" i="21"/>
  <c r="AG107" i="21" s="1"/>
  <c r="AG74" i="21"/>
  <c r="AG110" i="21" s="1"/>
  <c r="AF141" i="21"/>
  <c r="AF142" i="21"/>
  <c r="AF143" i="21"/>
  <c r="AF45" i="26"/>
  <c r="AG168" i="48"/>
  <c r="AC38" i="6"/>
  <c r="AB168" i="26"/>
  <c r="AE185" i="26"/>
  <c r="AF135" i="25"/>
  <c r="AF125" i="25"/>
  <c r="AE184" i="26"/>
  <c r="AF115" i="25"/>
  <c r="AE183" i="26"/>
  <c r="AE181" i="26"/>
  <c r="AF145" i="25"/>
  <c r="R167" i="26" l="1"/>
  <c r="R16" i="47"/>
  <c r="R77" i="26"/>
  <c r="R82" i="26" s="1"/>
  <c r="AC106" i="6"/>
  <c r="T120" i="6"/>
  <c r="S155" i="21"/>
  <c r="S156" i="21" s="1"/>
  <c r="S19" i="25" s="1"/>
  <c r="S112" i="26" s="1"/>
  <c r="U21" i="38" s="1"/>
  <c r="S20" i="25"/>
  <c r="S113" i="26" s="1"/>
  <c r="U22" i="38" s="1"/>
  <c r="S161" i="21"/>
  <c r="S19" i="26" s="1"/>
  <c r="S169" i="21"/>
  <c r="AG120" i="22"/>
  <c r="S12" i="44"/>
  <c r="S25" i="44" s="1"/>
  <c r="S91" i="44" s="1"/>
  <c r="S94" i="44" s="1"/>
  <c r="S93" i="6" s="1"/>
  <c r="S95" i="6" s="1"/>
  <c r="S31" i="26"/>
  <c r="S162" i="21"/>
  <c r="S175" i="21"/>
  <c r="S172" i="21"/>
  <c r="R14" i="47"/>
  <c r="R21" i="47" s="1"/>
  <c r="R173" i="26"/>
  <c r="S113" i="6"/>
  <c r="X29" i="38"/>
  <c r="W29" i="38"/>
  <c r="P29" i="38"/>
  <c r="Y29" i="38"/>
  <c r="Z29" i="38"/>
  <c r="W24" i="38"/>
  <c r="P24" i="38"/>
  <c r="Y24" i="38"/>
  <c r="X24" i="38"/>
  <c r="Z24" i="38"/>
  <c r="P26" i="38"/>
  <c r="Z26" i="38"/>
  <c r="X26" i="38"/>
  <c r="Y26" i="38"/>
  <c r="W26" i="38"/>
  <c r="P68" i="35"/>
  <c r="W68" i="35"/>
  <c r="Z68" i="35"/>
  <c r="X68" i="35"/>
  <c r="Y68" i="35"/>
  <c r="P34" i="35"/>
  <c r="X34" i="35"/>
  <c r="Y34" i="35"/>
  <c r="W34" i="35"/>
  <c r="Z34" i="35"/>
  <c r="X55" i="35"/>
  <c r="P55" i="35"/>
  <c r="Y55" i="35"/>
  <c r="W55" i="35"/>
  <c r="Z55" i="35"/>
  <c r="Z36" i="35"/>
  <c r="P36" i="35"/>
  <c r="X36" i="35"/>
  <c r="W36" i="35"/>
  <c r="Y36" i="35"/>
  <c r="W50" i="35"/>
  <c r="P50" i="35"/>
  <c r="X50" i="35"/>
  <c r="Y50" i="35"/>
  <c r="Z50" i="35"/>
  <c r="X47" i="35"/>
  <c r="P47" i="35"/>
  <c r="Y47" i="35"/>
  <c r="W47" i="35"/>
  <c r="Z47" i="35"/>
  <c r="X45" i="38"/>
  <c r="P45" i="38"/>
  <c r="Z45" i="38"/>
  <c r="W45" i="38"/>
  <c r="Y45" i="38"/>
  <c r="Z39" i="35"/>
  <c r="P39" i="35"/>
  <c r="X39" i="35"/>
  <c r="Y39" i="35"/>
  <c r="W39" i="35"/>
  <c r="Y70" i="35"/>
  <c r="X70" i="35"/>
  <c r="P70" i="35"/>
  <c r="W70" i="35"/>
  <c r="Z70" i="35"/>
  <c r="X40" i="35"/>
  <c r="P40" i="35"/>
  <c r="Z40" i="35"/>
  <c r="Y40" i="35"/>
  <c r="W40" i="35"/>
  <c r="U20" i="26"/>
  <c r="AX283" i="36"/>
  <c r="AY283" i="36"/>
  <c r="AY282" i="36"/>
  <c r="AX282" i="36"/>
  <c r="X71" i="35"/>
  <c r="Z71" i="35"/>
  <c r="P71" i="35"/>
  <c r="Y71" i="35"/>
  <c r="W71" i="35"/>
  <c r="AG92" i="26"/>
  <c r="Z51" i="38"/>
  <c r="P51" i="38"/>
  <c r="X51" i="38"/>
  <c r="Y51" i="38"/>
  <c r="W51" i="38"/>
  <c r="P74" i="35"/>
  <c r="Z74" i="35"/>
  <c r="X74" i="35"/>
  <c r="Y74" i="35"/>
  <c r="W74" i="35"/>
  <c r="W72" i="35"/>
  <c r="Y72" i="35"/>
  <c r="P72" i="35"/>
  <c r="Z72" i="35"/>
  <c r="X72" i="35"/>
  <c r="P66" i="35"/>
  <c r="Y66" i="35"/>
  <c r="W66" i="35"/>
  <c r="X66" i="35"/>
  <c r="Z66" i="35"/>
  <c r="X56" i="35"/>
  <c r="Y56" i="35"/>
  <c r="W56" i="35"/>
  <c r="Z56" i="35"/>
  <c r="P56" i="35"/>
  <c r="Y58" i="35"/>
  <c r="Z58" i="35"/>
  <c r="X58" i="35"/>
  <c r="P58" i="35"/>
  <c r="W58" i="35"/>
  <c r="P64" i="35"/>
  <c r="W64" i="35"/>
  <c r="Z64" i="35"/>
  <c r="X64" i="35"/>
  <c r="Y64" i="35"/>
  <c r="X85" i="35"/>
  <c r="W85" i="35"/>
  <c r="P85" i="35"/>
  <c r="Y85" i="35"/>
  <c r="Z85" i="35"/>
  <c r="Z43" i="38"/>
  <c r="Y43" i="38"/>
  <c r="P43" i="38"/>
  <c r="W43" i="38"/>
  <c r="X43" i="38"/>
  <c r="Z161" i="26"/>
  <c r="AA31" i="6"/>
  <c r="AA34" i="6" s="1"/>
  <c r="R29" i="47"/>
  <c r="R33" i="25" s="1"/>
  <c r="R124" i="26" s="1"/>
  <c r="T33" i="38" s="1"/>
  <c r="Q30" i="47"/>
  <c r="R18" i="25"/>
  <c r="R111" i="26" s="1"/>
  <c r="T20" i="38" s="1"/>
  <c r="U14" i="21"/>
  <c r="P12" i="38"/>
  <c r="Y12" i="38"/>
  <c r="X12" i="38"/>
  <c r="W12" i="38"/>
  <c r="Z12" i="38"/>
  <c r="P65" i="35"/>
  <c r="Z65" i="35"/>
  <c r="W65" i="35"/>
  <c r="Y65" i="35"/>
  <c r="X65" i="35"/>
  <c r="X48" i="35"/>
  <c r="W48" i="35"/>
  <c r="P48" i="35"/>
  <c r="Y48" i="35"/>
  <c r="Z48" i="35"/>
  <c r="X67" i="35"/>
  <c r="Z67" i="35"/>
  <c r="P67" i="35"/>
  <c r="W67" i="35"/>
  <c r="Y67" i="35"/>
  <c r="Y44" i="38"/>
  <c r="P44" i="38"/>
  <c r="W44" i="38"/>
  <c r="X44" i="38"/>
  <c r="Z44" i="38"/>
  <c r="X51" i="35"/>
  <c r="P51" i="35"/>
  <c r="Z51" i="35"/>
  <c r="W51" i="35"/>
  <c r="Y51" i="35"/>
  <c r="P35" i="35"/>
  <c r="Z35" i="35"/>
  <c r="Y35" i="35"/>
  <c r="X35" i="35"/>
  <c r="W35" i="35"/>
  <c r="Y57" i="35"/>
  <c r="W57" i="35"/>
  <c r="P57" i="35"/>
  <c r="Z57" i="35"/>
  <c r="X57" i="35"/>
  <c r="Z49" i="35"/>
  <c r="P49" i="35"/>
  <c r="W49" i="35"/>
  <c r="Y49" i="35"/>
  <c r="X49" i="35"/>
  <c r="W42" i="35"/>
  <c r="P42" i="35"/>
  <c r="X42" i="35"/>
  <c r="Z42" i="35"/>
  <c r="Y42" i="35"/>
  <c r="Y86" i="35"/>
  <c r="P86" i="35"/>
  <c r="X86" i="35"/>
  <c r="Z86" i="35"/>
  <c r="W86" i="35"/>
  <c r="R17" i="25"/>
  <c r="R110" i="26" s="1"/>
  <c r="T19" i="38" s="1"/>
  <c r="T124" i="21"/>
  <c r="T123" i="21"/>
  <c r="T125" i="21"/>
  <c r="T80" i="21"/>
  <c r="U18" i="26"/>
  <c r="W11" i="38"/>
  <c r="P11" i="38"/>
  <c r="X11" i="38"/>
  <c r="Z11" i="38"/>
  <c r="Y11" i="38"/>
  <c r="P41" i="38"/>
  <c r="X41" i="38"/>
  <c r="Z41" i="38"/>
  <c r="W41" i="38"/>
  <c r="Y41" i="38"/>
  <c r="W28" i="38"/>
  <c r="P28" i="38"/>
  <c r="Y28" i="38"/>
  <c r="X28" i="38"/>
  <c r="Z28" i="38"/>
  <c r="P78" i="35"/>
  <c r="Y78" i="35"/>
  <c r="Z78" i="35"/>
  <c r="X78" i="35"/>
  <c r="W78" i="35"/>
  <c r="W38" i="35"/>
  <c r="P38" i="35"/>
  <c r="Y38" i="35"/>
  <c r="X38" i="35"/>
  <c r="Z38" i="35"/>
  <c r="P73" i="35"/>
  <c r="Y73" i="35"/>
  <c r="W73" i="35"/>
  <c r="X73" i="35"/>
  <c r="Z73" i="35"/>
  <c r="Y33" i="35"/>
  <c r="P33" i="35"/>
  <c r="W33" i="35"/>
  <c r="X33" i="35"/>
  <c r="Z33" i="35"/>
  <c r="Y41" i="35"/>
  <c r="P41" i="35"/>
  <c r="W41" i="35"/>
  <c r="Z41" i="35"/>
  <c r="X41" i="35"/>
  <c r="W54" i="35"/>
  <c r="Y54" i="35"/>
  <c r="P54" i="35"/>
  <c r="X54" i="35"/>
  <c r="Z54" i="35"/>
  <c r="P53" i="35"/>
  <c r="Y53" i="35"/>
  <c r="Z53" i="35"/>
  <c r="X53" i="35"/>
  <c r="W53" i="35"/>
  <c r="W37" i="35"/>
  <c r="P37" i="35"/>
  <c r="Z37" i="35"/>
  <c r="X37" i="35"/>
  <c r="Y37" i="35"/>
  <c r="Y69" i="35"/>
  <c r="P69" i="35"/>
  <c r="W69" i="35"/>
  <c r="X69" i="35"/>
  <c r="Z69" i="35"/>
  <c r="P52" i="35"/>
  <c r="Z52" i="35"/>
  <c r="W52" i="35"/>
  <c r="X52" i="35"/>
  <c r="Y52" i="35"/>
  <c r="Y63" i="35"/>
  <c r="P63" i="35"/>
  <c r="W63" i="35"/>
  <c r="X63" i="35"/>
  <c r="Z63" i="35"/>
  <c r="T133" i="21"/>
  <c r="T132" i="21"/>
  <c r="T134" i="21"/>
  <c r="T29" i="26"/>
  <c r="R158" i="26"/>
  <c r="S205" i="26"/>
  <c r="T116" i="21"/>
  <c r="T121" i="6" s="1"/>
  <c r="U122" i="6" s="1"/>
  <c r="U21" i="25" s="1"/>
  <c r="U114" i="26" s="1"/>
  <c r="U92" i="21"/>
  <c r="U30" i="26" s="1"/>
  <c r="U19" i="21"/>
  <c r="AB15" i="6"/>
  <c r="AB21" i="6" s="1"/>
  <c r="AA160" i="26"/>
  <c r="AD23" i="26"/>
  <c r="AB22" i="47"/>
  <c r="AE57" i="48"/>
  <c r="AE24" i="6" s="1"/>
  <c r="AG122" i="22"/>
  <c r="AD91" i="21"/>
  <c r="AG53" i="22"/>
  <c r="AD55" i="48"/>
  <c r="AE53" i="48" s="1"/>
  <c r="AF15" i="48"/>
  <c r="AC39" i="44"/>
  <c r="AC43" i="44" s="1"/>
  <c r="AC37" i="44"/>
  <c r="AD86" i="21"/>
  <c r="AC53" i="44"/>
  <c r="AC57" i="44" s="1"/>
  <c r="AC51" i="44"/>
  <c r="AG13" i="44"/>
  <c r="AG32" i="26" s="1"/>
  <c r="AG103" i="22"/>
  <c r="AG117" i="22"/>
  <c r="AG148" i="21"/>
  <c r="AG149" i="21"/>
  <c r="AG147" i="21"/>
  <c r="AE77" i="48"/>
  <c r="AE12" i="26" s="1"/>
  <c r="AE31" i="48"/>
  <c r="AG106" i="21"/>
  <c r="AG114" i="21" s="1"/>
  <c r="AG62" i="26" s="1"/>
  <c r="AG78" i="21"/>
  <c r="AG14" i="44"/>
  <c r="AG33" i="26" s="1"/>
  <c r="AG170" i="26"/>
  <c r="AG25" i="25"/>
  <c r="AG118" i="26" s="1"/>
  <c r="AG174" i="22"/>
  <c r="AG175" i="22" s="1"/>
  <c r="AG14" i="25"/>
  <c r="AG104" i="26" s="1"/>
  <c r="AG180" i="22"/>
  <c r="AG80" i="26" s="1"/>
  <c r="P80" i="35" s="1"/>
  <c r="AE18" i="48"/>
  <c r="AF144" i="21"/>
  <c r="AG153" i="48"/>
  <c r="AG147" i="48"/>
  <c r="AG175" i="48" s="1"/>
  <c r="AG141" i="48"/>
  <c r="AG169" i="48" s="1"/>
  <c r="AG144" i="48"/>
  <c r="AG172" i="48" s="1"/>
  <c r="AG166" i="26"/>
  <c r="AG153" i="22"/>
  <c r="AG155" i="22" s="1"/>
  <c r="AG163" i="22"/>
  <c r="AG149" i="22"/>
  <c r="AG135" i="22"/>
  <c r="AG65" i="22"/>
  <c r="AG162" i="22"/>
  <c r="AG121" i="22"/>
  <c r="AG51" i="22"/>
  <c r="AG37" i="22"/>
  <c r="AG164" i="22"/>
  <c r="AG81" i="26" s="1"/>
  <c r="AG20" i="22"/>
  <c r="AG137" i="22"/>
  <c r="AG156" i="48"/>
  <c r="AG184" i="48" s="1"/>
  <c r="AG42" i="48"/>
  <c r="AE16" i="48"/>
  <c r="AG138" i="21"/>
  <c r="AG140" i="21"/>
  <c r="AG139" i="21"/>
  <c r="AF30" i="48"/>
  <c r="AF156" i="26"/>
  <c r="AG150" i="48"/>
  <c r="AG178" i="48" s="1"/>
  <c r="AG95" i="21"/>
  <c r="AG103" i="21" s="1"/>
  <c r="AG46" i="26" s="1"/>
  <c r="AG67" i="21"/>
  <c r="AG159" i="48"/>
  <c r="AG187" i="48" s="1"/>
  <c r="AG109" i="48"/>
  <c r="AG22" i="48" s="1"/>
  <c r="AG159" i="26"/>
  <c r="AG161" i="22"/>
  <c r="AG32" i="22"/>
  <c r="AG18" i="22"/>
  <c r="AG160" i="22"/>
  <c r="AG36" i="22"/>
  <c r="AG91" i="22"/>
  <c r="AG77" i="22"/>
  <c r="AF153" i="21"/>
  <c r="AD35" i="44"/>
  <c r="AD41" i="44" s="1"/>
  <c r="AD34" i="44"/>
  <c r="AD40" i="44" s="1"/>
  <c r="AD48" i="44"/>
  <c r="AD201" i="26"/>
  <c r="AD202" i="26" s="1"/>
  <c r="AD33" i="44"/>
  <c r="AD49" i="44"/>
  <c r="AD55" i="44" s="1"/>
  <c r="AD36" i="44"/>
  <c r="AD42" i="44" s="1"/>
  <c r="AC103" i="6"/>
  <c r="AG98" i="6"/>
  <c r="AG115" i="6" s="1"/>
  <c r="AG94" i="6"/>
  <c r="AD50" i="44"/>
  <c r="AD56" i="44" s="1"/>
  <c r="AD103" i="6"/>
  <c r="AF138" i="25"/>
  <c r="AF139" i="25"/>
  <c r="AF141" i="25" s="1"/>
  <c r="AF147" i="25"/>
  <c r="AF149" i="25"/>
  <c r="AF31" i="25" s="1"/>
  <c r="AF123" i="26" s="1"/>
  <c r="AF119" i="25"/>
  <c r="AF121" i="25" s="1"/>
  <c r="AF118" i="25"/>
  <c r="AF128" i="25"/>
  <c r="AF129" i="25"/>
  <c r="AF131" i="25" s="1"/>
  <c r="S95" i="44" l="1"/>
  <c r="S114" i="6" s="1"/>
  <c r="S116" i="6" s="1"/>
  <c r="R18" i="47"/>
  <c r="R27" i="47" s="1"/>
  <c r="S29" i="47" s="1"/>
  <c r="S33" i="25" s="1"/>
  <c r="S124" i="26" s="1"/>
  <c r="U33" i="38" s="1"/>
  <c r="S165" i="21"/>
  <c r="S69" i="48"/>
  <c r="S70" i="48" s="1"/>
  <c r="S72" i="48" s="1"/>
  <c r="S158" i="21"/>
  <c r="S177" i="21"/>
  <c r="U30" i="35"/>
  <c r="S28" i="26"/>
  <c r="S76" i="26" s="1"/>
  <c r="T135" i="21"/>
  <c r="T126" i="21"/>
  <c r="T123" i="6"/>
  <c r="T172" i="26" s="1"/>
  <c r="T92" i="6"/>
  <c r="S167" i="26"/>
  <c r="P45" i="35"/>
  <c r="Z45" i="35"/>
  <c r="X45" i="35"/>
  <c r="W45" i="35"/>
  <c r="Y45" i="35"/>
  <c r="S203" i="26"/>
  <c r="S206" i="26" s="1"/>
  <c r="U121" i="21"/>
  <c r="U43" i="21"/>
  <c r="U44" i="21" s="1"/>
  <c r="U120" i="21"/>
  <c r="U122" i="21"/>
  <c r="P81" i="35"/>
  <c r="W81" i="35"/>
  <c r="Z81" i="35"/>
  <c r="X81" i="35"/>
  <c r="Y81" i="35"/>
  <c r="P13" i="38"/>
  <c r="Z13" i="38"/>
  <c r="W13" i="38"/>
  <c r="X13" i="38"/>
  <c r="Y13" i="38"/>
  <c r="P32" i="35"/>
  <c r="Y32" i="35"/>
  <c r="X32" i="35"/>
  <c r="Z32" i="35"/>
  <c r="W32" i="35"/>
  <c r="P61" i="35"/>
  <c r="Y61" i="35"/>
  <c r="W61" i="35"/>
  <c r="X61" i="35"/>
  <c r="Z61" i="35"/>
  <c r="P31" i="35"/>
  <c r="Z31" i="35"/>
  <c r="Y31" i="35"/>
  <c r="X31" i="35"/>
  <c r="W31" i="35"/>
  <c r="U130" i="21"/>
  <c r="U131" i="21"/>
  <c r="U129" i="21"/>
  <c r="U51" i="21"/>
  <c r="J23" i="39"/>
  <c r="V23" i="39"/>
  <c r="Q23" i="39"/>
  <c r="N23" i="39"/>
  <c r="K23" i="39"/>
  <c r="X23" i="39"/>
  <c r="Y23" i="39"/>
  <c r="Z23" i="39"/>
  <c r="W23" i="39"/>
  <c r="O23" i="39"/>
  <c r="M23" i="39"/>
  <c r="U23" i="39"/>
  <c r="R23" i="39"/>
  <c r="S23" i="39"/>
  <c r="AA23" i="39"/>
  <c r="P23" i="39"/>
  <c r="L23" i="39"/>
  <c r="T23" i="39"/>
  <c r="U56" i="21"/>
  <c r="T81" i="21"/>
  <c r="T16" i="39"/>
  <c r="U16" i="39"/>
  <c r="W16" i="39"/>
  <c r="M16" i="39"/>
  <c r="X16" i="39"/>
  <c r="N16" i="39"/>
  <c r="Q16" i="39"/>
  <c r="K16" i="39"/>
  <c r="J16" i="39"/>
  <c r="L16" i="39"/>
  <c r="S16" i="39"/>
  <c r="Y16" i="39"/>
  <c r="Z16" i="39"/>
  <c r="V16" i="39"/>
  <c r="O16" i="39"/>
  <c r="R16" i="39"/>
  <c r="P16" i="39"/>
  <c r="AA16" i="39"/>
  <c r="P27" i="38"/>
  <c r="Y27" i="38"/>
  <c r="W27" i="38"/>
  <c r="X27" i="38"/>
  <c r="Z27" i="38"/>
  <c r="T27" i="39"/>
  <c r="N27" i="39"/>
  <c r="AA27" i="39"/>
  <c r="K27" i="39"/>
  <c r="W27" i="39"/>
  <c r="X27" i="39"/>
  <c r="Q27" i="39"/>
  <c r="Z27" i="39"/>
  <c r="M27" i="39"/>
  <c r="L27" i="39"/>
  <c r="J27" i="39"/>
  <c r="P27" i="39"/>
  <c r="R27" i="39"/>
  <c r="U27" i="39"/>
  <c r="S27" i="39"/>
  <c r="V27" i="39"/>
  <c r="O27" i="39"/>
  <c r="Y27" i="39"/>
  <c r="AC15" i="6"/>
  <c r="AC21" i="6" s="1"/>
  <c r="AB160" i="26"/>
  <c r="U87" i="21"/>
  <c r="U116" i="21" s="1"/>
  <c r="U121" i="6" s="1"/>
  <c r="V122" i="6" s="1"/>
  <c r="V21" i="25" s="1"/>
  <c r="V114" i="26" s="1"/>
  <c r="Q175" i="26"/>
  <c r="R26" i="47"/>
  <c r="AA161" i="26"/>
  <c r="AB31" i="6"/>
  <c r="AB34" i="6" s="1"/>
  <c r="AB161" i="26" s="1"/>
  <c r="U18" i="35"/>
  <c r="S24" i="26"/>
  <c r="S25" i="26" s="1"/>
  <c r="AG123" i="22"/>
  <c r="AG154" i="26" s="1"/>
  <c r="AG123" i="48"/>
  <c r="AG38" i="22"/>
  <c r="AG153" i="26" s="1"/>
  <c r="AG120" i="48"/>
  <c r="AF18" i="48"/>
  <c r="AF31" i="48"/>
  <c r="AF32" i="48" s="1"/>
  <c r="AF33" i="48" s="1"/>
  <c r="AF77" i="48"/>
  <c r="AF12" i="26" s="1"/>
  <c r="AG200" i="48"/>
  <c r="AE19" i="6"/>
  <c r="AG182" i="22"/>
  <c r="AG17" i="47" s="1"/>
  <c r="AG126" i="48"/>
  <c r="AG181" i="48"/>
  <c r="AG152" i="21"/>
  <c r="AG150" i="21"/>
  <c r="AG61" i="26"/>
  <c r="AG151" i="21"/>
  <c r="AE32" i="48"/>
  <c r="AE79" i="26" s="1"/>
  <c r="AE18" i="6"/>
  <c r="AC25" i="6"/>
  <c r="AC28" i="6" s="1"/>
  <c r="AG163" i="48"/>
  <c r="AG132" i="48"/>
  <c r="AG45" i="26"/>
  <c r="AG142" i="21"/>
  <c r="AG143" i="21"/>
  <c r="AG141" i="21"/>
  <c r="AG129" i="48"/>
  <c r="AG114" i="48"/>
  <c r="AG203" i="48"/>
  <c r="AF78" i="48"/>
  <c r="AF102" i="6" s="1"/>
  <c r="AE66" i="48"/>
  <c r="AG28" i="48"/>
  <c r="AG171" i="26"/>
  <c r="AD39" i="44"/>
  <c r="AD43" i="44" s="1"/>
  <c r="AD37" i="44"/>
  <c r="AG206" i="48"/>
  <c r="AC16" i="25"/>
  <c r="AC109" i="26" s="1"/>
  <c r="AC108" i="6"/>
  <c r="AC109" i="6" s="1"/>
  <c r="AD54" i="44"/>
  <c r="AD57" i="44" s="1"/>
  <c r="AD51" i="44"/>
  <c r="AF76" i="44"/>
  <c r="AF89" i="44" s="1"/>
  <c r="AF164" i="21"/>
  <c r="AF63" i="26"/>
  <c r="AF60" i="26" s="1"/>
  <c r="AG215" i="48"/>
  <c r="AE63" i="48"/>
  <c r="AE18" i="21"/>
  <c r="AE55" i="21" s="1"/>
  <c r="AE60" i="48"/>
  <c r="AE13" i="21"/>
  <c r="AE50" i="21" s="1"/>
  <c r="AE86" i="21" s="1"/>
  <c r="AF13" i="48"/>
  <c r="AE24" i="48"/>
  <c r="AE61" i="48"/>
  <c r="AE64" i="48"/>
  <c r="AG212" i="48"/>
  <c r="AG155" i="26"/>
  <c r="AG117" i="48"/>
  <c r="AG197" i="48"/>
  <c r="AF47" i="26"/>
  <c r="AF44" i="26" s="1"/>
  <c r="AF163" i="21"/>
  <c r="AF60" i="44"/>
  <c r="AF73" i="44" s="1"/>
  <c r="AD25" i="6"/>
  <c r="AD28" i="6" s="1"/>
  <c r="AD40" i="6"/>
  <c r="AD11" i="25"/>
  <c r="AD101" i="26" s="1"/>
  <c r="AD108" i="6"/>
  <c r="AD16" i="25"/>
  <c r="AD109" i="26" s="1"/>
  <c r="AG115" i="25"/>
  <c r="AF183" i="26"/>
  <c r="AG125" i="25"/>
  <c r="AF184" i="26"/>
  <c r="AF181" i="26"/>
  <c r="AG145" i="25"/>
  <c r="AG135" i="25"/>
  <c r="AF185" i="26"/>
  <c r="S17" i="25" l="1"/>
  <c r="S110" i="26" s="1"/>
  <c r="U19" i="38" s="1"/>
  <c r="S16" i="47"/>
  <c r="R30" i="47"/>
  <c r="R175" i="26" s="1"/>
  <c r="T169" i="21"/>
  <c r="T20" i="25"/>
  <c r="T113" i="26" s="1"/>
  <c r="T161" i="21"/>
  <c r="T19" i="26" s="1"/>
  <c r="T24" i="26" s="1"/>
  <c r="T25" i="26" s="1"/>
  <c r="U120" i="6"/>
  <c r="U123" i="6" s="1"/>
  <c r="T175" i="21"/>
  <c r="T172" i="21"/>
  <c r="T12" i="44"/>
  <c r="T25" i="44" s="1"/>
  <c r="T91" i="44" s="1"/>
  <c r="T94" i="44" s="1"/>
  <c r="T93" i="6" s="1"/>
  <c r="T95" i="6" s="1"/>
  <c r="T155" i="21"/>
  <c r="T156" i="21" s="1"/>
  <c r="T19" i="25" s="1"/>
  <c r="T112" i="26" s="1"/>
  <c r="AC31" i="6"/>
  <c r="T31" i="26"/>
  <c r="T28" i="26" s="1"/>
  <c r="T76" i="26" s="1"/>
  <c r="T162" i="21"/>
  <c r="J11" i="39"/>
  <c r="M11" i="39"/>
  <c r="O11" i="39"/>
  <c r="V11" i="39"/>
  <c r="P11" i="39"/>
  <c r="U11" i="39"/>
  <c r="T11" i="39"/>
  <c r="W11" i="39"/>
  <c r="X11" i="39"/>
  <c r="N11" i="39"/>
  <c r="S11" i="39"/>
  <c r="Z11" i="39"/>
  <c r="R11" i="39"/>
  <c r="K11" i="39"/>
  <c r="Y11" i="39"/>
  <c r="AA11" i="39"/>
  <c r="Q11" i="39"/>
  <c r="L11" i="39"/>
  <c r="S77" i="26"/>
  <c r="S82" i="26" s="1"/>
  <c r="S26" i="26"/>
  <c r="S210" i="26"/>
  <c r="S211" i="26" s="1"/>
  <c r="S15" i="47" s="1"/>
  <c r="R12" i="39"/>
  <c r="Y12" i="39"/>
  <c r="S12" i="39"/>
  <c r="Q12" i="39"/>
  <c r="N12" i="39"/>
  <c r="W12" i="39"/>
  <c r="P12" i="39"/>
  <c r="T12" i="39"/>
  <c r="M12" i="39"/>
  <c r="AA12" i="39"/>
  <c r="L12" i="39"/>
  <c r="Z12" i="39"/>
  <c r="J12" i="39"/>
  <c r="V12" i="39"/>
  <c r="X12" i="39"/>
  <c r="K12" i="39"/>
  <c r="U12" i="39"/>
  <c r="O12" i="39"/>
  <c r="R28" i="39"/>
  <c r="L28" i="39"/>
  <c r="Z28" i="39"/>
  <c r="J28" i="39"/>
  <c r="K28" i="39"/>
  <c r="T28" i="39"/>
  <c r="U28" i="39"/>
  <c r="Y28" i="39"/>
  <c r="O28" i="39"/>
  <c r="X28" i="39"/>
  <c r="AA28" i="39"/>
  <c r="V28" i="39"/>
  <c r="Q28" i="39"/>
  <c r="W28" i="39"/>
  <c r="S28" i="39"/>
  <c r="P28" i="39"/>
  <c r="N28" i="39"/>
  <c r="M28" i="39"/>
  <c r="V92" i="21"/>
  <c r="V30" i="26" s="1"/>
  <c r="V19" i="21"/>
  <c r="V18" i="26"/>
  <c r="P44" i="35"/>
  <c r="Z44" i="35"/>
  <c r="X44" i="35"/>
  <c r="W44" i="35"/>
  <c r="Y44" i="35"/>
  <c r="V10" i="39"/>
  <c r="O10" i="39"/>
  <c r="X10" i="39"/>
  <c r="AA10" i="39"/>
  <c r="U10" i="39"/>
  <c r="R10" i="39"/>
  <c r="N10" i="39"/>
  <c r="S10" i="39"/>
  <c r="L10" i="39"/>
  <c r="Z10" i="39"/>
  <c r="J10" i="39"/>
  <c r="K10" i="39"/>
  <c r="M10" i="39"/>
  <c r="W10" i="39"/>
  <c r="Q10" i="39"/>
  <c r="T10" i="39"/>
  <c r="P10" i="39"/>
  <c r="Y10" i="39"/>
  <c r="V20" i="26"/>
  <c r="AD15" i="6"/>
  <c r="AD21" i="6" s="1"/>
  <c r="AC160" i="26"/>
  <c r="T113" i="6"/>
  <c r="S173" i="26"/>
  <c r="U29" i="26"/>
  <c r="U132" i="21"/>
  <c r="U134" i="21"/>
  <c r="U133" i="21"/>
  <c r="P60" i="35"/>
  <c r="Y60" i="35"/>
  <c r="Z60" i="35"/>
  <c r="W60" i="35"/>
  <c r="X60" i="35"/>
  <c r="V14" i="21"/>
  <c r="U80" i="21"/>
  <c r="U123" i="21"/>
  <c r="U125" i="21"/>
  <c r="U124" i="21"/>
  <c r="S207" i="26"/>
  <c r="AC11" i="25"/>
  <c r="AC101" i="26" s="1"/>
  <c r="AG144" i="21"/>
  <c r="AG60" i="44" s="1"/>
  <c r="AG73" i="44" s="1"/>
  <c r="AE16" i="26"/>
  <c r="AE201" i="26" s="1"/>
  <c r="AE202" i="26" s="1"/>
  <c r="AF18" i="6"/>
  <c r="AG153" i="21"/>
  <c r="AG63" i="26" s="1"/>
  <c r="AG156" i="26"/>
  <c r="AE91" i="21"/>
  <c r="AF16" i="48"/>
  <c r="AC22" i="47"/>
  <c r="AC33" i="6"/>
  <c r="AF79" i="26"/>
  <c r="AF35" i="48"/>
  <c r="AG23" i="25"/>
  <c r="AG116" i="26" s="1"/>
  <c r="AC40" i="6"/>
  <c r="AC43" i="6" s="1"/>
  <c r="AF19" i="6"/>
  <c r="AF65" i="48"/>
  <c r="AG136" i="48"/>
  <c r="AF26" i="6"/>
  <c r="AG209" i="48"/>
  <c r="AG219" i="48" s="1"/>
  <c r="AD106" i="6"/>
  <c r="AD109" i="6" s="1"/>
  <c r="AC169" i="26"/>
  <c r="AE22" i="26"/>
  <c r="AE107" i="6"/>
  <c r="AC21" i="26"/>
  <c r="AE33" i="48"/>
  <c r="AG47" i="48" s="1"/>
  <c r="AF27" i="6"/>
  <c r="AG191" i="48"/>
  <c r="AG23" i="48" s="1"/>
  <c r="AG78" i="48"/>
  <c r="AG102" i="6" s="1"/>
  <c r="AF66" i="48"/>
  <c r="AD33" i="6"/>
  <c r="AD22" i="47"/>
  <c r="AD21" i="26"/>
  <c r="AG26" i="6"/>
  <c r="AG149" i="25"/>
  <c r="AG31" i="25" s="1"/>
  <c r="AG123" i="26" s="1"/>
  <c r="AG147" i="25"/>
  <c r="AG139" i="25"/>
  <c r="AG141" i="25" s="1"/>
  <c r="AG138" i="25"/>
  <c r="AG129" i="25"/>
  <c r="AG131" i="25" s="1"/>
  <c r="AG128" i="25"/>
  <c r="AG119" i="25"/>
  <c r="AG121" i="25" s="1"/>
  <c r="AG118" i="25"/>
  <c r="S14" i="47" l="1"/>
  <c r="S18" i="47" s="1"/>
  <c r="S27" i="47" s="1"/>
  <c r="T29" i="47" s="1"/>
  <c r="T33" i="25" s="1"/>
  <c r="T124" i="26" s="1"/>
  <c r="S26" i="47"/>
  <c r="T69" i="48"/>
  <c r="T70" i="48" s="1"/>
  <c r="T72" i="48" s="1"/>
  <c r="T165" i="21"/>
  <c r="T95" i="44"/>
  <c r="T114" i="6" s="1"/>
  <c r="T116" i="6" s="1"/>
  <c r="T158" i="21"/>
  <c r="AC34" i="6"/>
  <c r="AD31" i="6" s="1"/>
  <c r="AD34" i="6" s="1"/>
  <c r="T177" i="21"/>
  <c r="U126" i="21"/>
  <c r="U135" i="21"/>
  <c r="P32" i="38"/>
  <c r="W32" i="38"/>
  <c r="Y32" i="38"/>
  <c r="X32" i="38"/>
  <c r="Z32" i="38"/>
  <c r="P25" i="38"/>
  <c r="Y25" i="38"/>
  <c r="X25" i="38"/>
  <c r="Z25" i="38"/>
  <c r="W25" i="38"/>
  <c r="U172" i="26"/>
  <c r="V120" i="6"/>
  <c r="AE15" i="6"/>
  <c r="AD160" i="26"/>
  <c r="V131" i="21"/>
  <c r="V130" i="21"/>
  <c r="V129" i="21"/>
  <c r="T77" i="26"/>
  <c r="T82" i="26" s="1"/>
  <c r="T26" i="26"/>
  <c r="V43" i="21"/>
  <c r="V44" i="21" s="1"/>
  <c r="V121" i="21"/>
  <c r="V120" i="21"/>
  <c r="V122" i="21"/>
  <c r="V56" i="21"/>
  <c r="AG60" i="26"/>
  <c r="P62" i="35"/>
  <c r="X62" i="35"/>
  <c r="W62" i="35"/>
  <c r="Y62" i="35"/>
  <c r="Z62" i="35"/>
  <c r="S158" i="26"/>
  <c r="T205" i="26"/>
  <c r="T203" i="26" s="1"/>
  <c r="T206" i="26" s="1"/>
  <c r="V87" i="21"/>
  <c r="V116" i="21" s="1"/>
  <c r="V121" i="6" s="1"/>
  <c r="W122" i="6" s="1"/>
  <c r="W21" i="25" s="1"/>
  <c r="W114" i="26" s="1"/>
  <c r="V51" i="21"/>
  <c r="U92" i="6"/>
  <c r="T167" i="26"/>
  <c r="U81" i="21"/>
  <c r="S18" i="25"/>
  <c r="S111" i="26" s="1"/>
  <c r="U20" i="38" s="1"/>
  <c r="AG47" i="26"/>
  <c r="AG163" i="21"/>
  <c r="AG164" i="21"/>
  <c r="AE34" i="44"/>
  <c r="AE40" i="44" s="1"/>
  <c r="AE50" i="44"/>
  <c r="AE56" i="44" s="1"/>
  <c r="AE49" i="44"/>
  <c r="AE55" i="44" s="1"/>
  <c r="AE35" i="44"/>
  <c r="AE41" i="44" s="1"/>
  <c r="AE48" i="44"/>
  <c r="AE54" i="44" s="1"/>
  <c r="AE33" i="44"/>
  <c r="AE39" i="44" s="1"/>
  <c r="AE47" i="44"/>
  <c r="AE53" i="44" s="1"/>
  <c r="AE36" i="44"/>
  <c r="AE42" i="44" s="1"/>
  <c r="AG76" i="44"/>
  <c r="AG89" i="44" s="1"/>
  <c r="AF13" i="47"/>
  <c r="AF23" i="26"/>
  <c r="AF16" i="26"/>
  <c r="AF35" i="44" s="1"/>
  <c r="AF41" i="44" s="1"/>
  <c r="AE103" i="6"/>
  <c r="AG15" i="48"/>
  <c r="AG18" i="48" s="1"/>
  <c r="AD169" i="26"/>
  <c r="AE106" i="6"/>
  <c r="AD38" i="6"/>
  <c r="AD43" i="6" s="1"/>
  <c r="AC168" i="26"/>
  <c r="AG57" i="48"/>
  <c r="AG24" i="6" s="1"/>
  <c r="AG62" i="48"/>
  <c r="AF32" i="6"/>
  <c r="AE35" i="48"/>
  <c r="AE65" i="48"/>
  <c r="AF47" i="48"/>
  <c r="AE54" i="48"/>
  <c r="AG27" i="6"/>
  <c r="AF107" i="6"/>
  <c r="AF22" i="26"/>
  <c r="AF13" i="21"/>
  <c r="AF50" i="21" s="1"/>
  <c r="AG13" i="48"/>
  <c r="AF63" i="48"/>
  <c r="AF61" i="48"/>
  <c r="AF24" i="48"/>
  <c r="AF18" i="21"/>
  <c r="AF55" i="21" s="1"/>
  <c r="AF60" i="48"/>
  <c r="AF64" i="48"/>
  <c r="AG30" i="48"/>
  <c r="AG184" i="26"/>
  <c r="AG181" i="26"/>
  <c r="AG183" i="26"/>
  <c r="AG185" i="26"/>
  <c r="S21" i="47" l="1"/>
  <c r="T16" i="47"/>
  <c r="AC161" i="26"/>
  <c r="U12" i="44"/>
  <c r="U25" i="44" s="1"/>
  <c r="U91" i="44" s="1"/>
  <c r="U94" i="44" s="1"/>
  <c r="U93" i="6" s="1"/>
  <c r="U95" i="6" s="1"/>
  <c r="U175" i="21"/>
  <c r="U169" i="21"/>
  <c r="U20" i="25"/>
  <c r="U113" i="26" s="1"/>
  <c r="U161" i="21"/>
  <c r="U19" i="26" s="1"/>
  <c r="U24" i="26" s="1"/>
  <c r="U25" i="26" s="1"/>
  <c r="U155" i="21"/>
  <c r="U156" i="21" s="1"/>
  <c r="U19" i="25" s="1"/>
  <c r="U112" i="26" s="1"/>
  <c r="S30" i="47"/>
  <c r="T26" i="47" s="1"/>
  <c r="U31" i="26"/>
  <c r="U28" i="26" s="1"/>
  <c r="U76" i="26" s="1"/>
  <c r="U162" i="21"/>
  <c r="U172" i="21"/>
  <c r="T17" i="25"/>
  <c r="T110" i="26" s="1"/>
  <c r="O42" i="39"/>
  <c r="P42" i="39"/>
  <c r="Z42" i="39"/>
  <c r="R42" i="39"/>
  <c r="T42" i="39"/>
  <c r="K42" i="39"/>
  <c r="L42" i="39"/>
  <c r="Q42" i="39"/>
  <c r="X42" i="39"/>
  <c r="N42" i="39"/>
  <c r="W42" i="39"/>
  <c r="Y42" i="39"/>
  <c r="J42" i="39"/>
  <c r="AA42" i="39"/>
  <c r="M42" i="39"/>
  <c r="V42" i="39"/>
  <c r="U42" i="39"/>
  <c r="S42" i="39"/>
  <c r="L127" i="36"/>
  <c r="J127" i="36"/>
  <c r="T207" i="26"/>
  <c r="T210" i="26"/>
  <c r="T211" i="26" s="1"/>
  <c r="T15" i="47" s="1"/>
  <c r="W20" i="26"/>
  <c r="T173" i="26"/>
  <c r="U113" i="6"/>
  <c r="K40" i="39"/>
  <c r="Z40" i="39"/>
  <c r="Q40" i="39"/>
  <c r="J40" i="39"/>
  <c r="N40" i="39"/>
  <c r="L40" i="39"/>
  <c r="Y40" i="39"/>
  <c r="X40" i="39"/>
  <c r="P40" i="39"/>
  <c r="W40" i="39"/>
  <c r="T40" i="39"/>
  <c r="O40" i="39"/>
  <c r="R40" i="39"/>
  <c r="V40" i="39"/>
  <c r="M40" i="39"/>
  <c r="U40" i="39"/>
  <c r="AA40" i="39"/>
  <c r="S40" i="39"/>
  <c r="L41" i="39"/>
  <c r="X41" i="39"/>
  <c r="N41" i="39"/>
  <c r="AA41" i="39"/>
  <c r="R41" i="39"/>
  <c r="Z41" i="39"/>
  <c r="K41" i="39"/>
  <c r="Q41" i="39"/>
  <c r="U41" i="39"/>
  <c r="M41" i="39"/>
  <c r="T41" i="39"/>
  <c r="W41" i="39"/>
  <c r="O41" i="39"/>
  <c r="J41" i="39"/>
  <c r="Y41" i="39"/>
  <c r="S41" i="39"/>
  <c r="P41" i="39"/>
  <c r="V41" i="39"/>
  <c r="V29" i="26"/>
  <c r="V132" i="21"/>
  <c r="V134" i="21"/>
  <c r="V133" i="21"/>
  <c r="L126" i="36"/>
  <c r="J126" i="36"/>
  <c r="V124" i="21"/>
  <c r="V80" i="21"/>
  <c r="V125" i="21"/>
  <c r="V123" i="21"/>
  <c r="W87" i="21"/>
  <c r="W14" i="21"/>
  <c r="W92" i="21"/>
  <c r="W30" i="26" s="1"/>
  <c r="W19" i="21"/>
  <c r="V38" i="39"/>
  <c r="O38" i="39"/>
  <c r="U38" i="39"/>
  <c r="J38" i="39"/>
  <c r="R38" i="39"/>
  <c r="S38" i="39"/>
  <c r="M38" i="39"/>
  <c r="AA38" i="39"/>
  <c r="X38" i="39"/>
  <c r="N38" i="39"/>
  <c r="L38" i="39"/>
  <c r="K38" i="39"/>
  <c r="W38" i="39"/>
  <c r="Z38" i="39"/>
  <c r="Q38" i="39"/>
  <c r="P38" i="39"/>
  <c r="Y38" i="39"/>
  <c r="T38" i="39"/>
  <c r="AG44" i="26"/>
  <c r="P46" i="35"/>
  <c r="X46" i="35"/>
  <c r="Z46" i="35"/>
  <c r="Y46" i="35"/>
  <c r="W46" i="35"/>
  <c r="W18" i="26"/>
  <c r="T14" i="47"/>
  <c r="V123" i="6"/>
  <c r="AG19" i="6"/>
  <c r="AE43" i="44"/>
  <c r="AE57" i="44"/>
  <c r="AE37" i="44"/>
  <c r="AE51" i="44"/>
  <c r="AF201" i="26"/>
  <c r="AF202" i="26" s="1"/>
  <c r="AF48" i="44"/>
  <c r="AF54" i="44" s="1"/>
  <c r="AF33" i="44"/>
  <c r="AF39" i="44" s="1"/>
  <c r="AF86" i="21"/>
  <c r="AF34" i="44"/>
  <c r="AF40" i="44" s="1"/>
  <c r="AF36" i="44"/>
  <c r="AF42" i="44" s="1"/>
  <c r="AF47" i="44"/>
  <c r="AF53" i="44" s="1"/>
  <c r="AF50" i="44"/>
  <c r="AF56" i="44" s="1"/>
  <c r="AF49" i="44"/>
  <c r="AF55" i="44" s="1"/>
  <c r="AE31" i="6"/>
  <c r="AD161" i="26"/>
  <c r="AE23" i="26"/>
  <c r="AE13" i="47"/>
  <c r="AE32" i="6"/>
  <c r="AE16" i="25"/>
  <c r="AE109" i="26" s="1"/>
  <c r="AE108" i="6"/>
  <c r="AE109" i="6" s="1"/>
  <c r="AE16" i="6"/>
  <c r="AE55" i="48"/>
  <c r="AD168" i="26"/>
  <c r="AE38" i="6"/>
  <c r="AG16" i="48"/>
  <c r="AF91" i="21"/>
  <c r="AG77" i="48"/>
  <c r="AG12" i="26" s="1"/>
  <c r="AG31" i="48"/>
  <c r="AG32" i="48" s="1"/>
  <c r="AG33" i="48" s="1"/>
  <c r="AF57" i="48"/>
  <c r="AF24" i="6" s="1"/>
  <c r="AF62" i="48"/>
  <c r="AF54" i="48"/>
  <c r="AF16" i="6" s="1"/>
  <c r="U95" i="44" l="1"/>
  <c r="U114" i="6" s="1"/>
  <c r="U116" i="6" s="1"/>
  <c r="U69" i="48"/>
  <c r="U70" i="48" s="1"/>
  <c r="U72" i="48" s="1"/>
  <c r="S175" i="26"/>
  <c r="U158" i="21"/>
  <c r="U165" i="21"/>
  <c r="V126" i="21"/>
  <c r="V135" i="21"/>
  <c r="U177" i="21"/>
  <c r="W116" i="21"/>
  <c r="W121" i="6" s="1"/>
  <c r="X122" i="6" s="1"/>
  <c r="X21" i="25" s="1"/>
  <c r="X114" i="26" s="1"/>
  <c r="U77" i="26"/>
  <c r="U82" i="26" s="1"/>
  <c r="U26" i="26"/>
  <c r="T21" i="47"/>
  <c r="T18" i="47"/>
  <c r="T27" i="47" s="1"/>
  <c r="U29" i="47" s="1"/>
  <c r="U33" i="25" s="1"/>
  <c r="U124" i="26" s="1"/>
  <c r="W122" i="21"/>
  <c r="W43" i="21"/>
  <c r="W44" i="21" s="1"/>
  <c r="W120" i="21"/>
  <c r="W121" i="21"/>
  <c r="U205" i="26"/>
  <c r="T158" i="26"/>
  <c r="W131" i="21"/>
  <c r="W130" i="21"/>
  <c r="W129" i="21"/>
  <c r="W51" i="21"/>
  <c r="V92" i="6"/>
  <c r="U167" i="26"/>
  <c r="V172" i="26"/>
  <c r="W120" i="6"/>
  <c r="W56" i="21"/>
  <c r="V81" i="21"/>
  <c r="T18" i="25"/>
  <c r="T111" i="26" s="1"/>
  <c r="Y14" i="35"/>
  <c r="W14" i="35"/>
  <c r="Z14" i="35"/>
  <c r="X14" i="35"/>
  <c r="Y12" i="35"/>
  <c r="X12" i="35"/>
  <c r="Z12" i="35"/>
  <c r="W12" i="35"/>
  <c r="Y11" i="35"/>
  <c r="W11" i="35"/>
  <c r="Z11" i="35"/>
  <c r="X11" i="35"/>
  <c r="AF37" i="44"/>
  <c r="AF43" i="44"/>
  <c r="AF51" i="44"/>
  <c r="AF57" i="44"/>
  <c r="AG65" i="48"/>
  <c r="AG35" i="48"/>
  <c r="AG54" i="48"/>
  <c r="AG16" i="6" s="1"/>
  <c r="AE25" i="6"/>
  <c r="AE28" i="6" s="1"/>
  <c r="AE40" i="6"/>
  <c r="AE43" i="6" s="1"/>
  <c r="AG13" i="21"/>
  <c r="AG50" i="21" s="1"/>
  <c r="AG86" i="21" s="1"/>
  <c r="AG24" i="48"/>
  <c r="AG63" i="48"/>
  <c r="AG18" i="21"/>
  <c r="AG55" i="21" s="1"/>
  <c r="AG91" i="21" s="1"/>
  <c r="AG60" i="48"/>
  <c r="AG64" i="48"/>
  <c r="AG61" i="48"/>
  <c r="AE169" i="26"/>
  <c r="AF106" i="6"/>
  <c r="AG66" i="48"/>
  <c r="AG79" i="26"/>
  <c r="AF53" i="48"/>
  <c r="AF55" i="48" s="1"/>
  <c r="O142" i="36"/>
  <c r="AE21" i="6"/>
  <c r="U17" i="25" l="1"/>
  <c r="U110" i="26" s="1"/>
  <c r="U16" i="47"/>
  <c r="V169" i="21"/>
  <c r="V69" i="48" s="1"/>
  <c r="V70" i="48" s="1"/>
  <c r="W123" i="6"/>
  <c r="W172" i="26" s="1"/>
  <c r="V162" i="21"/>
  <c r="V172" i="21"/>
  <c r="V161" i="21"/>
  <c r="V19" i="26" s="1"/>
  <c r="V24" i="26" s="1"/>
  <c r="V25" i="26" s="1"/>
  <c r="V20" i="25"/>
  <c r="V113" i="26" s="1"/>
  <c r="V155" i="21"/>
  <c r="V156" i="21" s="1"/>
  <c r="V19" i="25" s="1"/>
  <c r="V112" i="26" s="1"/>
  <c r="V12" i="44"/>
  <c r="V25" i="44" s="1"/>
  <c r="V91" i="44" s="1"/>
  <c r="V94" i="44" s="1"/>
  <c r="V93" i="6" s="1"/>
  <c r="V95" i="6" s="1"/>
  <c r="V175" i="21"/>
  <c r="V31" i="26"/>
  <c r="V28" i="26" s="1"/>
  <c r="V76" i="26" s="1"/>
  <c r="X18" i="26"/>
  <c r="X20" i="26"/>
  <c r="W132" i="21"/>
  <c r="W133" i="21"/>
  <c r="W29" i="26"/>
  <c r="W134" i="21"/>
  <c r="W123" i="21"/>
  <c r="W124" i="21"/>
  <c r="W80" i="21"/>
  <c r="W125" i="21"/>
  <c r="T30" i="47"/>
  <c r="X14" i="21"/>
  <c r="U14" i="47"/>
  <c r="V113" i="6"/>
  <c r="U173" i="26"/>
  <c r="X92" i="21"/>
  <c r="X30" i="26" s="1"/>
  <c r="X19" i="21"/>
  <c r="U203" i="26"/>
  <c r="U206" i="26" s="1"/>
  <c r="X79" i="35"/>
  <c r="Z79" i="35"/>
  <c r="Y79" i="35"/>
  <c r="W79" i="35"/>
  <c r="W13" i="35"/>
  <c r="X13" i="35"/>
  <c r="Z13" i="35"/>
  <c r="Y13" i="35"/>
  <c r="AF38" i="6"/>
  <c r="AE168" i="26"/>
  <c r="AE22" i="47"/>
  <c r="AE33" i="6"/>
  <c r="AE34" i="6" s="1"/>
  <c r="AE21" i="26"/>
  <c r="AE160" i="26"/>
  <c r="AF15" i="6"/>
  <c r="AF21" i="6" s="1"/>
  <c r="AG53" i="48"/>
  <c r="AG55" i="48" s="1"/>
  <c r="AG16" i="26"/>
  <c r="AG35" i="44" s="1"/>
  <c r="AG41" i="44" s="1"/>
  <c r="AG107" i="6"/>
  <c r="AG22" i="26"/>
  <c r="AE11" i="25"/>
  <c r="AE101" i="26" s="1"/>
  <c r="V165" i="21" l="1"/>
  <c r="V95" i="44"/>
  <c r="V16" i="47" s="1"/>
  <c r="X120" i="6"/>
  <c r="V177" i="21"/>
  <c r="V158" i="21"/>
  <c r="W126" i="21"/>
  <c r="W135" i="21"/>
  <c r="W175" i="21" s="1"/>
  <c r="X122" i="21"/>
  <c r="X121" i="21"/>
  <c r="X43" i="21"/>
  <c r="X44" i="21" s="1"/>
  <c r="X120" i="21"/>
  <c r="U26" i="47"/>
  <c r="T175" i="26"/>
  <c r="V26" i="26"/>
  <c r="V77" i="26"/>
  <c r="V82" i="26" s="1"/>
  <c r="X130" i="21"/>
  <c r="X131" i="21"/>
  <c r="X129" i="21"/>
  <c r="V167" i="26"/>
  <c r="W92" i="6"/>
  <c r="X87" i="21"/>
  <c r="X116" i="21" s="1"/>
  <c r="X121" i="6" s="1"/>
  <c r="Y122" i="6" s="1"/>
  <c r="Y21" i="25" s="1"/>
  <c r="Y114" i="26" s="1"/>
  <c r="X51" i="21"/>
  <c r="W81" i="21"/>
  <c r="U210" i="26"/>
  <c r="U211" i="26" s="1"/>
  <c r="U15" i="47" s="1"/>
  <c r="U18" i="47" s="1"/>
  <c r="U27" i="47" s="1"/>
  <c r="V29" i="47" s="1"/>
  <c r="V33" i="25" s="1"/>
  <c r="V124" i="26" s="1"/>
  <c r="X56" i="21"/>
  <c r="V72" i="48"/>
  <c r="U207" i="26"/>
  <c r="Z21" i="35"/>
  <c r="W21" i="35"/>
  <c r="Y21" i="35"/>
  <c r="X21" i="35"/>
  <c r="AG33" i="44"/>
  <c r="AG50" i="44"/>
  <c r="AG56" i="44" s="1"/>
  <c r="AG34" i="44"/>
  <c r="AG40" i="44" s="1"/>
  <c r="AG201" i="26"/>
  <c r="AG202" i="26" s="1"/>
  <c r="AG36" i="44"/>
  <c r="AG42" i="44" s="1"/>
  <c r="AG48" i="44"/>
  <c r="AG54" i="44" s="1"/>
  <c r="AG47" i="44"/>
  <c r="AG49" i="44"/>
  <c r="AG55" i="44" s="1"/>
  <c r="AF31" i="6"/>
  <c r="AE161" i="26"/>
  <c r="AG15" i="6"/>
  <c r="AF160" i="26"/>
  <c r="V114" i="6" l="1"/>
  <c r="V116" i="6" s="1"/>
  <c r="W113" i="6" s="1"/>
  <c r="W169" i="21"/>
  <c r="W69" i="48" s="1"/>
  <c r="W70" i="48" s="1"/>
  <c r="W12" i="44"/>
  <c r="W25" i="44" s="1"/>
  <c r="W91" i="44" s="1"/>
  <c r="W94" i="44" s="1"/>
  <c r="W93" i="6" s="1"/>
  <c r="W95" i="6" s="1"/>
  <c r="W155" i="21"/>
  <c r="W156" i="21" s="1"/>
  <c r="W19" i="25" s="1"/>
  <c r="W112" i="26" s="1"/>
  <c r="W20" i="25"/>
  <c r="W113" i="26" s="1"/>
  <c r="W31" i="26"/>
  <c r="W28" i="26" s="1"/>
  <c r="W76" i="26" s="1"/>
  <c r="W162" i="21"/>
  <c r="W161" i="21"/>
  <c r="W172" i="21"/>
  <c r="U21" i="47"/>
  <c r="U18" i="25"/>
  <c r="U111" i="26" s="1"/>
  <c r="Y87" i="21"/>
  <c r="Y14" i="21"/>
  <c r="Y19" i="21"/>
  <c r="Y92" i="21"/>
  <c r="Y30" i="26" s="1"/>
  <c r="Y20" i="26"/>
  <c r="V14" i="47"/>
  <c r="U30" i="47"/>
  <c r="Y18" i="26"/>
  <c r="V17" i="25"/>
  <c r="V110" i="26" s="1"/>
  <c r="V205" i="26"/>
  <c r="V203" i="26" s="1"/>
  <c r="V206" i="26" s="1"/>
  <c r="U158" i="26"/>
  <c r="X29" i="26"/>
  <c r="X133" i="21"/>
  <c r="X134" i="21"/>
  <c r="X132" i="21"/>
  <c r="X80" i="21"/>
  <c r="X123" i="21"/>
  <c r="X124" i="21"/>
  <c r="X125" i="21"/>
  <c r="X123" i="6"/>
  <c r="AG44" i="21"/>
  <c r="AG39" i="44"/>
  <c r="AG43" i="44" s="1"/>
  <c r="AG37" i="44"/>
  <c r="AG32" i="6"/>
  <c r="AG13" i="47"/>
  <c r="AG23" i="26"/>
  <c r="AG18" i="6"/>
  <c r="AG21" i="6" s="1"/>
  <c r="AG51" i="44"/>
  <c r="AG53" i="44"/>
  <c r="AG57" i="44" s="1"/>
  <c r="V173" i="26" l="1"/>
  <c r="W158" i="21"/>
  <c r="W95" i="44"/>
  <c r="W114" i="6" s="1"/>
  <c r="W116" i="6" s="1"/>
  <c r="W165" i="21"/>
  <c r="W19" i="26"/>
  <c r="W24" i="26" s="1"/>
  <c r="W25" i="26" s="1"/>
  <c r="W77" i="26" s="1"/>
  <c r="W82" i="26" s="1"/>
  <c r="W177" i="21"/>
  <c r="X126" i="21"/>
  <c r="X135" i="21"/>
  <c r="Y116" i="21"/>
  <c r="Y121" i="6" s="1"/>
  <c r="Z122" i="6" s="1"/>
  <c r="Z21" i="25" s="1"/>
  <c r="Z114" i="26" s="1"/>
  <c r="X81" i="21"/>
  <c r="Y120" i="6"/>
  <c r="X172" i="26"/>
  <c r="W72" i="48"/>
  <c r="Y43" i="21"/>
  <c r="Y120" i="21"/>
  <c r="Y122" i="21"/>
  <c r="Y121" i="21"/>
  <c r="U175" i="26"/>
  <c r="V26" i="47"/>
  <c r="X92" i="6"/>
  <c r="W167" i="26"/>
  <c r="Y56" i="21"/>
  <c r="Y51" i="21"/>
  <c r="V207" i="26"/>
  <c r="V210" i="26"/>
  <c r="V211" i="26" s="1"/>
  <c r="V15" i="47" s="1"/>
  <c r="V21" i="47" s="1"/>
  <c r="Y131" i="21"/>
  <c r="Y130" i="21"/>
  <c r="Y129" i="21"/>
  <c r="W22" i="35"/>
  <c r="Z22" i="35"/>
  <c r="Y22" i="35"/>
  <c r="X22" i="35"/>
  <c r="AG160" i="26"/>
  <c r="W14" i="47" l="1"/>
  <c r="W16" i="47"/>
  <c r="X175" i="21"/>
  <c r="W26" i="26"/>
  <c r="X162" i="21"/>
  <c r="X161" i="21"/>
  <c r="X19" i="26" s="1"/>
  <c r="X24" i="26" s="1"/>
  <c r="X25" i="26" s="1"/>
  <c r="X31" i="26"/>
  <c r="X28" i="26" s="1"/>
  <c r="X76" i="26" s="1"/>
  <c r="X12" i="44"/>
  <c r="X25" i="44" s="1"/>
  <c r="X91" i="44" s="1"/>
  <c r="X94" i="44" s="1"/>
  <c r="X95" i="44" s="1"/>
  <c r="X172" i="21"/>
  <c r="X20" i="25"/>
  <c r="X113" i="26" s="1"/>
  <c r="X169" i="21"/>
  <c r="X155" i="21"/>
  <c r="X156" i="21" s="1"/>
  <c r="X19" i="25" s="1"/>
  <c r="X112" i="26" s="1"/>
  <c r="V18" i="25"/>
  <c r="V111" i="26" s="1"/>
  <c r="W17" i="25"/>
  <c r="W110" i="26" s="1"/>
  <c r="V18" i="47"/>
  <c r="V27" i="47" s="1"/>
  <c r="W29" i="47" s="1"/>
  <c r="W33" i="25" s="1"/>
  <c r="W124" i="26" s="1"/>
  <c r="W205" i="26"/>
  <c r="V158" i="26"/>
  <c r="Z14" i="21"/>
  <c r="Y44" i="21"/>
  <c r="Y133" i="21"/>
  <c r="Y132" i="21"/>
  <c r="Y134" i="21"/>
  <c r="Y29" i="26"/>
  <c r="Z92" i="21"/>
  <c r="Z30" i="26" s="1"/>
  <c r="Z19" i="21"/>
  <c r="Y123" i="6"/>
  <c r="W173" i="26"/>
  <c r="X113" i="6"/>
  <c r="Y80" i="21"/>
  <c r="Y125" i="21"/>
  <c r="Y123" i="21"/>
  <c r="Y124" i="21"/>
  <c r="Z18" i="26"/>
  <c r="Z20" i="26"/>
  <c r="U17" i="39"/>
  <c r="Q17" i="39"/>
  <c r="T17" i="39"/>
  <c r="N17" i="39"/>
  <c r="X17" i="39"/>
  <c r="W17" i="39"/>
  <c r="O17" i="39"/>
  <c r="K17" i="39"/>
  <c r="P17" i="39"/>
  <c r="Z17" i="39"/>
  <c r="J17" i="39"/>
  <c r="L17" i="39"/>
  <c r="AA17" i="39"/>
  <c r="R17" i="39"/>
  <c r="Y17" i="39"/>
  <c r="S17" i="39"/>
  <c r="V17" i="39"/>
  <c r="M17" i="39"/>
  <c r="X93" i="6" l="1"/>
  <c r="X95" i="6" s="1"/>
  <c r="X167" i="26" s="1"/>
  <c r="X165" i="21"/>
  <c r="X69" i="48"/>
  <c r="X70" i="48" s="1"/>
  <c r="X177" i="21"/>
  <c r="V30" i="47"/>
  <c r="V175" i="26" s="1"/>
  <c r="X158" i="21"/>
  <c r="Y135" i="21"/>
  <c r="Y126" i="21"/>
  <c r="X26" i="26"/>
  <c r="X77" i="26"/>
  <c r="X82" i="26" s="1"/>
  <c r="X114" i="6"/>
  <c r="X116" i="6" s="1"/>
  <c r="X16" i="47"/>
  <c r="Y172" i="26"/>
  <c r="Z120" i="6"/>
  <c r="Z131" i="21"/>
  <c r="Z130" i="21"/>
  <c r="Z129" i="21"/>
  <c r="Y81" i="21"/>
  <c r="Z56" i="21"/>
  <c r="Z43" i="21"/>
  <c r="Z120" i="21"/>
  <c r="Z122" i="21"/>
  <c r="Z121" i="21"/>
  <c r="Z87" i="21"/>
  <c r="Z116" i="21" s="1"/>
  <c r="Z121" i="6" s="1"/>
  <c r="AA122" i="6" s="1"/>
  <c r="AA21" i="25" s="1"/>
  <c r="AA114" i="26" s="1"/>
  <c r="Z51" i="21"/>
  <c r="W203" i="26"/>
  <c r="W206" i="26" s="1"/>
  <c r="Y92" i="6" l="1"/>
  <c r="Y31" i="26"/>
  <c r="Y28" i="26" s="1"/>
  <c r="Y76" i="26" s="1"/>
  <c r="Y169" i="21"/>
  <c r="Y12" i="44"/>
  <c r="Y25" i="44" s="1"/>
  <c r="Y91" i="44" s="1"/>
  <c r="Y94" i="44" s="1"/>
  <c r="Y95" i="44" s="1"/>
  <c r="Y162" i="21"/>
  <c r="Y172" i="21"/>
  <c r="X72" i="48"/>
  <c r="X14" i="47" s="1"/>
  <c r="Y175" i="21"/>
  <c r="Y161" i="21"/>
  <c r="Y19" i="26" s="1"/>
  <c r="Y24" i="26" s="1"/>
  <c r="Y25" i="26" s="1"/>
  <c r="Y155" i="21"/>
  <c r="Y156" i="21" s="1"/>
  <c r="Y19" i="25" s="1"/>
  <c r="Y112" i="26" s="1"/>
  <c r="W26" i="47"/>
  <c r="Y20" i="25"/>
  <c r="Y113" i="26" s="1"/>
  <c r="W210" i="26"/>
  <c r="W211" i="26" s="1"/>
  <c r="W15" i="47" s="1"/>
  <c r="Z124" i="21"/>
  <c r="Z125" i="21"/>
  <c r="Z123" i="21"/>
  <c r="Z80" i="21"/>
  <c r="AA20" i="26"/>
  <c r="AA14" i="21"/>
  <c r="AA87" i="21"/>
  <c r="W207" i="26"/>
  <c r="Z134" i="21"/>
  <c r="Z29" i="26"/>
  <c r="Z133" i="21"/>
  <c r="Z132" i="21"/>
  <c r="AA18" i="26"/>
  <c r="Z123" i="6"/>
  <c r="AA19" i="21"/>
  <c r="AA92" i="21"/>
  <c r="AA30" i="26" s="1"/>
  <c r="Z44" i="21"/>
  <c r="Y113" i="6"/>
  <c r="X173" i="26"/>
  <c r="Y158" i="21" l="1"/>
  <c r="X17" i="25"/>
  <c r="X110" i="26" s="1"/>
  <c r="Y69" i="48"/>
  <c r="Y70" i="48" s="1"/>
  <c r="Y72" i="48" s="1"/>
  <c r="Y93" i="6"/>
  <c r="Y95" i="6" s="1"/>
  <c r="Y165" i="21"/>
  <c r="Z126" i="21"/>
  <c r="Z20" i="25" s="1"/>
  <c r="Z113" i="26" s="1"/>
  <c r="Y177" i="21"/>
  <c r="Z135" i="21"/>
  <c r="AA116" i="21"/>
  <c r="AA121" i="6" s="1"/>
  <c r="AB122" i="6" s="1"/>
  <c r="AB21" i="25" s="1"/>
  <c r="AB114" i="26" s="1"/>
  <c r="Y77" i="26"/>
  <c r="Y82" i="26" s="1"/>
  <c r="Y26" i="26"/>
  <c r="W158" i="26"/>
  <c r="X205" i="26"/>
  <c r="Z81" i="21"/>
  <c r="W18" i="25"/>
  <c r="W111" i="26" s="1"/>
  <c r="AA56" i="21"/>
  <c r="Y16" i="47"/>
  <c r="Y114" i="6"/>
  <c r="Y116" i="6" s="1"/>
  <c r="AA51" i="21"/>
  <c r="W18" i="47"/>
  <c r="W27" i="47" s="1"/>
  <c r="W21" i="47"/>
  <c r="AA129" i="21"/>
  <c r="AA130" i="21"/>
  <c r="AA131" i="21"/>
  <c r="Z172" i="26"/>
  <c r="AA120" i="6"/>
  <c r="AA121" i="21"/>
  <c r="AA122" i="21"/>
  <c r="AA43" i="21"/>
  <c r="AA120" i="21"/>
  <c r="Y167" i="26" l="1"/>
  <c r="Z92" i="6"/>
  <c r="Z162" i="21"/>
  <c r="Y17" i="25"/>
  <c r="Y110" i="26" s="1"/>
  <c r="Z169" i="21"/>
  <c r="Z161" i="21"/>
  <c r="Z31" i="26"/>
  <c r="Z28" i="26" s="1"/>
  <c r="Z76" i="26" s="1"/>
  <c r="Z12" i="44"/>
  <c r="Z25" i="44" s="1"/>
  <c r="Z91" i="44" s="1"/>
  <c r="Z94" i="44" s="1"/>
  <c r="Z93" i="6" s="1"/>
  <c r="Z155" i="21"/>
  <c r="Z156" i="21" s="1"/>
  <c r="Z19" i="25" s="1"/>
  <c r="Z112" i="26" s="1"/>
  <c r="Z175" i="21"/>
  <c r="Z172" i="21"/>
  <c r="X29" i="47"/>
  <c r="X33" i="25" s="1"/>
  <c r="X124" i="26" s="1"/>
  <c r="W30" i="47"/>
  <c r="AA80" i="21"/>
  <c r="AA125" i="21"/>
  <c r="AA124" i="21"/>
  <c r="AA123" i="21"/>
  <c r="AB14" i="21"/>
  <c r="AB87" i="21"/>
  <c r="AB18" i="26"/>
  <c r="AB19" i="21"/>
  <c r="AA44" i="21"/>
  <c r="X203" i="26"/>
  <c r="X206" i="26" s="1"/>
  <c r="X207" i="26" s="1"/>
  <c r="AA123" i="6"/>
  <c r="AB20" i="26"/>
  <c r="Y173" i="26"/>
  <c r="Z113" i="6"/>
  <c r="AA134" i="21"/>
  <c r="AA132" i="21"/>
  <c r="AA133" i="21"/>
  <c r="AA29" i="26"/>
  <c r="Y14" i="47" l="1"/>
  <c r="Z95" i="6"/>
  <c r="Z167" i="26" s="1"/>
  <c r="Z165" i="21"/>
  <c r="Z69" i="48"/>
  <c r="Z70" i="48" s="1"/>
  <c r="Z19" i="26"/>
  <c r="Z24" i="26" s="1"/>
  <c r="Z25" i="26" s="1"/>
  <c r="Z95" i="44"/>
  <c r="Z114" i="6" s="1"/>
  <c r="Z116" i="6" s="1"/>
  <c r="Z177" i="21"/>
  <c r="Z158" i="21"/>
  <c r="AA135" i="21"/>
  <c r="AA31" i="26" s="1"/>
  <c r="AA126" i="21"/>
  <c r="AA161" i="21" s="1"/>
  <c r="X158" i="26"/>
  <c r="Y205" i="26"/>
  <c r="Y203" i="26" s="1"/>
  <c r="Y206" i="26" s="1"/>
  <c r="AB130" i="21"/>
  <c r="AB131" i="21"/>
  <c r="AB129" i="21"/>
  <c r="AB120" i="21"/>
  <c r="AB121" i="21"/>
  <c r="AB43" i="21"/>
  <c r="AB122" i="21"/>
  <c r="AB120" i="6"/>
  <c r="AA172" i="26"/>
  <c r="AB92" i="21"/>
  <c r="AB30" i="26" s="1"/>
  <c r="AB56" i="21"/>
  <c r="AA81" i="21"/>
  <c r="X210" i="26"/>
  <c r="X211" i="26" s="1"/>
  <c r="X15" i="47" s="1"/>
  <c r="AB51" i="21"/>
  <c r="W175" i="26"/>
  <c r="X26" i="47"/>
  <c r="AA92" i="6" l="1"/>
  <c r="Z16" i="47"/>
  <c r="Z72" i="48"/>
  <c r="AA169" i="21"/>
  <c r="AA175" i="21"/>
  <c r="AA12" i="44"/>
  <c r="AA25" i="44" s="1"/>
  <c r="AA91" i="44" s="1"/>
  <c r="AA94" i="44" s="1"/>
  <c r="AA93" i="6" s="1"/>
  <c r="AA162" i="21"/>
  <c r="AA165" i="21" s="1"/>
  <c r="AA155" i="21"/>
  <c r="AA156" i="21" s="1"/>
  <c r="AA19" i="25" s="1"/>
  <c r="AA112" i="26" s="1"/>
  <c r="AA20" i="25"/>
  <c r="AA113" i="26" s="1"/>
  <c r="AA172" i="21"/>
  <c r="AB116" i="21"/>
  <c r="AB121" i="6" s="1"/>
  <c r="AC122" i="6" s="1"/>
  <c r="AC21" i="25" s="1"/>
  <c r="AC114" i="26" s="1"/>
  <c r="AA113" i="6"/>
  <c r="Z173" i="26"/>
  <c r="Y207" i="26"/>
  <c r="Y210" i="26"/>
  <c r="Y211" i="26" s="1"/>
  <c r="Y15" i="47" s="1"/>
  <c r="AA19" i="26"/>
  <c r="AA28" i="26"/>
  <c r="AA76" i="26" s="1"/>
  <c r="X18" i="25"/>
  <c r="X111" i="26" s="1"/>
  <c r="AC20" i="26"/>
  <c r="AC14" i="21"/>
  <c r="AC87" i="21"/>
  <c r="AB124" i="21"/>
  <c r="AB123" i="21"/>
  <c r="AB80" i="21"/>
  <c r="AB125" i="21"/>
  <c r="Z77" i="26"/>
  <c r="Z82" i="26" s="1"/>
  <c r="Z26" i="26"/>
  <c r="X21" i="47"/>
  <c r="X18" i="47"/>
  <c r="X27" i="47" s="1"/>
  <c r="AC18" i="26"/>
  <c r="AB29" i="26"/>
  <c r="AB133" i="21"/>
  <c r="AB134" i="21"/>
  <c r="AB132" i="21"/>
  <c r="AC92" i="21"/>
  <c r="AC30" i="26" s="1"/>
  <c r="AC19" i="21"/>
  <c r="AB44" i="21"/>
  <c r="L149" i="36"/>
  <c r="O149" i="36"/>
  <c r="AA95" i="6" l="1"/>
  <c r="AB92" i="6" s="1"/>
  <c r="AA69" i="48"/>
  <c r="AA70" i="48" s="1"/>
  <c r="Z14" i="47"/>
  <c r="AA95" i="44"/>
  <c r="AA16" i="47" s="1"/>
  <c r="Z17" i="25"/>
  <c r="Z110" i="26" s="1"/>
  <c r="AA158" i="21"/>
  <c r="AA177" i="21"/>
  <c r="AB123" i="6"/>
  <c r="AC120" i="6" s="1"/>
  <c r="AB126" i="21"/>
  <c r="AB135" i="21"/>
  <c r="AC116" i="21"/>
  <c r="AC121" i="6" s="1"/>
  <c r="AD122" i="6" s="1"/>
  <c r="AD21" i="25" s="1"/>
  <c r="AD114" i="26" s="1"/>
  <c r="AC51" i="21"/>
  <c r="Y18" i="25"/>
  <c r="Y111" i="26" s="1"/>
  <c r="AC129" i="21"/>
  <c r="AC131" i="21"/>
  <c r="AC130" i="21"/>
  <c r="AC43" i="21"/>
  <c r="AC121" i="21"/>
  <c r="AC122" i="21"/>
  <c r="AC120" i="21"/>
  <c r="AA24" i="26"/>
  <c r="AA25" i="26" s="1"/>
  <c r="Y21" i="47"/>
  <c r="Y18" i="47"/>
  <c r="Y27" i="47" s="1"/>
  <c r="AC56" i="21"/>
  <c r="X30" i="47"/>
  <c r="Y29" i="47"/>
  <c r="Y33" i="25" s="1"/>
  <c r="Y124" i="26" s="1"/>
  <c r="AB81" i="21"/>
  <c r="Y158" i="26"/>
  <c r="Z205" i="26"/>
  <c r="L142" i="36"/>
  <c r="AA167" i="26" l="1"/>
  <c r="AA72" i="48"/>
  <c r="AA14" i="47" s="1"/>
  <c r="AA114" i="6"/>
  <c r="AA116" i="6" s="1"/>
  <c r="AB113" i="6" s="1"/>
  <c r="AB172" i="26"/>
  <c r="AB20" i="25"/>
  <c r="AB113" i="26" s="1"/>
  <c r="AB161" i="21"/>
  <c r="AB19" i="26" s="1"/>
  <c r="AB12" i="44"/>
  <c r="AB25" i="44" s="1"/>
  <c r="AB91" i="44" s="1"/>
  <c r="AB94" i="44" s="1"/>
  <c r="AB95" i="44" s="1"/>
  <c r="AB169" i="21"/>
  <c r="AB162" i="21"/>
  <c r="AB175" i="21"/>
  <c r="AB155" i="21"/>
  <c r="AB156" i="21" s="1"/>
  <c r="AB19" i="25" s="1"/>
  <c r="AB112" i="26" s="1"/>
  <c r="AC123" i="6"/>
  <c r="AD120" i="6" s="1"/>
  <c r="AB172" i="21"/>
  <c r="AB31" i="26"/>
  <c r="AB28" i="26" s="1"/>
  <c r="AB76" i="26" s="1"/>
  <c r="Z29" i="47"/>
  <c r="Z33" i="25" s="1"/>
  <c r="Z124" i="26" s="1"/>
  <c r="AC125" i="21"/>
  <c r="AC124" i="21"/>
  <c r="AC123" i="21"/>
  <c r="AC80" i="21"/>
  <c r="AD14" i="21"/>
  <c r="AD92" i="21"/>
  <c r="AD30" i="26" s="1"/>
  <c r="AD19" i="21"/>
  <c r="Z203" i="26"/>
  <c r="Z206" i="26" s="1"/>
  <c r="Z207" i="26" s="1"/>
  <c r="AC29" i="26"/>
  <c r="AC132" i="21"/>
  <c r="AC133" i="21"/>
  <c r="AC134" i="21"/>
  <c r="AC44" i="21"/>
  <c r="AD20" i="26"/>
  <c r="X175" i="26"/>
  <c r="Y26" i="47"/>
  <c r="Y30" i="47" s="1"/>
  <c r="AA77" i="26"/>
  <c r="AA82" i="26" s="1"/>
  <c r="AA26" i="26"/>
  <c r="AD18" i="26"/>
  <c r="AA17" i="25" l="1"/>
  <c r="AA110" i="26" s="1"/>
  <c r="AB165" i="21"/>
  <c r="AA173" i="26"/>
  <c r="AB93" i="6"/>
  <c r="AB95" i="6" s="1"/>
  <c r="AB167" i="26" s="1"/>
  <c r="AB69" i="48"/>
  <c r="AB70" i="48" s="1"/>
  <c r="AC172" i="26"/>
  <c r="AB177" i="21"/>
  <c r="AB158" i="21"/>
  <c r="AC135" i="21"/>
  <c r="AC12" i="44" s="1"/>
  <c r="AC25" i="44" s="1"/>
  <c r="AC91" i="44" s="1"/>
  <c r="AC94" i="44" s="1"/>
  <c r="AC126" i="21"/>
  <c r="AC20" i="25" s="1"/>
  <c r="AC113" i="26" s="1"/>
  <c r="AB24" i="26"/>
  <c r="AB25" i="26" s="1"/>
  <c r="AD43" i="21"/>
  <c r="AD44" i="21" s="1"/>
  <c r="AD120" i="21"/>
  <c r="AD121" i="21"/>
  <c r="AD122" i="21"/>
  <c r="AC81" i="21"/>
  <c r="AB16" i="47"/>
  <c r="AB114" i="6"/>
  <c r="AB116" i="6" s="1"/>
  <c r="AD130" i="21"/>
  <c r="AD129" i="21"/>
  <c r="AD131" i="21"/>
  <c r="AD51" i="21"/>
  <c r="Z26" i="47"/>
  <c r="Y175" i="26"/>
  <c r="Z158" i="26"/>
  <c r="AA205" i="26"/>
  <c r="AA203" i="26" s="1"/>
  <c r="AA206" i="26" s="1"/>
  <c r="AD56" i="21"/>
  <c r="Z210" i="26"/>
  <c r="Z211" i="26" s="1"/>
  <c r="Z15" i="47" s="1"/>
  <c r="AD87" i="21"/>
  <c r="AD116" i="21" s="1"/>
  <c r="AD121" i="6" s="1"/>
  <c r="AE122" i="6" s="1"/>
  <c r="AE21" i="25" s="1"/>
  <c r="AE114" i="26" s="1"/>
  <c r="O148" i="36"/>
  <c r="AB72" i="48" l="1"/>
  <c r="AB17" i="25" s="1"/>
  <c r="AB110" i="26" s="1"/>
  <c r="AC92" i="6"/>
  <c r="AC175" i="21"/>
  <c r="AC31" i="26"/>
  <c r="AC28" i="26" s="1"/>
  <c r="AC76" i="26" s="1"/>
  <c r="AC162" i="21"/>
  <c r="AC172" i="21"/>
  <c r="AC155" i="21"/>
  <c r="AC156" i="21" s="1"/>
  <c r="AC19" i="25" s="1"/>
  <c r="AC112" i="26" s="1"/>
  <c r="AC161" i="21"/>
  <c r="AC19" i="26" s="1"/>
  <c r="AC169" i="21"/>
  <c r="AC69" i="48" s="1"/>
  <c r="AC70" i="48" s="1"/>
  <c r="AD123" i="6"/>
  <c r="AD172" i="26" s="1"/>
  <c r="Z18" i="25"/>
  <c r="Z111" i="26" s="1"/>
  <c r="AD125" i="21"/>
  <c r="AD80" i="21"/>
  <c r="AD124" i="21"/>
  <c r="AD123" i="21"/>
  <c r="AB173" i="26"/>
  <c r="AC113" i="6"/>
  <c r="AC93" i="6"/>
  <c r="AC95" i="44"/>
  <c r="AB26" i="26"/>
  <c r="AB77" i="26"/>
  <c r="AB82" i="26" s="1"/>
  <c r="AE14" i="21"/>
  <c r="AE87" i="21"/>
  <c r="AE18" i="26"/>
  <c r="Z18" i="47"/>
  <c r="Z27" i="47" s="1"/>
  <c r="Z21" i="47"/>
  <c r="AE92" i="21"/>
  <c r="AE30" i="26" s="1"/>
  <c r="AE19" i="21"/>
  <c r="AE20" i="26"/>
  <c r="AA207" i="26"/>
  <c r="AA210" i="26"/>
  <c r="AA211" i="26" s="1"/>
  <c r="AA15" i="47" s="1"/>
  <c r="AD132" i="21"/>
  <c r="AD133" i="21"/>
  <c r="AD134" i="21"/>
  <c r="AD29" i="26"/>
  <c r="H22" i="47"/>
  <c r="AB14" i="47" l="1"/>
  <c r="AC95" i="6"/>
  <c r="AD92" i="6" s="1"/>
  <c r="AC165" i="21"/>
  <c r="AE120" i="6"/>
  <c r="AC158" i="21"/>
  <c r="AC177" i="21"/>
  <c r="AD126" i="21"/>
  <c r="AD169" i="21" s="1"/>
  <c r="AE116" i="21"/>
  <c r="AE121" i="6" s="1"/>
  <c r="AF122" i="6" s="1"/>
  <c r="AF21" i="25" s="1"/>
  <c r="AF114" i="26" s="1"/>
  <c r="AD135" i="21"/>
  <c r="AA21" i="47"/>
  <c r="AA18" i="47"/>
  <c r="AA27" i="47" s="1"/>
  <c r="AB29" i="47" s="1"/>
  <c r="AB33" i="25" s="1"/>
  <c r="AB124" i="26" s="1"/>
  <c r="AE56" i="21"/>
  <c r="AA29" i="47"/>
  <c r="AA33" i="25" s="1"/>
  <c r="AA124" i="26" s="1"/>
  <c r="AB205" i="26"/>
  <c r="AA158" i="26"/>
  <c r="AC72" i="48"/>
  <c r="AC24" i="26"/>
  <c r="AC25" i="26" s="1"/>
  <c r="AE51" i="21"/>
  <c r="AC16" i="47"/>
  <c r="AC114" i="6"/>
  <c r="AC116" i="6" s="1"/>
  <c r="Z30" i="47"/>
  <c r="AA18" i="25"/>
  <c r="AA111" i="26" s="1"/>
  <c r="AE131" i="21"/>
  <c r="AE130" i="21"/>
  <c r="AE129" i="21"/>
  <c r="AE120" i="21"/>
  <c r="AE122" i="21"/>
  <c r="AE43" i="21"/>
  <c r="AE44" i="21" s="1"/>
  <c r="AE121" i="21"/>
  <c r="AD81" i="21"/>
  <c r="AC167" i="26" l="1"/>
  <c r="AD162" i="21"/>
  <c r="AD31" i="26"/>
  <c r="AD28" i="26" s="1"/>
  <c r="AD76" i="26" s="1"/>
  <c r="AD172" i="21"/>
  <c r="AD12" i="44"/>
  <c r="AD25" i="44" s="1"/>
  <c r="AD91" i="44" s="1"/>
  <c r="AD94" i="44" s="1"/>
  <c r="AD93" i="6" s="1"/>
  <c r="AD95" i="6" s="1"/>
  <c r="AD175" i="21"/>
  <c r="AD161" i="21"/>
  <c r="AD19" i="26" s="1"/>
  <c r="AD20" i="25"/>
  <c r="AD113" i="26" s="1"/>
  <c r="AD155" i="21"/>
  <c r="AD156" i="21" s="1"/>
  <c r="AD19" i="25" s="1"/>
  <c r="AD112" i="26" s="1"/>
  <c r="AE123" i="6"/>
  <c r="AF120" i="6" s="1"/>
  <c r="AD113" i="6"/>
  <c r="AC173" i="26"/>
  <c r="AD69" i="48"/>
  <c r="AD70" i="48" s="1"/>
  <c r="AF19" i="21"/>
  <c r="AB203" i="26"/>
  <c r="AB206" i="26" s="1"/>
  <c r="AB207" i="26" s="1"/>
  <c r="AE132" i="21"/>
  <c r="AE29" i="26"/>
  <c r="AE133" i="21"/>
  <c r="AE134" i="21"/>
  <c r="AA26" i="47"/>
  <c r="AA30" i="47" s="1"/>
  <c r="Z175" i="26"/>
  <c r="AF18" i="26"/>
  <c r="AF20" i="26"/>
  <c r="AE80" i="21"/>
  <c r="AE123" i="21"/>
  <c r="AE124" i="21"/>
  <c r="AE125" i="21"/>
  <c r="AC77" i="26"/>
  <c r="AC82" i="26" s="1"/>
  <c r="AC26" i="26"/>
  <c r="AF14" i="21"/>
  <c r="AC17" i="25" l="1"/>
  <c r="AC110" i="26" s="1"/>
  <c r="AC14" i="47"/>
  <c r="AD165" i="21"/>
  <c r="AD158" i="21"/>
  <c r="AD95" i="44"/>
  <c r="AD16" i="47" s="1"/>
  <c r="AD177" i="21"/>
  <c r="AE172" i="26"/>
  <c r="AE126" i="21"/>
  <c r="AE135" i="21"/>
  <c r="AE172" i="21" s="1"/>
  <c r="AB26" i="47"/>
  <c r="AA175" i="26"/>
  <c r="AF56" i="21"/>
  <c r="AD72" i="48"/>
  <c r="AF87" i="21"/>
  <c r="AF51" i="21"/>
  <c r="AE81" i="21"/>
  <c r="AE92" i="6"/>
  <c r="AD167" i="26"/>
  <c r="AC205" i="26"/>
  <c r="AC203" i="26" s="1"/>
  <c r="AC206" i="26" s="1"/>
  <c r="AB158" i="26"/>
  <c r="AF92" i="21"/>
  <c r="AF30" i="26" s="1"/>
  <c r="AD24" i="26"/>
  <c r="AD25" i="26" s="1"/>
  <c r="AF43" i="21"/>
  <c r="AF44" i="21" s="1"/>
  <c r="AF120" i="21"/>
  <c r="AF121" i="21"/>
  <c r="AF122" i="21"/>
  <c r="AB210" i="26"/>
  <c r="AB211" i="26" s="1"/>
  <c r="AB15" i="47" s="1"/>
  <c r="AF129" i="21"/>
  <c r="AF130" i="21"/>
  <c r="AF131" i="21"/>
  <c r="AD114" i="6" l="1"/>
  <c r="AD116" i="6" s="1"/>
  <c r="AD173" i="26" s="1"/>
  <c r="AE20" i="25"/>
  <c r="AE113" i="26" s="1"/>
  <c r="AE169" i="21"/>
  <c r="AE155" i="21"/>
  <c r="AE156" i="21" s="1"/>
  <c r="AE19" i="25" s="1"/>
  <c r="AE112" i="26" s="1"/>
  <c r="AE161" i="21"/>
  <c r="AE19" i="26" s="1"/>
  <c r="AE24" i="26" s="1"/>
  <c r="AE25" i="26" s="1"/>
  <c r="AE12" i="44"/>
  <c r="AE25" i="44" s="1"/>
  <c r="AE91" i="44" s="1"/>
  <c r="AE94" i="44" s="1"/>
  <c r="AE95" i="44" s="1"/>
  <c r="AE31" i="26"/>
  <c r="AE28" i="26" s="1"/>
  <c r="AE76" i="26" s="1"/>
  <c r="AE162" i="21"/>
  <c r="AE175" i="21"/>
  <c r="AB18" i="25"/>
  <c r="AB111" i="26" s="1"/>
  <c r="AC207" i="26"/>
  <c r="AC210" i="26"/>
  <c r="AC211" i="26" s="1"/>
  <c r="AC15" i="47" s="1"/>
  <c r="AG19" i="21"/>
  <c r="AF123" i="21"/>
  <c r="AF124" i="21"/>
  <c r="AF125" i="21"/>
  <c r="AF80" i="21"/>
  <c r="AF134" i="21"/>
  <c r="AF29" i="26"/>
  <c r="AF133" i="21"/>
  <c r="AF132" i="21"/>
  <c r="AG14" i="21"/>
  <c r="AG87" i="21"/>
  <c r="AF116" i="21"/>
  <c r="AF121" i="6" s="1"/>
  <c r="AD14" i="47"/>
  <c r="AD26" i="26"/>
  <c r="AD77" i="26"/>
  <c r="AD82" i="26" s="1"/>
  <c r="AD17" i="25"/>
  <c r="AD110" i="26" s="1"/>
  <c r="AB18" i="47"/>
  <c r="AB27" i="47" s="1"/>
  <c r="AB30" i="47" s="1"/>
  <c r="AB21" i="47"/>
  <c r="AG18" i="26"/>
  <c r="AG20" i="26"/>
  <c r="J51" i="47"/>
  <c r="K51" i="47"/>
  <c r="N51" i="47"/>
  <c r="AE113" i="6" l="1"/>
  <c r="AE93" i="6"/>
  <c r="AE95" i="6" s="1"/>
  <c r="AE167" i="26" s="1"/>
  <c r="AE69" i="48"/>
  <c r="AE70" i="48" s="1"/>
  <c r="AE72" i="48" s="1"/>
  <c r="AE165" i="21"/>
  <c r="AE158" i="21"/>
  <c r="AE177" i="21"/>
  <c r="AF135" i="21"/>
  <c r="AF162" i="21" s="1"/>
  <c r="AF126" i="21"/>
  <c r="AG122" i="21"/>
  <c r="AG120" i="21"/>
  <c r="AG43" i="21"/>
  <c r="AG121" i="21"/>
  <c r="AY280" i="36"/>
  <c r="AX280" i="36"/>
  <c r="AG92" i="21"/>
  <c r="AG30" i="26" s="1"/>
  <c r="AG56" i="21"/>
  <c r="W19" i="35"/>
  <c r="X19" i="35"/>
  <c r="Z19" i="35"/>
  <c r="Y19" i="35"/>
  <c r="AC29" i="47"/>
  <c r="AC33" i="25" s="1"/>
  <c r="AC124" i="26" s="1"/>
  <c r="AG122" i="6"/>
  <c r="AG21" i="25" s="1"/>
  <c r="AG114" i="26" s="1"/>
  <c r="AF123" i="6"/>
  <c r="AC18" i="25"/>
  <c r="AC111" i="26" s="1"/>
  <c r="AC21" i="47"/>
  <c r="AC18" i="47"/>
  <c r="AC27" i="47" s="1"/>
  <c r="AB175" i="26"/>
  <c r="AC26" i="47"/>
  <c r="AE114" i="6"/>
  <c r="AE16" i="47"/>
  <c r="X17" i="35"/>
  <c r="Z17" i="35"/>
  <c r="W17" i="35"/>
  <c r="Y17" i="35"/>
  <c r="AE26" i="26"/>
  <c r="AE77" i="26"/>
  <c r="AE82" i="26" s="1"/>
  <c r="AG51" i="21"/>
  <c r="AF81" i="21"/>
  <c r="AG129" i="21"/>
  <c r="AG130" i="21"/>
  <c r="AG131" i="21"/>
  <c r="AY281" i="36"/>
  <c r="AX281" i="36"/>
  <c r="AC158" i="26"/>
  <c r="AD205" i="26"/>
  <c r="I103" i="25"/>
  <c r="J38" i="36"/>
  <c r="L167" i="36"/>
  <c r="O167" i="36"/>
  <c r="J49" i="47"/>
  <c r="J50" i="47" s="1"/>
  <c r="K49" i="47"/>
  <c r="K50" i="47" s="1"/>
  <c r="N49" i="47"/>
  <c r="N50" i="47" s="1"/>
  <c r="L147" i="36"/>
  <c r="O147" i="36"/>
  <c r="AE116" i="6" l="1"/>
  <c r="AE173" i="26" s="1"/>
  <c r="AF92" i="6"/>
  <c r="AF172" i="21"/>
  <c r="AF175" i="21"/>
  <c r="AF12" i="44"/>
  <c r="AF25" i="44" s="1"/>
  <c r="AF91" i="44" s="1"/>
  <c r="AF94" i="44" s="1"/>
  <c r="AF95" i="44" s="1"/>
  <c r="AF31" i="26"/>
  <c r="AF28" i="26" s="1"/>
  <c r="AF76" i="26" s="1"/>
  <c r="AE17" i="25"/>
  <c r="AE110" i="26" s="1"/>
  <c r="AF155" i="21"/>
  <c r="AF156" i="21" s="1"/>
  <c r="AF19" i="25" s="1"/>
  <c r="AF112" i="26" s="1"/>
  <c r="AF161" i="21"/>
  <c r="AF19" i="26" s="1"/>
  <c r="AC30" i="47"/>
  <c r="AD26" i="47" s="1"/>
  <c r="AF20" i="25"/>
  <c r="AF113" i="26" s="1"/>
  <c r="AF169" i="21"/>
  <c r="AF172" i="26"/>
  <c r="AG120" i="6"/>
  <c r="Y29" i="35"/>
  <c r="Z29" i="35"/>
  <c r="W29" i="35"/>
  <c r="X29" i="35"/>
  <c r="L116" i="36"/>
  <c r="J116" i="36"/>
  <c r="AG116" i="21"/>
  <c r="AG121" i="6" s="1"/>
  <c r="Y23" i="38"/>
  <c r="X23" i="38"/>
  <c r="Z23" i="38"/>
  <c r="W23" i="38"/>
  <c r="AD203" i="26"/>
  <c r="AD206" i="26" s="1"/>
  <c r="AG125" i="21"/>
  <c r="AG80" i="21"/>
  <c r="AG123" i="21"/>
  <c r="AG124" i="21"/>
  <c r="AD29" i="47"/>
  <c r="AD33" i="25" s="1"/>
  <c r="AD124" i="26" s="1"/>
  <c r="AE14" i="47"/>
  <c r="AG29" i="26"/>
  <c r="AG134" i="21"/>
  <c r="AG133" i="21"/>
  <c r="AG132" i="21"/>
  <c r="I118" i="48"/>
  <c r="M51" i="47"/>
  <c r="L51" i="47"/>
  <c r="AC42" i="36"/>
  <c r="I157" i="48"/>
  <c r="I127" i="48"/>
  <c r="I124" i="48"/>
  <c r="V57" i="35"/>
  <c r="V69" i="35"/>
  <c r="V49" i="35"/>
  <c r="V67" i="35"/>
  <c r="AC45" i="36"/>
  <c r="V73" i="35"/>
  <c r="I115" i="48"/>
  <c r="Q59" i="35"/>
  <c r="M59" i="35"/>
  <c r="L43" i="35"/>
  <c r="V55" i="35"/>
  <c r="I133" i="48"/>
  <c r="V54" i="35"/>
  <c r="Q43" i="35"/>
  <c r="L59" i="35"/>
  <c r="U23" i="35"/>
  <c r="S27" i="35"/>
  <c r="I121" i="48"/>
  <c r="Q27" i="35"/>
  <c r="U15" i="35"/>
  <c r="I28" i="44"/>
  <c r="I87" i="44"/>
  <c r="I69" i="44"/>
  <c r="I79" i="44"/>
  <c r="I15" i="44"/>
  <c r="I88" i="44"/>
  <c r="I65" i="44"/>
  <c r="I84" i="44"/>
  <c r="I61" i="44"/>
  <c r="I83" i="44"/>
  <c r="I68" i="44"/>
  <c r="I63" i="44"/>
  <c r="I18" i="44"/>
  <c r="I21" i="44"/>
  <c r="I64" i="44"/>
  <c r="I16" i="44"/>
  <c r="I81" i="44"/>
  <c r="I72" i="44"/>
  <c r="I22" i="44"/>
  <c r="I70" i="44"/>
  <c r="I71" i="44"/>
  <c r="I66" i="44"/>
  <c r="I85" i="44"/>
  <c r="I24" i="44"/>
  <c r="I67" i="44"/>
  <c r="I17" i="44"/>
  <c r="I19" i="44"/>
  <c r="I77" i="44"/>
  <c r="I82" i="44"/>
  <c r="I23" i="44"/>
  <c r="I20" i="44"/>
  <c r="I86" i="44"/>
  <c r="I80" i="44"/>
  <c r="I62" i="44"/>
  <c r="I78" i="44"/>
  <c r="I113" i="48"/>
  <c r="I147" i="48"/>
  <c r="I217" i="48"/>
  <c r="I116" i="48"/>
  <c r="I14" i="48"/>
  <c r="I205" i="48"/>
  <c r="I214" i="48"/>
  <c r="I122" i="48"/>
  <c r="I208" i="48"/>
  <c r="I40" i="48"/>
  <c r="I131" i="48"/>
  <c r="I199" i="48"/>
  <c r="I161" i="48"/>
  <c r="I134" i="48"/>
  <c r="I38" i="48"/>
  <c r="I67" i="48"/>
  <c r="I140" i="48"/>
  <c r="I202" i="48"/>
  <c r="I125" i="48"/>
  <c r="I149" i="48"/>
  <c r="I143" i="48"/>
  <c r="I39" i="48"/>
  <c r="I194" i="48"/>
  <c r="I119" i="48"/>
  <c r="I211" i="48"/>
  <c r="I158" i="48"/>
  <c r="I146" i="48"/>
  <c r="I152" i="48"/>
  <c r="I196" i="48"/>
  <c r="I155" i="48"/>
  <c r="I128" i="48"/>
  <c r="I29" i="48"/>
  <c r="I68" i="48"/>
  <c r="J37" i="36"/>
  <c r="AC51" i="36"/>
  <c r="J46" i="36"/>
  <c r="AC36" i="36"/>
  <c r="J44" i="36"/>
  <c r="J36" i="36"/>
  <c r="J45" i="36"/>
  <c r="I178" i="22"/>
  <c r="I113" i="22"/>
  <c r="I15" i="22"/>
  <c r="I97" i="22"/>
  <c r="I70" i="22"/>
  <c r="I114" i="22"/>
  <c r="I71" i="22"/>
  <c r="I84" i="22"/>
  <c r="I44" i="22"/>
  <c r="I45" i="22"/>
  <c r="I55" i="22"/>
  <c r="I13" i="22"/>
  <c r="I115" i="22"/>
  <c r="I58" i="22"/>
  <c r="I141" i="22"/>
  <c r="I29" i="22"/>
  <c r="I179" i="22"/>
  <c r="I133" i="22"/>
  <c r="I128" i="22"/>
  <c r="I47" i="22"/>
  <c r="I87" i="22"/>
  <c r="I28" i="22"/>
  <c r="I11" i="22"/>
  <c r="I142" i="22"/>
  <c r="I89" i="22"/>
  <c r="I24" i="22"/>
  <c r="I107" i="22"/>
  <c r="I131" i="22"/>
  <c r="I61" i="22"/>
  <c r="I62" i="22"/>
  <c r="I81" i="22"/>
  <c r="I99" i="22"/>
  <c r="I146" i="22"/>
  <c r="I110" i="22"/>
  <c r="I14" i="22"/>
  <c r="I73" i="22"/>
  <c r="I96" i="22"/>
  <c r="I26" i="22"/>
  <c r="I147" i="22"/>
  <c r="I139" i="22"/>
  <c r="I143" i="22"/>
  <c r="I145" i="22"/>
  <c r="I129" i="22"/>
  <c r="I12" i="22"/>
  <c r="I74" i="22"/>
  <c r="I98" i="22"/>
  <c r="I132" i="22"/>
  <c r="I30" i="22"/>
  <c r="I117" i="22"/>
  <c r="I59" i="22"/>
  <c r="I25" i="22"/>
  <c r="I130" i="22"/>
  <c r="I48" i="22"/>
  <c r="I111" i="22"/>
  <c r="I83" i="22"/>
  <c r="I88" i="22"/>
  <c r="I46" i="22"/>
  <c r="I22" i="22"/>
  <c r="I85" i="22"/>
  <c r="I63" i="22"/>
  <c r="I57" i="22"/>
  <c r="I72" i="22"/>
  <c r="I100" i="22"/>
  <c r="I109" i="22"/>
  <c r="V62" i="35"/>
  <c r="V85" i="35"/>
  <c r="L15" i="38"/>
  <c r="O15" i="35"/>
  <c r="K23" i="35"/>
  <c r="V24" i="38"/>
  <c r="V13" i="35"/>
  <c r="L64" i="36" s="1"/>
  <c r="V12" i="35"/>
  <c r="L63" i="36" s="1"/>
  <c r="V36" i="35"/>
  <c r="V20" i="35"/>
  <c r="V22" i="35"/>
  <c r="V48" i="35"/>
  <c r="R15" i="35"/>
  <c r="N15" i="35"/>
  <c r="V29" i="38"/>
  <c r="V71" i="35"/>
  <c r="V46" i="35"/>
  <c r="V19" i="35"/>
  <c r="V50" i="35"/>
  <c r="Q23" i="35"/>
  <c r="N27" i="35"/>
  <c r="V51" i="38"/>
  <c r="L168" i="36" s="1"/>
  <c r="R59" i="35"/>
  <c r="P43" i="35"/>
  <c r="V74" i="35"/>
  <c r="V79" i="35"/>
  <c r="L74" i="36" s="1"/>
  <c r="J15" i="38"/>
  <c r="V10" i="38"/>
  <c r="J27" i="35"/>
  <c r="V28" i="35"/>
  <c r="I126" i="25"/>
  <c r="I132" i="25"/>
  <c r="I146" i="25"/>
  <c r="H146" i="25" s="1"/>
  <c r="I122" i="25"/>
  <c r="I137" i="25"/>
  <c r="I75" i="25"/>
  <c r="I49" i="25"/>
  <c r="I54" i="25"/>
  <c r="I136" i="25"/>
  <c r="I127" i="25"/>
  <c r="I55" i="25"/>
  <c r="I60" i="25"/>
  <c r="I117" i="25"/>
  <c r="I116" i="25"/>
  <c r="I50" i="25"/>
  <c r="I59" i="25"/>
  <c r="I142" i="25"/>
  <c r="O59" i="35"/>
  <c r="V30" i="35"/>
  <c r="V21" i="35"/>
  <c r="V41" i="35"/>
  <c r="P23" i="35"/>
  <c r="O23" i="35"/>
  <c r="K47" i="38"/>
  <c r="M23" i="35"/>
  <c r="V39" i="35"/>
  <c r="V17" i="35"/>
  <c r="J23" i="35"/>
  <c r="V58" i="35"/>
  <c r="V18" i="38"/>
  <c r="J35" i="38"/>
  <c r="V12" i="38"/>
  <c r="V63" i="35"/>
  <c r="V18" i="35"/>
  <c r="V51" i="35"/>
  <c r="F246" i="1"/>
  <c r="G251" i="1"/>
  <c r="F241" i="1"/>
  <c r="G248" i="1"/>
  <c r="F248" i="1"/>
  <c r="F239" i="1"/>
  <c r="G241" i="1"/>
  <c r="F240" i="1"/>
  <c r="F249" i="1"/>
  <c r="G240" i="1"/>
  <c r="F252" i="1"/>
  <c r="F254" i="1"/>
  <c r="G254" i="1"/>
  <c r="G246" i="1"/>
  <c r="G245" i="1"/>
  <c r="F245" i="1"/>
  <c r="G252" i="1"/>
  <c r="F251" i="1"/>
  <c r="G249" i="1"/>
  <c r="G239" i="1"/>
  <c r="R23" i="35"/>
  <c r="S15" i="35"/>
  <c r="L23" i="35"/>
  <c r="P59" i="35"/>
  <c r="V26" i="38"/>
  <c r="T27" i="35"/>
  <c r="R27" i="35"/>
  <c r="V32" i="38"/>
  <c r="K27" i="35"/>
  <c r="T59" i="35"/>
  <c r="R43" i="35"/>
  <c r="V52" i="35"/>
  <c r="V66" i="35"/>
  <c r="V37" i="35"/>
  <c r="V19" i="38"/>
  <c r="V42" i="35"/>
  <c r="V38" i="35"/>
  <c r="I61" i="47"/>
  <c r="L49" i="47"/>
  <c r="L50" i="47" s="1"/>
  <c r="AG56" i="47" s="1"/>
  <c r="K180" i="22"/>
  <c r="I330" i="1"/>
  <c r="I346" i="1"/>
  <c r="I352" i="1"/>
  <c r="I358" i="1"/>
  <c r="E358" i="1" s="1"/>
  <c r="F316" i="1" s="1"/>
  <c r="H316" i="1" s="1"/>
  <c r="I341" i="1"/>
  <c r="I340" i="1"/>
  <c r="I347" i="1"/>
  <c r="I353" i="1"/>
  <c r="P27" i="35"/>
  <c r="V44" i="38"/>
  <c r="V43" i="38"/>
  <c r="V78" i="35"/>
  <c r="L73" i="36" s="1"/>
  <c r="V32" i="35"/>
  <c r="V53" i="35"/>
  <c r="V23" i="38"/>
  <c r="V81" i="35"/>
  <c r="T15" i="35"/>
  <c r="P15" i="35"/>
  <c r="K43" i="35"/>
  <c r="V33" i="35"/>
  <c r="V14" i="35"/>
  <c r="L65" i="36" s="1"/>
  <c r="J47" i="38"/>
  <c r="O27" i="35"/>
  <c r="M27" i="35"/>
  <c r="N23" i="35"/>
  <c r="N59" i="35"/>
  <c r="O43" i="35"/>
  <c r="V33" i="38"/>
  <c r="V34" i="35"/>
  <c r="V68" i="35"/>
  <c r="V56" i="35"/>
  <c r="Q15" i="35"/>
  <c r="S59" i="35"/>
  <c r="K15" i="35"/>
  <c r="V21" i="38"/>
  <c r="V45" i="38"/>
  <c r="V28" i="38"/>
  <c r="V40" i="35"/>
  <c r="H24" i="21"/>
  <c r="H33" i="21"/>
  <c r="H23" i="21"/>
  <c r="H37" i="21"/>
  <c r="H36" i="21"/>
  <c r="H40" i="21"/>
  <c r="H34" i="21"/>
  <c r="H28" i="21"/>
  <c r="H26" i="21"/>
  <c r="H22" i="21"/>
  <c r="H39" i="21"/>
  <c r="H35" i="21"/>
  <c r="H29" i="21"/>
  <c r="H38" i="21"/>
  <c r="H27" i="21"/>
  <c r="H25" i="21"/>
  <c r="I335" i="1"/>
  <c r="I334" i="1"/>
  <c r="I333" i="1"/>
  <c r="V20" i="38"/>
  <c r="V27" i="38"/>
  <c r="V65" i="35"/>
  <c r="V13" i="38"/>
  <c r="V11" i="38"/>
  <c r="I60" i="6"/>
  <c r="I59" i="6"/>
  <c r="I80" i="6"/>
  <c r="I72" i="6"/>
  <c r="I78" i="6"/>
  <c r="I73" i="6"/>
  <c r="I52" i="6"/>
  <c r="I63" i="6"/>
  <c r="I69" i="6"/>
  <c r="I66" i="6"/>
  <c r="I82" i="6"/>
  <c r="I55" i="6"/>
  <c r="I81" i="6"/>
  <c r="I85" i="6"/>
  <c r="I67" i="6"/>
  <c r="I62" i="6"/>
  <c r="I50" i="6"/>
  <c r="I57" i="6"/>
  <c r="I76" i="6"/>
  <c r="I77" i="6"/>
  <c r="I79" i="6"/>
  <c r="I51" i="6"/>
  <c r="I84" i="6"/>
  <c r="I70" i="6"/>
  <c r="I64" i="6"/>
  <c r="I68" i="6"/>
  <c r="I58" i="6"/>
  <c r="I83" i="6"/>
  <c r="I75" i="6"/>
  <c r="I53" i="6"/>
  <c r="I71" i="6"/>
  <c r="I56" i="6"/>
  <c r="I86" i="6"/>
  <c r="I65" i="6"/>
  <c r="I54" i="6"/>
  <c r="M15" i="35"/>
  <c r="M43" i="35"/>
  <c r="K59" i="35"/>
  <c r="V25" i="38"/>
  <c r="J43" i="35"/>
  <c r="V44" i="35"/>
  <c r="V86" i="35"/>
  <c r="V47" i="35"/>
  <c r="S23" i="35"/>
  <c r="T43" i="35"/>
  <c r="N43" i="35"/>
  <c r="V11" i="35"/>
  <c r="L62" i="36" s="1"/>
  <c r="J15" i="35"/>
  <c r="V22" i="38"/>
  <c r="V64" i="35"/>
  <c r="V41" i="38"/>
  <c r="T23" i="35"/>
  <c r="L27" i="35"/>
  <c r="S43" i="35"/>
  <c r="K15" i="38"/>
  <c r="L15" i="35"/>
  <c r="V60" i="35"/>
  <c r="J59" i="35"/>
  <c r="V29" i="35"/>
  <c r="V72" i="35"/>
  <c r="V31" i="35"/>
  <c r="V70" i="35"/>
  <c r="U27" i="35"/>
  <c r="V35" i="35"/>
  <c r="AC44" i="36"/>
  <c r="L158" i="36"/>
  <c r="O158" i="36"/>
  <c r="I145" i="48"/>
  <c r="L159" i="36"/>
  <c r="O159" i="36"/>
  <c r="AC56" i="47"/>
  <c r="X56" i="47"/>
  <c r="AA56" i="47"/>
  <c r="Z56" i="47"/>
  <c r="T56" i="47"/>
  <c r="AE56" i="47"/>
  <c r="U56" i="47"/>
  <c r="Y56" i="47"/>
  <c r="W56" i="47"/>
  <c r="AB56" i="47"/>
  <c r="AD56" i="47"/>
  <c r="V56" i="47"/>
  <c r="I207" i="48"/>
  <c r="J39" i="36"/>
  <c r="Q56" i="47"/>
  <c r="Q70" i="47" s="1"/>
  <c r="Q34" i="25" s="1"/>
  <c r="Q125" i="26" s="1"/>
  <c r="S34" i="38" s="1"/>
  <c r="R56" i="47"/>
  <c r="R70" i="47" s="1"/>
  <c r="R34" i="25" s="1"/>
  <c r="R125" i="26" s="1"/>
  <c r="T34" i="38" s="1"/>
  <c r="N56" i="47"/>
  <c r="N70" i="47" s="1"/>
  <c r="N34" i="25" s="1"/>
  <c r="N125" i="26" s="1"/>
  <c r="P34" i="38" s="1"/>
  <c r="K56" i="47"/>
  <c r="K70" i="47" s="1"/>
  <c r="K34" i="25" s="1"/>
  <c r="K125" i="26" s="1"/>
  <c r="M34" i="38" s="1"/>
  <c r="P56" i="47"/>
  <c r="P70" i="47" s="1"/>
  <c r="P34" i="25" s="1"/>
  <c r="P125" i="26" s="1"/>
  <c r="R34" i="38" s="1"/>
  <c r="J56" i="47"/>
  <c r="S56" i="47"/>
  <c r="S70" i="47" s="1"/>
  <c r="S34" i="25" s="1"/>
  <c r="S125" i="26" s="1"/>
  <c r="U34" i="38" s="1"/>
  <c r="O56" i="47"/>
  <c r="O70" i="47" s="1"/>
  <c r="O34" i="25" s="1"/>
  <c r="O125" i="26" s="1"/>
  <c r="Q34" i="38" s="1"/>
  <c r="L56" i="47"/>
  <c r="L70" i="47" s="1"/>
  <c r="L34" i="25" s="1"/>
  <c r="L125" i="26" s="1"/>
  <c r="N34" i="38" s="1"/>
  <c r="M56" i="47"/>
  <c r="M70" i="47" s="1"/>
  <c r="M34" i="25" s="1"/>
  <c r="M125" i="26" s="1"/>
  <c r="O34" i="38" s="1"/>
  <c r="I204" i="48"/>
  <c r="L157" i="36"/>
  <c r="O157" i="36"/>
  <c r="AF113" i="6" l="1"/>
  <c r="AF93" i="6"/>
  <c r="AF95" i="6" s="1"/>
  <c r="AF167" i="26" s="1"/>
  <c r="AF69" i="48"/>
  <c r="AF70" i="48" s="1"/>
  <c r="AF158" i="21"/>
  <c r="AC175" i="26"/>
  <c r="AF165" i="21"/>
  <c r="AF177" i="21"/>
  <c r="AG126" i="21"/>
  <c r="AG135" i="21"/>
  <c r="X28" i="35"/>
  <c r="Y28" i="35"/>
  <c r="Z28" i="35"/>
  <c r="W28" i="35"/>
  <c r="AD210" i="26"/>
  <c r="AD211" i="26" s="1"/>
  <c r="AD15" i="47" s="1"/>
  <c r="AF16" i="47"/>
  <c r="AF114" i="6"/>
  <c r="AG81" i="21"/>
  <c r="AG123" i="6"/>
  <c r="AG172" i="26" s="1"/>
  <c r="AD207" i="26"/>
  <c r="I154" i="48"/>
  <c r="I148" i="48"/>
  <c r="I151" i="48"/>
  <c r="I210" i="48"/>
  <c r="I213" i="48"/>
  <c r="I201" i="48"/>
  <c r="I130" i="48"/>
  <c r="I75" i="22"/>
  <c r="K24" i="35"/>
  <c r="P76" i="35"/>
  <c r="AF56" i="47"/>
  <c r="I56" i="47" s="1"/>
  <c r="M49" i="47"/>
  <c r="M50" i="47" s="1"/>
  <c r="I129" i="48"/>
  <c r="S25" i="35"/>
  <c r="M24" i="35"/>
  <c r="R25" i="35"/>
  <c r="S76" i="35"/>
  <c r="Q76" i="35"/>
  <c r="I198" i="48"/>
  <c r="I142" i="48"/>
  <c r="I216" i="48"/>
  <c r="L76" i="35"/>
  <c r="I160" i="48"/>
  <c r="L24" i="35"/>
  <c r="I123" i="48"/>
  <c r="I101" i="22"/>
  <c r="N25" i="35"/>
  <c r="U24" i="35"/>
  <c r="T25" i="35"/>
  <c r="Q24" i="35"/>
  <c r="U25" i="35"/>
  <c r="P24" i="35"/>
  <c r="I49" i="6"/>
  <c r="I139" i="21"/>
  <c r="I140" i="21"/>
  <c r="I138" i="21"/>
  <c r="I126" i="48"/>
  <c r="I153" i="48"/>
  <c r="I206" i="48"/>
  <c r="T24" i="35"/>
  <c r="I59" i="26"/>
  <c r="I66" i="26"/>
  <c r="I39" i="26"/>
  <c r="I56" i="26"/>
  <c r="I35" i="26"/>
  <c r="I42" i="26"/>
  <c r="I53" i="26"/>
  <c r="K80" i="26"/>
  <c r="T76" i="35"/>
  <c r="S24" i="35"/>
  <c r="M25" i="35"/>
  <c r="J17" i="36"/>
  <c r="AX261" i="36" s="1"/>
  <c r="AZ261" i="36" s="1"/>
  <c r="H60" i="25"/>
  <c r="I144" i="48"/>
  <c r="I117" i="48"/>
  <c r="I156" i="48"/>
  <c r="J76" i="35"/>
  <c r="N76" i="35"/>
  <c r="R24" i="35"/>
  <c r="K25" i="35"/>
  <c r="I173" i="22"/>
  <c r="I168" i="22"/>
  <c r="I177" i="22"/>
  <c r="I91" i="22"/>
  <c r="I29" i="44"/>
  <c r="I30" i="44"/>
  <c r="I147" i="21"/>
  <c r="I148" i="21"/>
  <c r="I149" i="21"/>
  <c r="M76" i="35"/>
  <c r="L140" i="36"/>
  <c r="L78" i="36"/>
  <c r="I71" i="26"/>
  <c r="I70" i="26"/>
  <c r="I34" i="26"/>
  <c r="I54" i="26"/>
  <c r="I92" i="26"/>
  <c r="I142" i="26"/>
  <c r="I50" i="26"/>
  <c r="I41" i="26"/>
  <c r="I40" i="26"/>
  <c r="I57" i="26"/>
  <c r="K76" i="35"/>
  <c r="V23" i="35"/>
  <c r="J25" i="35"/>
  <c r="I22" i="25"/>
  <c r="I27" i="25"/>
  <c r="I13" i="25"/>
  <c r="Q25" i="35"/>
  <c r="O25" i="35"/>
  <c r="O24" i="35"/>
  <c r="L76" i="36"/>
  <c r="I121" i="22"/>
  <c r="I65" i="22"/>
  <c r="I166" i="22"/>
  <c r="I162" i="48"/>
  <c r="E354" i="1"/>
  <c r="F315" i="1" s="1"/>
  <c r="H315" i="1" s="1"/>
  <c r="I54" i="21"/>
  <c r="I132" i="48"/>
  <c r="I159" i="48"/>
  <c r="O76" i="35"/>
  <c r="I68" i="26"/>
  <c r="I135" i="26"/>
  <c r="I43" i="26"/>
  <c r="I74" i="26"/>
  <c r="I85" i="26"/>
  <c r="I65" i="26"/>
  <c r="I48" i="26"/>
  <c r="I64" i="26"/>
  <c r="I49" i="26"/>
  <c r="I38" i="26"/>
  <c r="I73" i="26"/>
  <c r="I134" i="26"/>
  <c r="I26" i="25"/>
  <c r="H55" i="25"/>
  <c r="J16" i="36"/>
  <c r="AX260" i="36" s="1"/>
  <c r="AZ260" i="36" s="1"/>
  <c r="I135" i="48"/>
  <c r="J49" i="38"/>
  <c r="J54" i="38" s="1"/>
  <c r="J56" i="38" s="1"/>
  <c r="I49" i="22"/>
  <c r="I153" i="22"/>
  <c r="I149" i="22"/>
  <c r="I163" i="22"/>
  <c r="I160" i="22"/>
  <c r="I16" i="22"/>
  <c r="I36" i="22"/>
  <c r="I75" i="48"/>
  <c r="I14" i="44"/>
  <c r="I150" i="48"/>
  <c r="I141" i="48"/>
  <c r="V15" i="35"/>
  <c r="L61" i="36" s="1"/>
  <c r="J24" i="35"/>
  <c r="I136" i="26"/>
  <c r="I75" i="26"/>
  <c r="I52" i="26"/>
  <c r="I55" i="26"/>
  <c r="I69" i="26"/>
  <c r="I58" i="26"/>
  <c r="I72" i="26"/>
  <c r="I67" i="26"/>
  <c r="I86" i="26"/>
  <c r="I36" i="26"/>
  <c r="I37" i="26"/>
  <c r="I51" i="26"/>
  <c r="R76" i="35"/>
  <c r="L25" i="35"/>
  <c r="P25" i="35"/>
  <c r="E342" i="1"/>
  <c r="F313" i="1" s="1"/>
  <c r="H313" i="1" s="1"/>
  <c r="J15" i="36"/>
  <c r="AX259" i="36" s="1"/>
  <c r="AZ259" i="36" s="1"/>
  <c r="H50" i="25"/>
  <c r="I32" i="25"/>
  <c r="I12" i="25"/>
  <c r="N24" i="35"/>
  <c r="I90" i="25"/>
  <c r="E348" i="1"/>
  <c r="F314" i="1" s="1"/>
  <c r="H314" i="1" s="1"/>
  <c r="I169" i="22"/>
  <c r="I174" i="22"/>
  <c r="I170" i="22"/>
  <c r="I76" i="48"/>
  <c r="I42" i="48"/>
  <c r="I120" i="48"/>
  <c r="V27" i="35"/>
  <c r="L69" i="36" s="1"/>
  <c r="L160" i="36"/>
  <c r="L161" i="36" s="1"/>
  <c r="O160" i="36"/>
  <c r="O161" i="36" s="1"/>
  <c r="J70" i="47"/>
  <c r="J34" i="25" s="1"/>
  <c r="AF116" i="6" l="1"/>
  <c r="AF173" i="26" s="1"/>
  <c r="AG92" i="6"/>
  <c r="AF72" i="48"/>
  <c r="AG155" i="21"/>
  <c r="AG156" i="21" s="1"/>
  <c r="AG19" i="25" s="1"/>
  <c r="AG112" i="26" s="1"/>
  <c r="AG12" i="44"/>
  <c r="AG25" i="44" s="1"/>
  <c r="AG91" i="44" s="1"/>
  <c r="AG94" i="44" s="1"/>
  <c r="AG93" i="6" s="1"/>
  <c r="AG175" i="21"/>
  <c r="AG20" i="25"/>
  <c r="AG113" i="26" s="1"/>
  <c r="Y22" i="38" s="1"/>
  <c r="AG162" i="21"/>
  <c r="L125" i="36" s="1"/>
  <c r="AG31" i="26"/>
  <c r="AG28" i="26" s="1"/>
  <c r="AG76" i="26" s="1"/>
  <c r="AD18" i="25"/>
  <c r="AD111" i="26" s="1"/>
  <c r="AG161" i="21"/>
  <c r="AG19" i="26" s="1"/>
  <c r="AG172" i="21"/>
  <c r="AG169" i="21"/>
  <c r="AE205" i="26"/>
  <c r="AE203" i="26" s="1"/>
  <c r="AE206" i="26" s="1"/>
  <c r="AD158" i="26"/>
  <c r="AD18" i="47"/>
  <c r="AD27" i="47" s="1"/>
  <c r="AD21" i="47"/>
  <c r="M80" i="35"/>
  <c r="V80" i="35" s="1"/>
  <c r="L75" i="36" s="1"/>
  <c r="O75" i="36" s="1"/>
  <c r="Z80" i="35"/>
  <c r="Y80" i="35"/>
  <c r="X80" i="35"/>
  <c r="W80" i="35"/>
  <c r="P29" i="39"/>
  <c r="V29" i="39"/>
  <c r="L29" i="39"/>
  <c r="M29" i="39"/>
  <c r="S29" i="39"/>
  <c r="U29" i="39"/>
  <c r="N29" i="39"/>
  <c r="O29" i="39"/>
  <c r="Y29" i="39"/>
  <c r="W29" i="39"/>
  <c r="T29" i="39"/>
  <c r="K29" i="39"/>
  <c r="R29" i="39"/>
  <c r="X29" i="39"/>
  <c r="Q29" i="39"/>
  <c r="Z29" i="39"/>
  <c r="J29" i="39"/>
  <c r="AA29" i="39"/>
  <c r="L77" i="35"/>
  <c r="L82" i="35" s="1"/>
  <c r="L87" i="35" s="1"/>
  <c r="K77" i="35"/>
  <c r="K82" i="35" s="1"/>
  <c r="K87" i="35" s="1"/>
  <c r="I161" i="22"/>
  <c r="I162" i="22"/>
  <c r="P77" i="35"/>
  <c r="P82" i="35" s="1"/>
  <c r="M77" i="35"/>
  <c r="Q77" i="35"/>
  <c r="Q82" i="35" s="1"/>
  <c r="S77" i="35"/>
  <c r="S82" i="35" s="1"/>
  <c r="I90" i="21"/>
  <c r="AA86" i="35"/>
  <c r="AA66" i="35"/>
  <c r="AA34" i="35"/>
  <c r="AA55" i="35"/>
  <c r="AA37" i="35"/>
  <c r="I13" i="44"/>
  <c r="AA43" i="38"/>
  <c r="AA73" i="35"/>
  <c r="AA42" i="35"/>
  <c r="AA44" i="38"/>
  <c r="AA65" i="35"/>
  <c r="N77" i="35"/>
  <c r="N82" i="35" s="1"/>
  <c r="I32" i="26"/>
  <c r="I25" i="25"/>
  <c r="I92" i="25"/>
  <c r="I102" i="26"/>
  <c r="AG184" i="36"/>
  <c r="AE184" i="36"/>
  <c r="H78" i="22"/>
  <c r="I78" i="22"/>
  <c r="AA36" i="35"/>
  <c r="AA57" i="35"/>
  <c r="AA54" i="35"/>
  <c r="AA74" i="35"/>
  <c r="V24" i="35"/>
  <c r="J77" i="35"/>
  <c r="J82" i="35" s="1"/>
  <c r="J87" i="35" s="1"/>
  <c r="J89" i="35" s="1"/>
  <c r="J90" i="35" s="1"/>
  <c r="I32" i="22"/>
  <c r="AA47" i="35"/>
  <c r="AA64" i="35"/>
  <c r="AA85" i="35"/>
  <c r="AA67" i="35"/>
  <c r="O76" i="36"/>
  <c r="I103" i="26"/>
  <c r="V25" i="35"/>
  <c r="L66" i="36"/>
  <c r="AA49" i="35"/>
  <c r="AA33" i="35"/>
  <c r="O78" i="36"/>
  <c r="I212" i="48"/>
  <c r="I77" i="21"/>
  <c r="I113" i="21"/>
  <c r="I100" i="21"/>
  <c r="I64" i="21"/>
  <c r="I111" i="21"/>
  <c r="I75" i="21"/>
  <c r="I98" i="21"/>
  <c r="I62" i="21"/>
  <c r="I180" i="22"/>
  <c r="AA38" i="35"/>
  <c r="H19" i="22"/>
  <c r="I19" i="22"/>
  <c r="I37" i="22"/>
  <c r="AA50" i="35"/>
  <c r="AA51" i="35"/>
  <c r="O62" i="36"/>
  <c r="O65" i="36"/>
  <c r="O61" i="36"/>
  <c r="O74" i="36"/>
  <c r="O73" i="36"/>
  <c r="O64" i="36"/>
  <c r="O63" i="36"/>
  <c r="AX273" i="36"/>
  <c r="AA72" i="35"/>
  <c r="AA48" i="35"/>
  <c r="I215" i="48"/>
  <c r="L191" i="36"/>
  <c r="J191" i="36"/>
  <c r="O77" i="35"/>
  <c r="O82" i="35" s="1"/>
  <c r="AA51" i="38"/>
  <c r="O168" i="36" s="1"/>
  <c r="AA69" i="35"/>
  <c r="I163" i="48"/>
  <c r="I139" i="48"/>
  <c r="I14" i="25"/>
  <c r="R77" i="35"/>
  <c r="R82" i="35" s="1"/>
  <c r="I70" i="21"/>
  <c r="I74" i="21"/>
  <c r="I110" i="21"/>
  <c r="I102" i="21"/>
  <c r="I66" i="21"/>
  <c r="I73" i="21"/>
  <c r="I109" i="21"/>
  <c r="I114" i="48"/>
  <c r="I80" i="26"/>
  <c r="K82" i="26"/>
  <c r="AA52" i="35"/>
  <c r="I87" i="6"/>
  <c r="I94" i="6"/>
  <c r="I24" i="25"/>
  <c r="I132" i="26"/>
  <c r="AA35" i="35"/>
  <c r="AA45" i="38"/>
  <c r="J57" i="38"/>
  <c r="K55" i="38"/>
  <c r="I119" i="26"/>
  <c r="AA63" i="35"/>
  <c r="I104" i="22"/>
  <c r="H104" i="22"/>
  <c r="I78" i="26"/>
  <c r="I120" i="26"/>
  <c r="AA39" i="35"/>
  <c r="AA40" i="35"/>
  <c r="AA53" i="35"/>
  <c r="AA70" i="35"/>
  <c r="I76" i="21"/>
  <c r="I112" i="21"/>
  <c r="I59" i="21"/>
  <c r="I97" i="21"/>
  <c r="I61" i="21"/>
  <c r="I99" i="21"/>
  <c r="I63" i="21"/>
  <c r="AA41" i="35"/>
  <c r="AA58" i="35"/>
  <c r="I203" i="48"/>
  <c r="I136" i="22"/>
  <c r="H136" i="22"/>
  <c r="I33" i="26"/>
  <c r="AA71" i="35"/>
  <c r="AA68" i="35"/>
  <c r="I218" i="48"/>
  <c r="I52" i="22"/>
  <c r="H52" i="22"/>
  <c r="I115" i="26"/>
  <c r="AA56" i="35"/>
  <c r="I200" i="48"/>
  <c r="I96" i="21"/>
  <c r="I60" i="21"/>
  <c r="I107" i="21"/>
  <c r="I71" i="21"/>
  <c r="I101" i="21"/>
  <c r="I65" i="21"/>
  <c r="I72" i="21"/>
  <c r="I108" i="21"/>
  <c r="T77" i="35"/>
  <c r="T82" i="35" s="1"/>
  <c r="I209" i="48"/>
  <c r="O69" i="36"/>
  <c r="AC43" i="36"/>
  <c r="J125" i="26"/>
  <c r="J36" i="25"/>
  <c r="AG113" i="6" l="1"/>
  <c r="AG95" i="6"/>
  <c r="AG167" i="26" s="1"/>
  <c r="AG158" i="21"/>
  <c r="W30" i="35"/>
  <c r="X30" i="35"/>
  <c r="Y30" i="35"/>
  <c r="Z30" i="35"/>
  <c r="AG69" i="48"/>
  <c r="AG70" i="48" s="1"/>
  <c r="W22" i="38"/>
  <c r="AG95" i="44"/>
  <c r="AG114" i="6" s="1"/>
  <c r="Z22" i="38"/>
  <c r="X22" i="38"/>
  <c r="J125" i="36"/>
  <c r="L124" i="36"/>
  <c r="AG177" i="21"/>
  <c r="J124" i="36"/>
  <c r="AG165" i="21"/>
  <c r="AE29" i="47"/>
  <c r="AE33" i="25" s="1"/>
  <c r="AE124" i="26" s="1"/>
  <c r="AD30" i="47"/>
  <c r="AE207" i="26"/>
  <c r="AE210" i="26"/>
  <c r="AE211" i="26" s="1"/>
  <c r="AE15" i="47" s="1"/>
  <c r="W18" i="35"/>
  <c r="Y18" i="35"/>
  <c r="X18" i="35"/>
  <c r="Z18" i="35"/>
  <c r="Z21" i="38"/>
  <c r="X21" i="38"/>
  <c r="W21" i="38"/>
  <c r="Y21" i="38"/>
  <c r="L34" i="38"/>
  <c r="L35" i="38" s="1"/>
  <c r="Q76" i="36"/>
  <c r="M82" i="35"/>
  <c r="AA28" i="38"/>
  <c r="AA12" i="38"/>
  <c r="I197" i="48"/>
  <c r="AA24" i="38"/>
  <c r="I143" i="21"/>
  <c r="I67" i="21"/>
  <c r="I142" i="21"/>
  <c r="I115" i="6"/>
  <c r="I98" i="6"/>
  <c r="E30" i="22"/>
  <c r="E29" i="22"/>
  <c r="H184" i="22"/>
  <c r="F317" i="1" s="1"/>
  <c r="H317" i="1" s="1"/>
  <c r="I28" i="48"/>
  <c r="O66" i="36"/>
  <c r="L67" i="36"/>
  <c r="I122" i="22"/>
  <c r="I154" i="22"/>
  <c r="I95" i="21"/>
  <c r="AA29" i="38"/>
  <c r="AA41" i="38"/>
  <c r="I117" i="26"/>
  <c r="I104" i="26"/>
  <c r="I164" i="22"/>
  <c r="I182" i="22"/>
  <c r="I17" i="47"/>
  <c r="I118" i="26"/>
  <c r="AA31" i="35"/>
  <c r="J184" i="36"/>
  <c r="AA32" i="35"/>
  <c r="AA78" i="35"/>
  <c r="Q73" i="36" s="1"/>
  <c r="I152" i="21"/>
  <c r="I78" i="21"/>
  <c r="I151" i="21"/>
  <c r="I136" i="48"/>
  <c r="I112" i="48"/>
  <c r="E88" i="22"/>
  <c r="E89" i="22"/>
  <c r="I93" i="25"/>
  <c r="E63" i="22"/>
  <c r="E62" i="22"/>
  <c r="E147" i="22"/>
  <c r="E146" i="22"/>
  <c r="E115" i="22"/>
  <c r="E114" i="22"/>
  <c r="AA80" i="35"/>
  <c r="Q75" i="36" s="1"/>
  <c r="I106" i="21"/>
  <c r="AA11" i="38"/>
  <c r="J39" i="25"/>
  <c r="K35" i="38"/>
  <c r="K49" i="38" s="1"/>
  <c r="K54" i="38" s="1"/>
  <c r="K56" i="38" s="1"/>
  <c r="J126" i="26"/>
  <c r="AG116" i="6" l="1"/>
  <c r="AG173" i="26" s="1"/>
  <c r="W30" i="39" s="1"/>
  <c r="AG16" i="47"/>
  <c r="AG72" i="48"/>
  <c r="AD175" i="26"/>
  <c r="AE26" i="47"/>
  <c r="AE18" i="25"/>
  <c r="AE111" i="26" s="1"/>
  <c r="AE18" i="47"/>
  <c r="AE27" i="47" s="1"/>
  <c r="AF29" i="47" s="1"/>
  <c r="AF33" i="25" s="1"/>
  <c r="AF124" i="26" s="1"/>
  <c r="AE21" i="47"/>
  <c r="AE158" i="26"/>
  <c r="AF205" i="26"/>
  <c r="AF203" i="26" s="1"/>
  <c r="AF206" i="26" s="1"/>
  <c r="O24" i="39"/>
  <c r="L24" i="39"/>
  <c r="N24" i="39"/>
  <c r="K24" i="39"/>
  <c r="Q24" i="39"/>
  <c r="S24" i="39"/>
  <c r="Z24" i="39"/>
  <c r="R24" i="39"/>
  <c r="T24" i="39"/>
  <c r="V24" i="39"/>
  <c r="P24" i="39"/>
  <c r="Y24" i="39"/>
  <c r="U24" i="39"/>
  <c r="M24" i="39"/>
  <c r="AA24" i="39"/>
  <c r="X24" i="39"/>
  <c r="W24" i="39"/>
  <c r="J24" i="39"/>
  <c r="I195" i="48"/>
  <c r="I61" i="26"/>
  <c r="AA27" i="38"/>
  <c r="I81" i="26"/>
  <c r="AA26" i="38"/>
  <c r="I103" i="21"/>
  <c r="I114" i="21"/>
  <c r="L184" i="36"/>
  <c r="AA13" i="38"/>
  <c r="L186" i="36"/>
  <c r="J186" i="36"/>
  <c r="L185" i="36"/>
  <c r="O67" i="36"/>
  <c r="AX274" i="36"/>
  <c r="I45" i="26"/>
  <c r="I23" i="25"/>
  <c r="I150" i="21"/>
  <c r="I141" i="21"/>
  <c r="L55" i="38"/>
  <c r="K57" i="38"/>
  <c r="J42" i="25"/>
  <c r="J43" i="25" s="1"/>
  <c r="U43" i="35"/>
  <c r="V45" i="35"/>
  <c r="U59" i="35"/>
  <c r="V59" i="35" s="1"/>
  <c r="L71" i="36" s="1"/>
  <c r="O71" i="36" s="1"/>
  <c r="V61" i="35"/>
  <c r="AC41" i="36"/>
  <c r="Z30" i="39" l="1"/>
  <c r="X30" i="39"/>
  <c r="U30" i="39"/>
  <c r="N30" i="39"/>
  <c r="M30" i="39"/>
  <c r="T30" i="39"/>
  <c r="L30" i="39"/>
  <c r="V30" i="39"/>
  <c r="AA30" i="39"/>
  <c r="K30" i="39"/>
  <c r="Y30" i="39"/>
  <c r="S30" i="39"/>
  <c r="P30" i="39"/>
  <c r="Q30" i="39"/>
  <c r="O30" i="39"/>
  <c r="R30" i="39"/>
  <c r="J30" i="39"/>
  <c r="AF207" i="26"/>
  <c r="AF210" i="26"/>
  <c r="AF211" i="26" s="1"/>
  <c r="AF15" i="47" s="1"/>
  <c r="AE30" i="47"/>
  <c r="AG103" i="6"/>
  <c r="AF103" i="6"/>
  <c r="D185" i="26"/>
  <c r="F311" i="1" s="1"/>
  <c r="H311" i="1" s="1"/>
  <c r="D184" i="26"/>
  <c r="F310" i="1" s="1"/>
  <c r="H310" i="1" s="1"/>
  <c r="I47" i="48"/>
  <c r="I116" i="26"/>
  <c r="AA25" i="38"/>
  <c r="X13" i="39"/>
  <c r="N13" i="39"/>
  <c r="S13" i="39"/>
  <c r="W13" i="39"/>
  <c r="K13" i="39"/>
  <c r="AA60" i="35"/>
  <c r="I144" i="21"/>
  <c r="I60" i="26"/>
  <c r="I153" i="21"/>
  <c r="J13" i="39"/>
  <c r="U13" i="39"/>
  <c r="T13" i="39"/>
  <c r="L182" i="36"/>
  <c r="I46" i="26"/>
  <c r="AA44" i="35"/>
  <c r="M13" i="39"/>
  <c r="P13" i="39"/>
  <c r="L13" i="39"/>
  <c r="O13" i="39"/>
  <c r="AA13" i="39"/>
  <c r="I62" i="26"/>
  <c r="AA81" i="35"/>
  <c r="I30" i="48"/>
  <c r="J185" i="36"/>
  <c r="J182" i="36" s="1"/>
  <c r="V13" i="39"/>
  <c r="R13" i="39"/>
  <c r="Z13" i="39"/>
  <c r="Y13" i="39"/>
  <c r="Q13" i="39"/>
  <c r="I219" i="48"/>
  <c r="J130" i="26"/>
  <c r="J83" i="25"/>
  <c r="J84" i="25" s="1"/>
  <c r="V43" i="35"/>
  <c r="L70" i="36" s="1"/>
  <c r="U76" i="35"/>
  <c r="J45" i="25"/>
  <c r="J46" i="25" s="1"/>
  <c r="J51" i="25" s="1"/>
  <c r="J56" i="25" s="1"/>
  <c r="J61" i="25" s="1"/>
  <c r="I141" i="25"/>
  <c r="I139" i="25"/>
  <c r="D183" i="26"/>
  <c r="F309" i="1" s="1"/>
  <c r="H309" i="1" s="1"/>
  <c r="I149" i="25"/>
  <c r="I121" i="25"/>
  <c r="I119" i="25"/>
  <c r="I131" i="25"/>
  <c r="I129" i="25"/>
  <c r="D181" i="26"/>
  <c r="F307" i="1" s="1"/>
  <c r="H307" i="1" s="1"/>
  <c r="AF18" i="25" l="1"/>
  <c r="AF111" i="26" s="1"/>
  <c r="AF26" i="47"/>
  <c r="AE175" i="26"/>
  <c r="AF158" i="26"/>
  <c r="AG205" i="26"/>
  <c r="AG203" i="26" s="1"/>
  <c r="AG206" i="26" s="1"/>
  <c r="L39" i="38"/>
  <c r="AF16" i="25"/>
  <c r="AF109" i="26" s="1"/>
  <c r="AF108" i="6"/>
  <c r="AF109" i="6" s="1"/>
  <c r="AG16" i="25"/>
  <c r="AG109" i="26" s="1"/>
  <c r="AG108" i="6"/>
  <c r="I57" i="48"/>
  <c r="O140" i="36"/>
  <c r="Q78" i="36"/>
  <c r="Z43" i="35"/>
  <c r="Y43" i="35"/>
  <c r="X43" i="35"/>
  <c r="I47" i="26"/>
  <c r="I44" i="26"/>
  <c r="I63" i="26"/>
  <c r="X59" i="35"/>
  <c r="Z59" i="35"/>
  <c r="Y59" i="35"/>
  <c r="I163" i="21"/>
  <c r="I77" i="48"/>
  <c r="I89" i="44"/>
  <c r="G60" i="26" s="1"/>
  <c r="I76" i="44"/>
  <c r="I18" i="48"/>
  <c r="I15" i="48"/>
  <c r="I31" i="48"/>
  <c r="AA61" i="35"/>
  <c r="AA45" i="35"/>
  <c r="I164" i="21"/>
  <c r="I73" i="44"/>
  <c r="G44" i="26" s="1"/>
  <c r="I60" i="44"/>
  <c r="I78" i="48"/>
  <c r="J190" i="26"/>
  <c r="K82" i="25"/>
  <c r="V76" i="35"/>
  <c r="U77" i="35"/>
  <c r="I24" i="6"/>
  <c r="O70" i="36"/>
  <c r="L68" i="36"/>
  <c r="J133" i="26"/>
  <c r="J98" i="25"/>
  <c r="J100" i="25" s="1"/>
  <c r="J63" i="25"/>
  <c r="I31" i="25"/>
  <c r="AC40" i="36"/>
  <c r="L151" i="36"/>
  <c r="O151" i="36"/>
  <c r="AG207" i="26" l="1"/>
  <c r="AG210" i="26"/>
  <c r="AG211" i="26" s="1"/>
  <c r="AG15" i="47" s="1"/>
  <c r="Z18" i="38"/>
  <c r="W18" i="38"/>
  <c r="X18" i="38"/>
  <c r="Y18" i="38"/>
  <c r="L42" i="38"/>
  <c r="AF169" i="26"/>
  <c r="AG106" i="6"/>
  <c r="AG109" i="6" s="1"/>
  <c r="AG169" i="26" s="1"/>
  <c r="I62" i="48"/>
  <c r="I12" i="26"/>
  <c r="I102" i="6"/>
  <c r="I33" i="48"/>
  <c r="I35" i="48"/>
  <c r="AA13" i="35"/>
  <c r="Q64" i="36" s="1"/>
  <c r="AA12" i="35"/>
  <c r="Q63" i="36" s="1"/>
  <c r="I32" i="48"/>
  <c r="AA46" i="35"/>
  <c r="W43" i="35"/>
  <c r="AA43" i="35" s="1"/>
  <c r="Q70" i="36" s="1"/>
  <c r="W59" i="35"/>
  <c r="AA59" i="35" s="1"/>
  <c r="Q71" i="36" s="1"/>
  <c r="AA62" i="35"/>
  <c r="I63" i="48"/>
  <c r="I55" i="21"/>
  <c r="I61" i="48"/>
  <c r="I24" i="48"/>
  <c r="I50" i="21"/>
  <c r="I107" i="6"/>
  <c r="I66" i="48"/>
  <c r="I27" i="6"/>
  <c r="K85" i="25"/>
  <c r="O68" i="36"/>
  <c r="L72" i="36"/>
  <c r="J68" i="25"/>
  <c r="J152" i="25" s="1"/>
  <c r="J67" i="25"/>
  <c r="J182" i="26"/>
  <c r="K97" i="25"/>
  <c r="U82" i="35"/>
  <c r="V77" i="35"/>
  <c r="I123" i="26"/>
  <c r="AG18" i="25" l="1"/>
  <c r="AG111" i="26" s="1"/>
  <c r="AG158" i="26"/>
  <c r="Y26" i="39"/>
  <c r="O26" i="39"/>
  <c r="V26" i="39"/>
  <c r="R26" i="39"/>
  <c r="Q26" i="39"/>
  <c r="AA26" i="39"/>
  <c r="P26" i="39"/>
  <c r="U26" i="39"/>
  <c r="J26" i="39"/>
  <c r="Z26" i="39"/>
  <c r="L26" i="39"/>
  <c r="T26" i="39"/>
  <c r="M26" i="39"/>
  <c r="K26" i="39"/>
  <c r="N26" i="39"/>
  <c r="S26" i="39"/>
  <c r="W26" i="39"/>
  <c r="X26" i="39"/>
  <c r="J186" i="26"/>
  <c r="AG25" i="6"/>
  <c r="AG28" i="6" s="1"/>
  <c r="AG40" i="6"/>
  <c r="AG11" i="25"/>
  <c r="AG101" i="26" s="1"/>
  <c r="AF25" i="6"/>
  <c r="AF28" i="6" s="1"/>
  <c r="X15" i="35"/>
  <c r="AA32" i="38"/>
  <c r="Z15" i="35"/>
  <c r="Y15" i="35"/>
  <c r="AA11" i="35"/>
  <c r="Q62" i="36" s="1"/>
  <c r="I91" i="21"/>
  <c r="I86" i="21"/>
  <c r="I64" i="48"/>
  <c r="I42" i="44"/>
  <c r="I41" i="44"/>
  <c r="I40" i="44"/>
  <c r="I54" i="44"/>
  <c r="I55" i="44"/>
  <c r="AA14" i="35"/>
  <c r="Q65" i="36" s="1"/>
  <c r="I103" i="6"/>
  <c r="I16" i="6"/>
  <c r="I54" i="48"/>
  <c r="I22" i="26"/>
  <c r="I60" i="48"/>
  <c r="I16" i="26"/>
  <c r="W15" i="35"/>
  <c r="I56" i="44"/>
  <c r="I79" i="26"/>
  <c r="I65" i="48"/>
  <c r="J74" i="25"/>
  <c r="J76" i="25" s="1"/>
  <c r="K15" i="25" s="1"/>
  <c r="V82" i="35"/>
  <c r="K107" i="25"/>
  <c r="K111" i="25" s="1"/>
  <c r="K112" i="25" s="1"/>
  <c r="K99" i="25" s="1"/>
  <c r="K30" i="25" s="1"/>
  <c r="K106" i="25"/>
  <c r="K101" i="25"/>
  <c r="K104" i="25" s="1"/>
  <c r="K29" i="25" s="1"/>
  <c r="K122" i="26" s="1"/>
  <c r="J78" i="25"/>
  <c r="J69" i="25"/>
  <c r="J137" i="26"/>
  <c r="L77" i="36"/>
  <c r="O72" i="36"/>
  <c r="AC39" i="36"/>
  <c r="W15" i="39" l="1"/>
  <c r="M15" i="39"/>
  <c r="Z15" i="39"/>
  <c r="U15" i="39"/>
  <c r="AA15" i="39"/>
  <c r="Y15" i="39"/>
  <c r="V15" i="39"/>
  <c r="Q15" i="39"/>
  <c r="T15" i="39"/>
  <c r="O15" i="39"/>
  <c r="L15" i="39"/>
  <c r="K15" i="39"/>
  <c r="N15" i="39"/>
  <c r="J15" i="39"/>
  <c r="P15" i="39"/>
  <c r="R15" i="39"/>
  <c r="S15" i="39"/>
  <c r="X15" i="39"/>
  <c r="Z20" i="38"/>
  <c r="Y20" i="38"/>
  <c r="W20" i="38"/>
  <c r="X20" i="38"/>
  <c r="M31" i="38"/>
  <c r="L46" i="38"/>
  <c r="AF11" i="25"/>
  <c r="AF101" i="26" s="1"/>
  <c r="X10" i="38" s="1"/>
  <c r="AG21" i="26"/>
  <c r="AF40" i="6"/>
  <c r="AF33" i="6"/>
  <c r="AF34" i="6" s="1"/>
  <c r="AF22" i="47"/>
  <c r="AF21" i="26"/>
  <c r="AF24" i="26" s="1"/>
  <c r="AF25" i="26" s="1"/>
  <c r="AG33" i="6"/>
  <c r="AG22" i="47"/>
  <c r="I201" i="26"/>
  <c r="I18" i="6"/>
  <c r="AA15" i="35"/>
  <c r="Q61" i="36" s="1"/>
  <c r="AA79" i="35"/>
  <c r="Q74" i="36" s="1"/>
  <c r="AA21" i="35"/>
  <c r="I16" i="25"/>
  <c r="I32" i="6"/>
  <c r="I13" i="47"/>
  <c r="I51" i="44"/>
  <c r="F319" i="1" s="1"/>
  <c r="H319" i="1" s="1"/>
  <c r="I108" i="6"/>
  <c r="I37" i="44"/>
  <c r="F318" i="1" s="1"/>
  <c r="H318" i="1" s="1"/>
  <c r="I19" i="6"/>
  <c r="I21" i="25"/>
  <c r="I114" i="26"/>
  <c r="G122" i="6"/>
  <c r="K108" i="25"/>
  <c r="K35" i="25"/>
  <c r="J77" i="25"/>
  <c r="J138" i="26"/>
  <c r="J140" i="26" s="1"/>
  <c r="J145" i="26" s="1"/>
  <c r="J147" i="26" s="1"/>
  <c r="J165" i="26"/>
  <c r="K66" i="25"/>
  <c r="AX290" i="36"/>
  <c r="O77" i="36"/>
  <c r="L79" i="36"/>
  <c r="K84" i="26"/>
  <c r="K105" i="26"/>
  <c r="I130" i="21"/>
  <c r="I131" i="21"/>
  <c r="I20" i="26"/>
  <c r="I122" i="21"/>
  <c r="I121" i="21"/>
  <c r="L143" i="36"/>
  <c r="O143" i="36"/>
  <c r="W10" i="38" l="1"/>
  <c r="AG24" i="26"/>
  <c r="AG25" i="26" s="1"/>
  <c r="AG26" i="26" s="1"/>
  <c r="W20" i="35"/>
  <c r="X20" i="35"/>
  <c r="Y20" i="35"/>
  <c r="Z20" i="35"/>
  <c r="M84" i="35"/>
  <c r="Y10" i="38"/>
  <c r="Z10" i="38"/>
  <c r="M14" i="38"/>
  <c r="AF14" i="47"/>
  <c r="AG31" i="6"/>
  <c r="AG34" i="6" s="1"/>
  <c r="AG161" i="26" s="1"/>
  <c r="AF161" i="26"/>
  <c r="AF26" i="26"/>
  <c r="AF77" i="26"/>
  <c r="AF82" i="26" s="1"/>
  <c r="AF43" i="6"/>
  <c r="AG14" i="47"/>
  <c r="I11" i="25"/>
  <c r="I18" i="26"/>
  <c r="T71" i="36"/>
  <c r="T62" i="36"/>
  <c r="T64" i="36"/>
  <c r="T76" i="36"/>
  <c r="T78" i="36"/>
  <c r="T74" i="36"/>
  <c r="T61" i="36"/>
  <c r="AA23" i="38"/>
  <c r="T75" i="36"/>
  <c r="T70" i="36"/>
  <c r="T63" i="36"/>
  <c r="AX284" i="36"/>
  <c r="T65" i="36"/>
  <c r="T73" i="36"/>
  <c r="AY273" i="36"/>
  <c r="I123" i="21"/>
  <c r="I133" i="21"/>
  <c r="I53" i="44"/>
  <c r="I101" i="26"/>
  <c r="I39" i="44"/>
  <c r="I23" i="26"/>
  <c r="I43" i="44"/>
  <c r="H43" i="44" s="1"/>
  <c r="I21" i="26"/>
  <c r="I40" i="6"/>
  <c r="I25" i="6"/>
  <c r="I57" i="44"/>
  <c r="H57" i="44" s="1"/>
  <c r="I26" i="6"/>
  <c r="I109" i="26"/>
  <c r="AY284" i="36"/>
  <c r="K106" i="26"/>
  <c r="O79" i="36"/>
  <c r="K70" i="25"/>
  <c r="K71" i="25"/>
  <c r="K28" i="25" s="1"/>
  <c r="L47" i="38"/>
  <c r="L49" i="38" s="1"/>
  <c r="L54" i="38" s="1"/>
  <c r="L56" i="38" s="1"/>
  <c r="AA19" i="35"/>
  <c r="J162" i="26"/>
  <c r="J148" i="26"/>
  <c r="K146" i="26"/>
  <c r="AX289" i="36"/>
  <c r="I120" i="21"/>
  <c r="I129" i="21"/>
  <c r="AC37" i="36"/>
  <c r="AG77" i="26" l="1"/>
  <c r="AG82" i="26" s="1"/>
  <c r="L18" i="39"/>
  <c r="X18" i="39"/>
  <c r="M18" i="39"/>
  <c r="O18" i="39"/>
  <c r="J18" i="39"/>
  <c r="V18" i="39"/>
  <c r="K18" i="39"/>
  <c r="U18" i="39"/>
  <c r="Y18" i="39"/>
  <c r="T18" i="39"/>
  <c r="W18" i="39"/>
  <c r="P18" i="39"/>
  <c r="Z18" i="39"/>
  <c r="N18" i="39"/>
  <c r="Q18" i="39"/>
  <c r="AA18" i="39"/>
  <c r="S18" i="39"/>
  <c r="R18" i="39"/>
  <c r="J163" i="26"/>
  <c r="AF17" i="25"/>
  <c r="AF110" i="26" s="1"/>
  <c r="AG17" i="25"/>
  <c r="AG110" i="26" s="1"/>
  <c r="AF168" i="26"/>
  <c r="AG38" i="6"/>
  <c r="AG43" i="6" s="1"/>
  <c r="AG168" i="26" s="1"/>
  <c r="AG18" i="47"/>
  <c r="AG27" i="47" s="1"/>
  <c r="AG21" i="47"/>
  <c r="O153" i="36" s="1"/>
  <c r="AF18" i="47"/>
  <c r="AF27" i="47" s="1"/>
  <c r="AF21" i="47"/>
  <c r="AA17" i="35"/>
  <c r="I56" i="21"/>
  <c r="I51" i="21"/>
  <c r="I124" i="21"/>
  <c r="I125" i="21"/>
  <c r="I134" i="21"/>
  <c r="I132" i="21"/>
  <c r="AA18" i="38"/>
  <c r="AA20" i="35"/>
  <c r="AA22" i="35"/>
  <c r="I28" i="6"/>
  <c r="I87" i="21"/>
  <c r="AA10" i="38"/>
  <c r="M55" i="38"/>
  <c r="L57" i="38"/>
  <c r="K83" i="26"/>
  <c r="K121" i="26"/>
  <c r="K36" i="25"/>
  <c r="M15" i="38"/>
  <c r="J117" i="36"/>
  <c r="L117" i="36"/>
  <c r="M83" i="35" l="1"/>
  <c r="M30" i="38"/>
  <c r="Z19" i="38"/>
  <c r="Y19" i="38"/>
  <c r="W19" i="38"/>
  <c r="X19" i="38"/>
  <c r="Y25" i="39"/>
  <c r="AA25" i="39"/>
  <c r="T25" i="39"/>
  <c r="M25" i="39"/>
  <c r="L25" i="39"/>
  <c r="Q25" i="39"/>
  <c r="U25" i="39"/>
  <c r="K25" i="39"/>
  <c r="Z25" i="39"/>
  <c r="O25" i="39"/>
  <c r="S25" i="39"/>
  <c r="V25" i="39"/>
  <c r="R25" i="39"/>
  <c r="W25" i="39"/>
  <c r="X25" i="39"/>
  <c r="N25" i="39"/>
  <c r="P25" i="39"/>
  <c r="J25" i="39"/>
  <c r="AG29" i="47"/>
  <c r="AG33" i="25" s="1"/>
  <c r="AG124" i="26" s="1"/>
  <c r="AF30" i="47"/>
  <c r="I29" i="26"/>
  <c r="I92" i="21"/>
  <c r="I80" i="21"/>
  <c r="I22" i="47"/>
  <c r="L192" i="36"/>
  <c r="J192" i="36"/>
  <c r="I33" i="6"/>
  <c r="K87" i="26"/>
  <c r="K39" i="25"/>
  <c r="K126" i="26"/>
  <c r="I30" i="26"/>
  <c r="I81" i="21"/>
  <c r="I135" i="21"/>
  <c r="W33" i="38" l="1"/>
  <c r="X33" i="38"/>
  <c r="Z33" i="38"/>
  <c r="Y33" i="38"/>
  <c r="AF175" i="26"/>
  <c r="AG26" i="47"/>
  <c r="AG30" i="47" s="1"/>
  <c r="AG175" i="26" s="1"/>
  <c r="AA28" i="35"/>
  <c r="I169" i="21"/>
  <c r="I76" i="26"/>
  <c r="I126" i="21"/>
  <c r="I20" i="25"/>
  <c r="I12" i="44"/>
  <c r="I116" i="21"/>
  <c r="K42" i="25"/>
  <c r="K43" i="25" s="1"/>
  <c r="K45" i="25" s="1"/>
  <c r="M35" i="38"/>
  <c r="M87" i="35"/>
  <c r="Y27" i="35"/>
  <c r="Y76" i="35" s="1"/>
  <c r="I31" i="26"/>
  <c r="X27" i="35"/>
  <c r="X76" i="35" s="1"/>
  <c r="AA29" i="35"/>
  <c r="I28" i="26"/>
  <c r="I161" i="21"/>
  <c r="P32" i="39" l="1"/>
  <c r="Q32" i="39"/>
  <c r="T32" i="39"/>
  <c r="O32" i="39"/>
  <c r="Y32" i="39"/>
  <c r="J32" i="39"/>
  <c r="S32" i="39"/>
  <c r="Z32" i="39"/>
  <c r="V32" i="39"/>
  <c r="M32" i="39"/>
  <c r="W32" i="39"/>
  <c r="U32" i="39"/>
  <c r="AA32" i="39"/>
  <c r="N32" i="39"/>
  <c r="L32" i="39"/>
  <c r="R32" i="39"/>
  <c r="X32" i="39"/>
  <c r="K32" i="39"/>
  <c r="J128" i="36"/>
  <c r="I175" i="21"/>
  <c r="AA30" i="35"/>
  <c r="Z27" i="35"/>
  <c r="Z76" i="35" s="1"/>
  <c r="I155" i="21"/>
  <c r="I158" i="21"/>
  <c r="I172" i="21"/>
  <c r="I177" i="21"/>
  <c r="L128" i="36"/>
  <c r="I162" i="21"/>
  <c r="I165" i="21"/>
  <c r="G121" i="6"/>
  <c r="AE186" i="36"/>
  <c r="AG186" i="36"/>
  <c r="K46" i="25"/>
  <c r="K51" i="25" s="1"/>
  <c r="K56" i="25" s="1"/>
  <c r="K61" i="25" s="1"/>
  <c r="K133" i="26"/>
  <c r="K98" i="25"/>
  <c r="K100" i="25" s="1"/>
  <c r="K83" i="25"/>
  <c r="K84" i="25" s="1"/>
  <c r="K130" i="26"/>
  <c r="K63" i="25"/>
  <c r="I113" i="26"/>
  <c r="Y23" i="35"/>
  <c r="I19" i="26"/>
  <c r="Z23" i="35"/>
  <c r="X23" i="35"/>
  <c r="I156" i="21"/>
  <c r="W27" i="35"/>
  <c r="M42" i="38" l="1"/>
  <c r="M39" i="38"/>
  <c r="I69" i="48"/>
  <c r="I25" i="44"/>
  <c r="G28" i="26" s="1"/>
  <c r="AE189" i="36"/>
  <c r="AG189" i="36"/>
  <c r="L193" i="36"/>
  <c r="J193" i="36"/>
  <c r="AA22" i="38"/>
  <c r="K67" i="25"/>
  <c r="K68" i="25"/>
  <c r="K152" i="25" s="1"/>
  <c r="L97" i="25"/>
  <c r="K182" i="26"/>
  <c r="K190" i="26"/>
  <c r="L82" i="25"/>
  <c r="Y24" i="35"/>
  <c r="Y77" i="35" s="1"/>
  <c r="Y82" i="35" s="1"/>
  <c r="Y25" i="35"/>
  <c r="I70" i="48"/>
  <c r="AA27" i="35"/>
  <c r="Q69" i="36" s="1"/>
  <c r="W76" i="35"/>
  <c r="AA76" i="35" s="1"/>
  <c r="Z25" i="35"/>
  <c r="Z24" i="35"/>
  <c r="Z77" i="35" s="1"/>
  <c r="Z82" i="35" s="1"/>
  <c r="I24" i="26"/>
  <c r="I19" i="25"/>
  <c r="I91" i="44"/>
  <c r="G76" i="26" s="1"/>
  <c r="X24" i="35"/>
  <c r="X77" i="35" s="1"/>
  <c r="X82" i="35" s="1"/>
  <c r="X25" i="35"/>
  <c r="W23" i="35"/>
  <c r="AA18" i="35"/>
  <c r="K186" i="26" l="1"/>
  <c r="K74" i="25"/>
  <c r="K76" i="25" s="1"/>
  <c r="L15" i="25" s="1"/>
  <c r="L107" i="25"/>
  <c r="L111" i="25" s="1"/>
  <c r="L112" i="25" s="1"/>
  <c r="L99" i="25" s="1"/>
  <c r="L30" i="25" s="1"/>
  <c r="L106" i="25"/>
  <c r="L101" i="25"/>
  <c r="L104" i="25" s="1"/>
  <c r="L29" i="25" s="1"/>
  <c r="L122" i="26" s="1"/>
  <c r="L85" i="25"/>
  <c r="K137" i="26"/>
  <c r="K78" i="25"/>
  <c r="K69" i="25"/>
  <c r="I93" i="6"/>
  <c r="F95" i="6" s="1"/>
  <c r="I94" i="44"/>
  <c r="W25" i="35"/>
  <c r="AA23" i="35"/>
  <c r="W24" i="35"/>
  <c r="I112" i="26"/>
  <c r="I25" i="26"/>
  <c r="Q68" i="36"/>
  <c r="T68" i="36" s="1"/>
  <c r="T69" i="36"/>
  <c r="I14" i="47"/>
  <c r="I72" i="48"/>
  <c r="M46" i="38" l="1"/>
  <c r="N31" i="38"/>
  <c r="L108" i="25"/>
  <c r="L35" i="25"/>
  <c r="K77" i="25"/>
  <c r="K138" i="26"/>
  <c r="K140" i="26" s="1"/>
  <c r="K145" i="26" s="1"/>
  <c r="K147" i="26" s="1"/>
  <c r="AA21" i="38"/>
  <c r="K165" i="26"/>
  <c r="L66" i="25"/>
  <c r="AY290" i="36"/>
  <c r="L84" i="26"/>
  <c r="L105" i="26"/>
  <c r="AA25" i="35"/>
  <c r="Q66" i="36"/>
  <c r="I17" i="25"/>
  <c r="I16" i="47"/>
  <c r="I114" i="6"/>
  <c r="I95" i="44"/>
  <c r="I82" i="26"/>
  <c r="I77" i="26"/>
  <c r="AA24" i="35"/>
  <c r="W77" i="35"/>
  <c r="N84" i="35" l="1"/>
  <c r="N14" i="38"/>
  <c r="L106" i="26"/>
  <c r="L146" i="26"/>
  <c r="K148" i="26"/>
  <c r="K162" i="26"/>
  <c r="AY289" i="36"/>
  <c r="L71" i="25"/>
  <c r="L28" i="25" s="1"/>
  <c r="L70" i="25"/>
  <c r="M47" i="38"/>
  <c r="M49" i="38" s="1"/>
  <c r="M54" i="38" s="1"/>
  <c r="M56" i="38" s="1"/>
  <c r="AA77" i="35"/>
  <c r="W82" i="35"/>
  <c r="AA82" i="35" s="1"/>
  <c r="I110" i="26"/>
  <c r="AG185" i="36"/>
  <c r="AE185" i="36"/>
  <c r="T66" i="36"/>
  <c r="Q67" i="36"/>
  <c r="K163" i="26" l="1"/>
  <c r="AA19" i="38"/>
  <c r="M57" i="38"/>
  <c r="N55" i="38"/>
  <c r="L121" i="26"/>
  <c r="L83" i="26"/>
  <c r="L36" i="25"/>
  <c r="N15" i="38"/>
  <c r="T67" i="36"/>
  <c r="Q72" i="36"/>
  <c r="AY274" i="36"/>
  <c r="N83" i="35" l="1"/>
  <c r="N30" i="38"/>
  <c r="L87" i="26"/>
  <c r="L126" i="26"/>
  <c r="L39" i="25"/>
  <c r="L42" i="25" s="1"/>
  <c r="T72" i="36"/>
  <c r="Q77" i="36"/>
  <c r="N35" i="38" l="1"/>
  <c r="N87" i="35"/>
  <c r="L43" i="25"/>
  <c r="L130" i="26"/>
  <c r="L83" i="25"/>
  <c r="L84" i="25" s="1"/>
  <c r="T77" i="36"/>
  <c r="Q79" i="36"/>
  <c r="N39" i="38" l="1"/>
  <c r="L190" i="26"/>
  <c r="M82" i="25"/>
  <c r="L45" i="25"/>
  <c r="L46" i="25" s="1"/>
  <c r="L51" i="25" s="1"/>
  <c r="L56" i="25" s="1"/>
  <c r="L61" i="25" s="1"/>
  <c r="T79" i="36"/>
  <c r="L133" i="26" l="1"/>
  <c r="L98" i="25"/>
  <c r="L100" i="25" s="1"/>
  <c r="L63" i="25"/>
  <c r="M85" i="25"/>
  <c r="N42" i="38" l="1"/>
  <c r="L67" i="25"/>
  <c r="L68" i="25"/>
  <c r="L152" i="25" s="1"/>
  <c r="L182" i="26"/>
  <c r="M97" i="25"/>
  <c r="L186" i="26" l="1"/>
  <c r="L74" i="25"/>
  <c r="L76" i="25" s="1"/>
  <c r="M107" i="25"/>
  <c r="M111" i="25" s="1"/>
  <c r="M112" i="25" s="1"/>
  <c r="M99" i="25" s="1"/>
  <c r="M30" i="25" s="1"/>
  <c r="M106" i="25"/>
  <c r="M101" i="25"/>
  <c r="M104" i="25" s="1"/>
  <c r="M29" i="25" s="1"/>
  <c r="M122" i="26" s="1"/>
  <c r="L137" i="26"/>
  <c r="L78" i="25"/>
  <c r="L69" i="25"/>
  <c r="N46" i="38" l="1"/>
  <c r="O31" i="38"/>
  <c r="M108" i="25"/>
  <c r="M66" i="25"/>
  <c r="L165" i="26"/>
  <c r="AZ290" i="36"/>
  <c r="L138" i="26"/>
  <c r="L140" i="26" s="1"/>
  <c r="L145" i="26" s="1"/>
  <c r="L147" i="26" s="1"/>
  <c r="L77" i="25"/>
  <c r="M15" i="25"/>
  <c r="M35" i="25"/>
  <c r="N47" i="38" l="1"/>
  <c r="N49" i="38" s="1"/>
  <c r="N54" i="38" s="1"/>
  <c r="N56" i="38" s="1"/>
  <c r="M105" i="26"/>
  <c r="M84" i="26"/>
  <c r="L148" i="26"/>
  <c r="L162" i="26"/>
  <c r="M146" i="26"/>
  <c r="AZ289" i="36"/>
  <c r="M71" i="25"/>
  <c r="M28" i="25" s="1"/>
  <c r="M70" i="25"/>
  <c r="O84" i="35" l="1"/>
  <c r="O14" i="38"/>
  <c r="L163" i="26"/>
  <c r="M106" i="26"/>
  <c r="M121" i="26"/>
  <c r="M83" i="26"/>
  <c r="O55" i="38"/>
  <c r="N57" i="38"/>
  <c r="M36" i="25"/>
  <c r="O83" i="35" l="1"/>
  <c r="O30" i="38"/>
  <c r="M39" i="25"/>
  <c r="M42" i="25" s="1"/>
  <c r="M126" i="26"/>
  <c r="O15" i="38"/>
  <c r="M87" i="26"/>
  <c r="O35" i="38" l="1"/>
  <c r="O87" i="35"/>
  <c r="M43" i="25"/>
  <c r="M45" i="25" s="1"/>
  <c r="M130" i="26"/>
  <c r="M83" i="25"/>
  <c r="M84" i="25" s="1"/>
  <c r="O39" i="38" l="1"/>
  <c r="N82" i="25"/>
  <c r="M190" i="26"/>
  <c r="M46" i="25"/>
  <c r="M51" i="25" s="1"/>
  <c r="M56" i="25" s="1"/>
  <c r="M61" i="25" s="1"/>
  <c r="M98" i="25"/>
  <c r="M100" i="25" s="1"/>
  <c r="M133" i="26"/>
  <c r="M63" i="25"/>
  <c r="O42" i="38" l="1"/>
  <c r="M67" i="25"/>
  <c r="M68" i="25"/>
  <c r="M152" i="25" s="1"/>
  <c r="M182" i="26"/>
  <c r="N97" i="25"/>
  <c r="N85" i="25"/>
  <c r="M186" i="26" l="1"/>
  <c r="M74" i="25"/>
  <c r="M76" i="25" s="1"/>
  <c r="N35" i="25" s="1"/>
  <c r="N107" i="25"/>
  <c r="N111" i="25" s="1"/>
  <c r="N112" i="25" s="1"/>
  <c r="N99" i="25" s="1"/>
  <c r="N30" i="25" s="1"/>
  <c r="N101" i="25"/>
  <c r="N104" i="25" s="1"/>
  <c r="N29" i="25" s="1"/>
  <c r="N122" i="26" s="1"/>
  <c r="N106" i="25"/>
  <c r="M137" i="26"/>
  <c r="M78" i="25"/>
  <c r="M69" i="25"/>
  <c r="P31" i="38" l="1"/>
  <c r="O46" i="38"/>
  <c r="M77" i="25"/>
  <c r="N15" i="25"/>
  <c r="N105" i="26" s="1"/>
  <c r="M138" i="26"/>
  <c r="M140" i="26" s="1"/>
  <c r="M145" i="26" s="1"/>
  <c r="M147" i="26" s="1"/>
  <c r="M165" i="26"/>
  <c r="N66" i="25"/>
  <c r="BA290" i="36"/>
  <c r="N108" i="25"/>
  <c r="P14" i="38" l="1"/>
  <c r="P15" i="38" s="1"/>
  <c r="N84" i="26"/>
  <c r="N71" i="25"/>
  <c r="N28" i="25" s="1"/>
  <c r="N70" i="25"/>
  <c r="N106" i="26"/>
  <c r="O47" i="38"/>
  <c r="O49" i="38" s="1"/>
  <c r="O54" i="38" s="1"/>
  <c r="O56" i="38" s="1"/>
  <c r="N146" i="26"/>
  <c r="M162" i="26"/>
  <c r="M148" i="26"/>
  <c r="BA289" i="36"/>
  <c r="P84" i="35" l="1"/>
  <c r="M163" i="26"/>
  <c r="P55" i="38"/>
  <c r="O57" i="38"/>
  <c r="N121" i="26"/>
  <c r="N83" i="26"/>
  <c r="N36" i="25"/>
  <c r="P83" i="35" l="1"/>
  <c r="P87" i="35" s="1"/>
  <c r="P30" i="38"/>
  <c r="P35" i="38" s="1"/>
  <c r="N126" i="26"/>
  <c r="N39" i="25"/>
  <c r="N42" i="25" s="1"/>
  <c r="N87" i="26"/>
  <c r="N43" i="25" l="1"/>
  <c r="N130" i="26"/>
  <c r="N83" i="25"/>
  <c r="N84" i="25" s="1"/>
  <c r="I29" i="47"/>
  <c r="P39" i="38" l="1"/>
  <c r="O82" i="25"/>
  <c r="O85" i="25" s="1"/>
  <c r="N190" i="26"/>
  <c r="N45" i="25"/>
  <c r="N46" i="25" s="1"/>
  <c r="N51" i="25" s="1"/>
  <c r="N56" i="25" s="1"/>
  <c r="N61" i="25" s="1"/>
  <c r="AC48" i="36"/>
  <c r="J41" i="36"/>
  <c r="I33" i="25"/>
  <c r="L146" i="36"/>
  <c r="L141" i="36" s="1"/>
  <c r="I206" i="26"/>
  <c r="O146" i="36"/>
  <c r="O141" i="36" s="1"/>
  <c r="N133" i="26" l="1"/>
  <c r="N98" i="25"/>
  <c r="N100" i="25" s="1"/>
  <c r="N63" i="25"/>
  <c r="I210" i="26"/>
  <c r="I124" i="26"/>
  <c r="P42" i="38" l="1"/>
  <c r="N67" i="25"/>
  <c r="N68" i="25"/>
  <c r="N152" i="25" s="1"/>
  <c r="O97" i="25"/>
  <c r="N182" i="26"/>
  <c r="AA33" i="38"/>
  <c r="I211" i="26"/>
  <c r="N186" i="26" l="1"/>
  <c r="O101" i="25"/>
  <c r="O104" i="25" s="1"/>
  <c r="O29" i="25" s="1"/>
  <c r="O122" i="26" s="1"/>
  <c r="O107" i="25"/>
  <c r="O111" i="25" s="1"/>
  <c r="O112" i="25" s="1"/>
  <c r="O99" i="25" s="1"/>
  <c r="O30" i="25" s="1"/>
  <c r="O106" i="25"/>
  <c r="N74" i="25"/>
  <c r="N76" i="25" s="1"/>
  <c r="N137" i="26"/>
  <c r="N78" i="25"/>
  <c r="N69" i="25"/>
  <c r="AC38" i="36"/>
  <c r="I18" i="25"/>
  <c r="J190" i="36"/>
  <c r="I15" i="47"/>
  <c r="L190" i="36"/>
  <c r="P46" i="38" l="1"/>
  <c r="Q31" i="38"/>
  <c r="O108" i="25"/>
  <c r="O15" i="25"/>
  <c r="N77" i="25"/>
  <c r="O35" i="25"/>
  <c r="BB290" i="36"/>
  <c r="O66" i="25"/>
  <c r="N165" i="26"/>
  <c r="N138" i="26"/>
  <c r="N140" i="26" s="1"/>
  <c r="N145" i="26" s="1"/>
  <c r="N147" i="26" s="1"/>
  <c r="I21" i="47"/>
  <c r="I23" i="47" s="1"/>
  <c r="L153" i="36"/>
  <c r="I18" i="47"/>
  <c r="I111" i="26"/>
  <c r="P47" i="38" l="1"/>
  <c r="P49" i="38" s="1"/>
  <c r="P54" i="38" s="1"/>
  <c r="P56" i="38" s="1"/>
  <c r="O146" i="26"/>
  <c r="N148" i="26"/>
  <c r="BB289" i="36"/>
  <c r="N162" i="26"/>
  <c r="O70" i="25"/>
  <c r="O71" i="25"/>
  <c r="O28" i="25" s="1"/>
  <c r="O36" i="25" s="1"/>
  <c r="O84" i="26"/>
  <c r="O105" i="26"/>
  <c r="AA20" i="38"/>
  <c r="I27" i="47"/>
  <c r="H23" i="47"/>
  <c r="F306" i="1" s="1"/>
  <c r="H306" i="1" s="1"/>
  <c r="Q84" i="35" l="1"/>
  <c r="Q14" i="38"/>
  <c r="Q15" i="38" s="1"/>
  <c r="N163" i="26"/>
  <c r="O106" i="26"/>
  <c r="O121" i="26"/>
  <c r="O83" i="26"/>
  <c r="O39" i="25"/>
  <c r="P57" i="38"/>
  <c r="Q55" i="38"/>
  <c r="AG187" i="36"/>
  <c r="AE187" i="36"/>
  <c r="Q83" i="35" l="1"/>
  <c r="Q30" i="38"/>
  <c r="O87" i="26"/>
  <c r="O126" i="26"/>
  <c r="O42" i="25"/>
  <c r="O43" i="25" s="1"/>
  <c r="O45" i="25" s="1"/>
  <c r="O46" i="25" l="1"/>
  <c r="O51" i="25" s="1"/>
  <c r="O56" i="25" s="1"/>
  <c r="O61" i="25" s="1"/>
  <c r="O98" i="25"/>
  <c r="O100" i="25" s="1"/>
  <c r="O133" i="26"/>
  <c r="Q42" i="38" s="1"/>
  <c r="O83" i="25"/>
  <c r="O84" i="25" s="1"/>
  <c r="O130" i="26"/>
  <c r="Q39" i="38" s="1"/>
  <c r="O63" i="25"/>
  <c r="O67" i="25" l="1"/>
  <c r="O68" i="25"/>
  <c r="O152" i="25" s="1"/>
  <c r="P97" i="25"/>
  <c r="O182" i="26"/>
  <c r="O186" i="26" s="1"/>
  <c r="O190" i="26"/>
  <c r="P82" i="25"/>
  <c r="P85" i="25" s="1"/>
  <c r="P106" i="25" l="1"/>
  <c r="P101" i="25"/>
  <c r="P104" i="25" s="1"/>
  <c r="P29" i="25" s="1"/>
  <c r="P122" i="26" s="1"/>
  <c r="P107" i="25"/>
  <c r="P111" i="25" s="1"/>
  <c r="P112" i="25" s="1"/>
  <c r="P99" i="25" s="1"/>
  <c r="P30" i="25" s="1"/>
  <c r="O74" i="25"/>
  <c r="O76" i="25" s="1"/>
  <c r="O78" i="25"/>
  <c r="O137" i="26"/>
  <c r="O69" i="25"/>
  <c r="Q35" i="38" l="1"/>
  <c r="R31" i="38"/>
  <c r="O138" i="26"/>
  <c r="O140" i="26" s="1"/>
  <c r="O145" i="26" s="1"/>
  <c r="O147" i="26" s="1"/>
  <c r="O162" i="26" s="1"/>
  <c r="O163" i="26" s="1"/>
  <c r="Q46" i="38"/>
  <c r="P35" i="25"/>
  <c r="P15" i="25"/>
  <c r="O77" i="25"/>
  <c r="P66" i="25"/>
  <c r="O165" i="26"/>
  <c r="BC290" i="36"/>
  <c r="P108" i="25"/>
  <c r="BC289" i="36" l="1"/>
  <c r="P146" i="26"/>
  <c r="O148" i="26"/>
  <c r="P105" i="26"/>
  <c r="R14" i="38" s="1"/>
  <c r="P84" i="26"/>
  <c r="P71" i="25"/>
  <c r="P28" i="25" s="1"/>
  <c r="P70" i="25"/>
  <c r="Q87" i="35" l="1"/>
  <c r="R84" i="35"/>
  <c r="P83" i="26"/>
  <c r="R83" i="35" s="1"/>
  <c r="P121" i="26"/>
  <c r="R30" i="38" s="1"/>
  <c r="P36" i="25"/>
  <c r="P106" i="26"/>
  <c r="R15" i="38"/>
  <c r="P39" i="25" l="1"/>
  <c r="P42" i="25" s="1"/>
  <c r="P126" i="26"/>
  <c r="P87" i="26"/>
  <c r="P43" i="25" l="1"/>
  <c r="P45" i="25" s="1"/>
  <c r="P83" i="25"/>
  <c r="P84" i="25" s="1"/>
  <c r="P130" i="26"/>
  <c r="R39" i="38" s="1"/>
  <c r="P46" i="25" l="1"/>
  <c r="P51" i="25" s="1"/>
  <c r="P56" i="25" s="1"/>
  <c r="P61" i="25" s="1"/>
  <c r="P133" i="26"/>
  <c r="R42" i="38" s="1"/>
  <c r="P98" i="25"/>
  <c r="P100" i="25" s="1"/>
  <c r="Q82" i="25"/>
  <c r="Q85" i="25" s="1"/>
  <c r="P190" i="26"/>
  <c r="P63" i="25"/>
  <c r="P68" i="25" l="1"/>
  <c r="P152" i="25" s="1"/>
  <c r="P67" i="25"/>
  <c r="P182" i="26"/>
  <c r="P186" i="26" s="1"/>
  <c r="Q97" i="25"/>
  <c r="P78" i="25" l="1"/>
  <c r="P137" i="26"/>
  <c r="R46" i="38" s="1"/>
  <c r="P69" i="25"/>
  <c r="P74" i="25"/>
  <c r="P76" i="25" s="1"/>
  <c r="Q106" i="25"/>
  <c r="Q107" i="25"/>
  <c r="Q111" i="25" s="1"/>
  <c r="Q112" i="25" s="1"/>
  <c r="Q99" i="25" s="1"/>
  <c r="Q30" i="25" s="1"/>
  <c r="Q101" i="25"/>
  <c r="Q104" i="25" s="1"/>
  <c r="Q29" i="25" s="1"/>
  <c r="Q122" i="26" s="1"/>
  <c r="R35" i="38" l="1"/>
  <c r="S31" i="38"/>
  <c r="Q108" i="25"/>
  <c r="P77" i="25"/>
  <c r="Q15" i="25"/>
  <c r="Q35" i="25"/>
  <c r="P165" i="26"/>
  <c r="BD290" i="36"/>
  <c r="Q66" i="25"/>
  <c r="Q47" i="38"/>
  <c r="Q49" i="38" s="1"/>
  <c r="Q54" i="38" s="1"/>
  <c r="Q56" i="38" s="1"/>
  <c r="P138" i="26"/>
  <c r="P140" i="26" s="1"/>
  <c r="P145" i="26" s="1"/>
  <c r="P147" i="26" s="1"/>
  <c r="BD289" i="36" l="1"/>
  <c r="P148" i="26"/>
  <c r="Q146" i="26"/>
  <c r="P162" i="26"/>
  <c r="P163" i="26" s="1"/>
  <c r="Q57" i="38"/>
  <c r="R55" i="38"/>
  <c r="Q71" i="25"/>
  <c r="Q28" i="25" s="1"/>
  <c r="Q36" i="25" s="1"/>
  <c r="Q70" i="25"/>
  <c r="Q105" i="26"/>
  <c r="S14" i="38" s="1"/>
  <c r="Q84" i="26"/>
  <c r="R87" i="35" l="1"/>
  <c r="S84" i="35"/>
  <c r="Q106" i="26"/>
  <c r="S15" i="38"/>
  <c r="Q121" i="26"/>
  <c r="S30" i="38" s="1"/>
  <c r="Q83" i="26"/>
  <c r="S83" i="35" s="1"/>
  <c r="Q39" i="25"/>
  <c r="Q42" i="25" s="1"/>
  <c r="Q87" i="26" l="1"/>
  <c r="Q126" i="26"/>
  <c r="Q43" i="25"/>
  <c r="Q45" i="25" s="1"/>
  <c r="Q83" i="25"/>
  <c r="Q84" i="25" s="1"/>
  <c r="Q130" i="26"/>
  <c r="S39" i="38" s="1"/>
  <c r="R82" i="25" l="1"/>
  <c r="R85" i="25" s="1"/>
  <c r="Q190" i="26"/>
  <c r="Q46" i="25"/>
  <c r="Q51" i="25" s="1"/>
  <c r="Q56" i="25" s="1"/>
  <c r="Q61" i="25" s="1"/>
  <c r="Q133" i="26"/>
  <c r="S42" i="38" s="1"/>
  <c r="Q98" i="25"/>
  <c r="Q100" i="25" s="1"/>
  <c r="Q63" i="25"/>
  <c r="Q67" i="25" l="1"/>
  <c r="Q68" i="25"/>
  <c r="Q152" i="25" s="1"/>
  <c r="R97" i="25"/>
  <c r="Q182" i="26"/>
  <c r="Q186" i="26" s="1"/>
  <c r="Q74" i="25" l="1"/>
  <c r="Q76" i="25" s="1"/>
  <c r="R15" i="25" s="1"/>
  <c r="R110" i="25"/>
  <c r="R106" i="25"/>
  <c r="R101" i="25"/>
  <c r="R104" i="25" s="1"/>
  <c r="R29" i="25" s="1"/>
  <c r="R122" i="26" s="1"/>
  <c r="R107" i="25"/>
  <c r="R111" i="25" s="1"/>
  <c r="Q78" i="25"/>
  <c r="Q137" i="26"/>
  <c r="S46" i="38" s="1"/>
  <c r="Q69" i="25"/>
  <c r="S35" i="38" l="1"/>
  <c r="T31" i="38"/>
  <c r="R35" i="25"/>
  <c r="Q77" i="25"/>
  <c r="R112" i="25"/>
  <c r="R99" i="25" s="1"/>
  <c r="R30" i="25" s="1"/>
  <c r="R105" i="26"/>
  <c r="T14" i="38" s="1"/>
  <c r="R84" i="26"/>
  <c r="R66" i="25"/>
  <c r="Q165" i="26"/>
  <c r="BE290" i="36"/>
  <c r="R47" i="38"/>
  <c r="R49" i="38" s="1"/>
  <c r="R54" i="38" s="1"/>
  <c r="R56" i="38" s="1"/>
  <c r="Q138" i="26"/>
  <c r="Q140" i="26" s="1"/>
  <c r="Q145" i="26" s="1"/>
  <c r="Q147" i="26" s="1"/>
  <c r="R108" i="25"/>
  <c r="S87" i="35" l="1"/>
  <c r="T84" i="35"/>
  <c r="Q148" i="26"/>
  <c r="R146" i="26"/>
  <c r="BE289" i="36"/>
  <c r="Q162" i="26"/>
  <c r="Q163" i="26" s="1"/>
  <c r="R71" i="25"/>
  <c r="R28" i="25" s="1"/>
  <c r="R70" i="25"/>
  <c r="R57" i="38"/>
  <c r="S55" i="38"/>
  <c r="R106" i="26"/>
  <c r="T15" i="38"/>
  <c r="R121" i="26" l="1"/>
  <c r="T30" i="38" s="1"/>
  <c r="R83" i="26"/>
  <c r="T83" i="35" s="1"/>
  <c r="R36" i="25"/>
  <c r="R39" i="25" l="1"/>
  <c r="R42" i="25" s="1"/>
  <c r="R87" i="26"/>
  <c r="R126" i="26"/>
  <c r="R43" i="25" l="1"/>
  <c r="R45" i="25" s="1"/>
  <c r="R130" i="26"/>
  <c r="T39" i="38" s="1"/>
  <c r="R83" i="25"/>
  <c r="R84" i="25" s="1"/>
  <c r="R46" i="25" l="1"/>
  <c r="R51" i="25" s="1"/>
  <c r="R56" i="25" s="1"/>
  <c r="R61" i="25" s="1"/>
  <c r="R98" i="25"/>
  <c r="R100" i="25" s="1"/>
  <c r="R133" i="26"/>
  <c r="T42" i="38" s="1"/>
  <c r="R190" i="26"/>
  <c r="S82" i="25"/>
  <c r="S85" i="25" s="1"/>
  <c r="R63" i="25"/>
  <c r="R67" i="25" l="1"/>
  <c r="R68" i="25"/>
  <c r="R152" i="25" s="1"/>
  <c r="R182" i="26"/>
  <c r="R186" i="26" s="1"/>
  <c r="S97" i="25"/>
  <c r="R74" i="25" l="1"/>
  <c r="R76" i="25" s="1"/>
  <c r="S35" i="25" s="1"/>
  <c r="S107" i="25"/>
  <c r="S111" i="25" s="1"/>
  <c r="S112" i="25" s="1"/>
  <c r="S99" i="25" s="1"/>
  <c r="S30" i="25" s="1"/>
  <c r="S106" i="25"/>
  <c r="S101" i="25"/>
  <c r="S104" i="25" s="1"/>
  <c r="S29" i="25" s="1"/>
  <c r="S122" i="26" s="1"/>
  <c r="R137" i="26"/>
  <c r="T46" i="38" s="1"/>
  <c r="R78" i="25"/>
  <c r="R69" i="25"/>
  <c r="T35" i="38" l="1"/>
  <c r="U31" i="38"/>
  <c r="S15" i="25"/>
  <c r="S105" i="26" s="1"/>
  <c r="U14" i="38" s="1"/>
  <c r="R77" i="25"/>
  <c r="S108" i="25"/>
  <c r="S47" i="38"/>
  <c r="S49" i="38" s="1"/>
  <c r="S54" i="38" s="1"/>
  <c r="S56" i="38" s="1"/>
  <c r="R138" i="26"/>
  <c r="R140" i="26" s="1"/>
  <c r="R145" i="26" s="1"/>
  <c r="R147" i="26" s="1"/>
  <c r="R165" i="26"/>
  <c r="BF290" i="36"/>
  <c r="S66" i="25"/>
  <c r="S84" i="26" l="1"/>
  <c r="S71" i="25"/>
  <c r="S28" i="25" s="1"/>
  <c r="S70" i="25"/>
  <c r="S106" i="26"/>
  <c r="R162" i="26"/>
  <c r="R163" i="26" s="1"/>
  <c r="BF289" i="36"/>
  <c r="R148" i="26"/>
  <c r="S146" i="26"/>
  <c r="T55" i="38"/>
  <c r="S57" i="38"/>
  <c r="T87" i="35" l="1"/>
  <c r="U84" i="35"/>
  <c r="U15" i="38"/>
  <c r="V14" i="38"/>
  <c r="V15" i="38" s="1"/>
  <c r="S83" i="26"/>
  <c r="U83" i="35" s="1"/>
  <c r="S121" i="26"/>
  <c r="U30" i="38" s="1"/>
  <c r="S36" i="25"/>
  <c r="S126" i="26" l="1"/>
  <c r="V30" i="38"/>
  <c r="S87" i="26"/>
  <c r="S39" i="25"/>
  <c r="S42" i="25" s="1"/>
  <c r="V83" i="35" l="1"/>
  <c r="S43" i="25"/>
  <c r="S45" i="25" s="1"/>
  <c r="S130" i="26"/>
  <c r="U39" i="38" s="1"/>
  <c r="S83" i="25"/>
  <c r="S84" i="25" s="1"/>
  <c r="S46" i="25" l="1"/>
  <c r="S51" i="25" s="1"/>
  <c r="S56" i="25" s="1"/>
  <c r="S61" i="25" s="1"/>
  <c r="S98" i="25"/>
  <c r="S100" i="25" s="1"/>
  <c r="S133" i="26"/>
  <c r="U42" i="38" s="1"/>
  <c r="S63" i="25"/>
  <c r="T82" i="25"/>
  <c r="T85" i="25" s="1"/>
  <c r="S190" i="26"/>
  <c r="T97" i="25" l="1"/>
  <c r="S182" i="26"/>
  <c r="S186" i="26" s="1"/>
  <c r="V39" i="38"/>
  <c r="S67" i="25"/>
  <c r="S68" i="25"/>
  <c r="S152" i="25" s="1"/>
  <c r="V42" i="38" l="1"/>
  <c r="L164" i="36"/>
  <c r="S74" i="25"/>
  <c r="S76" i="25" s="1"/>
  <c r="S78" i="25"/>
  <c r="S137" i="26"/>
  <c r="U46" i="38" s="1"/>
  <c r="S69" i="25"/>
  <c r="T107" i="25"/>
  <c r="T111" i="25" s="1"/>
  <c r="T112" i="25" s="1"/>
  <c r="T99" i="25" s="1"/>
  <c r="T30" i="25" s="1"/>
  <c r="T106" i="25"/>
  <c r="T101" i="25"/>
  <c r="T104" i="25" s="1"/>
  <c r="T29" i="25" s="1"/>
  <c r="T122" i="26" s="1"/>
  <c r="V31" i="38" s="1"/>
  <c r="T108" i="25" l="1"/>
  <c r="T47" i="38"/>
  <c r="T49" i="38" s="1"/>
  <c r="T54" i="38" s="1"/>
  <c r="T56" i="38" s="1"/>
  <c r="S138" i="26"/>
  <c r="S140" i="26" s="1"/>
  <c r="S145" i="26" s="1"/>
  <c r="S147" i="26" s="1"/>
  <c r="T35" i="25"/>
  <c r="T15" i="25"/>
  <c r="S77" i="25"/>
  <c r="S165" i="26"/>
  <c r="BG290" i="36"/>
  <c r="T66" i="25"/>
  <c r="T70" i="25" l="1"/>
  <c r="T71" i="25"/>
  <c r="T28" i="25" s="1"/>
  <c r="T105" i="26"/>
  <c r="T106" i="26" s="1"/>
  <c r="T84" i="26"/>
  <c r="T146" i="26"/>
  <c r="BG289" i="36"/>
  <c r="S162" i="26"/>
  <c r="S163" i="26" s="1"/>
  <c r="S148" i="26"/>
  <c r="V46" i="38"/>
  <c r="U47" i="38"/>
  <c r="T57" i="38"/>
  <c r="U55" i="38"/>
  <c r="V84" i="35" l="1"/>
  <c r="L80" i="36" s="1"/>
  <c r="U87" i="35"/>
  <c r="V87" i="35" s="1"/>
  <c r="T83" i="26"/>
  <c r="T87" i="26" s="1"/>
  <c r="T121" i="26"/>
  <c r="L165" i="36"/>
  <c r="V47" i="38"/>
  <c r="L166" i="36"/>
  <c r="L169" i="36" l="1"/>
  <c r="O80" i="36"/>
  <c r="L81" i="36"/>
  <c r="O81" i="36" s="1"/>
  <c r="J36" i="47" l="1"/>
  <c r="J43" i="47" s="1"/>
  <c r="J45" i="47" s="1"/>
  <c r="J65" i="47" l="1"/>
  <c r="J69" i="47" s="1"/>
  <c r="T60" i="47"/>
  <c r="T62" i="47" s="1"/>
  <c r="T70" i="47" s="1"/>
  <c r="T34" i="25" s="1"/>
  <c r="F203" i="1"/>
  <c r="P65" i="47"/>
  <c r="P69" i="47" s="1"/>
  <c r="L65" i="47"/>
  <c r="L88" i="26" s="1"/>
  <c r="N88" i="35" s="1"/>
  <c r="Q65" i="47"/>
  <c r="Q88" i="26" s="1"/>
  <c r="S88" i="35" s="1"/>
  <c r="M65" i="47"/>
  <c r="M88" i="26" s="1"/>
  <c r="O88" i="35" s="1"/>
  <c r="J40" i="47"/>
  <c r="J41" i="47" s="1"/>
  <c r="K39" i="47" s="1"/>
  <c r="S65" i="47"/>
  <c r="S88" i="26" s="1"/>
  <c r="U88" i="35" s="1"/>
  <c r="O65" i="47"/>
  <c r="O69" i="47" s="1"/>
  <c r="K65" i="47"/>
  <c r="K88" i="26" s="1"/>
  <c r="M88" i="35" s="1"/>
  <c r="R65" i="47"/>
  <c r="R88" i="26" s="1"/>
  <c r="T88" i="35" s="1"/>
  <c r="N65" i="47"/>
  <c r="N69" i="47" s="1"/>
  <c r="X60" i="47"/>
  <c r="X62" i="47" s="1"/>
  <c r="X70" i="47" s="1"/>
  <c r="X34" i="25" s="1"/>
  <c r="X125" i="26" s="1"/>
  <c r="AA60" i="47"/>
  <c r="AA62" i="47" s="1"/>
  <c r="AA70" i="47" s="1"/>
  <c r="AA34" i="25" s="1"/>
  <c r="AA125" i="26" s="1"/>
  <c r="AD60" i="47"/>
  <c r="AD62" i="47" s="1"/>
  <c r="AD70" i="47" s="1"/>
  <c r="AD34" i="25" s="1"/>
  <c r="AD125" i="26" s="1"/>
  <c r="W60" i="47"/>
  <c r="W62" i="47" s="1"/>
  <c r="W70" i="47" s="1"/>
  <c r="W34" i="25" s="1"/>
  <c r="W125" i="26" s="1"/>
  <c r="Z60" i="47"/>
  <c r="Z62" i="47" s="1"/>
  <c r="Z70" i="47" s="1"/>
  <c r="Z34" i="25" s="1"/>
  <c r="Z125" i="26" s="1"/>
  <c r="AC60" i="47"/>
  <c r="AC62" i="47" s="1"/>
  <c r="AC70" i="47" s="1"/>
  <c r="AC34" i="25" s="1"/>
  <c r="AC125" i="26" s="1"/>
  <c r="U60" i="47"/>
  <c r="V60" i="47"/>
  <c r="V62" i="47" s="1"/>
  <c r="V70" i="47" s="1"/>
  <c r="V34" i="25" s="1"/>
  <c r="V125" i="26" s="1"/>
  <c r="Y60" i="47"/>
  <c r="Y62" i="47" s="1"/>
  <c r="Y70" i="47" s="1"/>
  <c r="Y34" i="25" s="1"/>
  <c r="Y125" i="26" s="1"/>
  <c r="AB60" i="47"/>
  <c r="AB62" i="47" s="1"/>
  <c r="AB70" i="47" s="1"/>
  <c r="AB34" i="25" s="1"/>
  <c r="AB125" i="26" s="1"/>
  <c r="AE60" i="47"/>
  <c r="AE62" i="47" s="1"/>
  <c r="AE70" i="47" s="1"/>
  <c r="AE34" i="25" s="1"/>
  <c r="AE125" i="26" s="1"/>
  <c r="J88" i="26" l="1"/>
  <c r="L88" i="35" s="1"/>
  <c r="L89" i="35" s="1"/>
  <c r="O88" i="26"/>
  <c r="L69" i="47"/>
  <c r="Q69" i="47"/>
  <c r="N88" i="26"/>
  <c r="P88" i="26"/>
  <c r="R69" i="47"/>
  <c r="M69" i="47"/>
  <c r="S69" i="47"/>
  <c r="T125" i="26"/>
  <c r="T36" i="25"/>
  <c r="K69" i="47"/>
  <c r="J89" i="26"/>
  <c r="R89" i="26"/>
  <c r="R95" i="26" s="1"/>
  <c r="S89" i="35"/>
  <c r="L89" i="26"/>
  <c r="L95" i="26" s="1"/>
  <c r="M89" i="35"/>
  <c r="U89" i="35"/>
  <c r="M89" i="26"/>
  <c r="M95" i="26" s="1"/>
  <c r="N89" i="35"/>
  <c r="K89" i="26"/>
  <c r="K95" i="26" s="1"/>
  <c r="O89" i="35"/>
  <c r="U62" i="47"/>
  <c r="J71" i="47"/>
  <c r="Q89" i="26"/>
  <c r="Q95" i="26" s="1"/>
  <c r="S89" i="26"/>
  <c r="S95" i="26" s="1"/>
  <c r="T89" i="35"/>
  <c r="P89" i="26" l="1"/>
  <c r="P95" i="26" s="1"/>
  <c r="R88" i="35"/>
  <c r="R89" i="35" s="1"/>
  <c r="Q88" i="35"/>
  <c r="Q89" i="35" s="1"/>
  <c r="N89" i="26"/>
  <c r="N95" i="26" s="1"/>
  <c r="P88" i="35"/>
  <c r="P89" i="35" s="1"/>
  <c r="O89" i="26"/>
  <c r="O95" i="26" s="1"/>
  <c r="T39" i="25"/>
  <c r="T126" i="26"/>
  <c r="K68" i="47"/>
  <c r="K71" i="47" s="1"/>
  <c r="J174" i="26"/>
  <c r="U70" i="47"/>
  <c r="K89" i="35"/>
  <c r="J95" i="26"/>
  <c r="J90" i="26"/>
  <c r="K90" i="26" s="1"/>
  <c r="L90" i="26" s="1"/>
  <c r="M90" i="26" s="1"/>
  <c r="N90" i="26" l="1"/>
  <c r="O90" i="26" s="1"/>
  <c r="P90" i="26" s="1"/>
  <c r="Q90" i="26" s="1"/>
  <c r="R90" i="26" s="1"/>
  <c r="S90" i="26" s="1"/>
  <c r="V88" i="35"/>
  <c r="L82" i="36" s="1"/>
  <c r="V34" i="38"/>
  <c r="V35" i="38" s="1"/>
  <c r="V49" i="38" s="1"/>
  <c r="V54" i="38" s="1"/>
  <c r="V56" i="38" s="1"/>
  <c r="U35" i="38"/>
  <c r="U49" i="38" s="1"/>
  <c r="U54" i="38" s="1"/>
  <c r="U56" i="38" s="1"/>
  <c r="U57" i="38" s="1"/>
  <c r="T42" i="25"/>
  <c r="T43" i="25" s="1"/>
  <c r="T45" i="25" s="1"/>
  <c r="U34" i="25"/>
  <c r="J96" i="26"/>
  <c r="J176" i="26"/>
  <c r="K90" i="35"/>
  <c r="L90" i="35" s="1"/>
  <c r="M90" i="35" s="1"/>
  <c r="N90" i="35" s="1"/>
  <c r="O90" i="35" s="1"/>
  <c r="P90" i="35" s="1"/>
  <c r="Q90" i="35" s="1"/>
  <c r="R90" i="35" s="1"/>
  <c r="S90" i="35" s="1"/>
  <c r="T90" i="35" s="1"/>
  <c r="U90" i="35" s="1"/>
  <c r="V89" i="35"/>
  <c r="L139" i="36" s="1"/>
  <c r="L68" i="47"/>
  <c r="L71" i="47" s="1"/>
  <c r="K174" i="26"/>
  <c r="K176" i="26" s="1"/>
  <c r="L152" i="36" l="1"/>
  <c r="L154" i="36" s="1"/>
  <c r="L171" i="36" s="1"/>
  <c r="T83" i="25"/>
  <c r="T84" i="25" s="1"/>
  <c r="T130" i="26"/>
  <c r="T63" i="25"/>
  <c r="T46" i="25"/>
  <c r="T51" i="25" s="1"/>
  <c r="T56" i="25" s="1"/>
  <c r="T61" i="25" s="1"/>
  <c r="T98" i="25"/>
  <c r="T100" i="25" s="1"/>
  <c r="T133" i="26"/>
  <c r="V57" i="38"/>
  <c r="W55" i="38"/>
  <c r="AA55" i="38"/>
  <c r="V90" i="35"/>
  <c r="K178" i="26"/>
  <c r="K179" i="26"/>
  <c r="K188" i="26" s="1"/>
  <c r="M68" i="47"/>
  <c r="M71" i="47" s="1"/>
  <c r="L174" i="26"/>
  <c r="J179" i="26"/>
  <c r="J188" i="26" s="1"/>
  <c r="J178" i="26"/>
  <c r="J191" i="26"/>
  <c r="K94" i="26"/>
  <c r="K96" i="26" s="1"/>
  <c r="O82" i="36"/>
  <c r="L83" i="36"/>
  <c r="U125" i="26"/>
  <c r="AC49" i="36"/>
  <c r="L173" i="36" l="1"/>
  <c r="O172" i="36" s="1"/>
  <c r="T67" i="25"/>
  <c r="T68" i="25"/>
  <c r="T152" i="25" s="1"/>
  <c r="U97" i="25"/>
  <c r="T182" i="26"/>
  <c r="T186" i="26" s="1"/>
  <c r="T190" i="26"/>
  <c r="U82" i="25"/>
  <c r="U85" i="25" s="1"/>
  <c r="K191" i="26"/>
  <c r="K192" i="26" s="1"/>
  <c r="K194" i="26" s="1"/>
  <c r="L94" i="26"/>
  <c r="L96" i="26" s="1"/>
  <c r="J192" i="26"/>
  <c r="J194" i="26" s="1"/>
  <c r="O83" i="36"/>
  <c r="L84" i="36"/>
  <c r="AX275" i="36"/>
  <c r="L176" i="26"/>
  <c r="M174" i="26"/>
  <c r="N68" i="47"/>
  <c r="N71" i="47" s="1"/>
  <c r="T74" i="25" l="1"/>
  <c r="T76" i="25" s="1"/>
  <c r="T77" i="25" s="1"/>
  <c r="U107" i="25"/>
  <c r="U111" i="25" s="1"/>
  <c r="U110" i="25"/>
  <c r="U106" i="25"/>
  <c r="U101" i="25"/>
  <c r="U104" i="25" s="1"/>
  <c r="U29" i="25" s="1"/>
  <c r="U122" i="26" s="1"/>
  <c r="T69" i="25"/>
  <c r="T78" i="25"/>
  <c r="T137" i="26"/>
  <c r="T138" i="26" s="1"/>
  <c r="T140" i="26" s="1"/>
  <c r="T145" i="26" s="1"/>
  <c r="T147" i="26" s="1"/>
  <c r="M176" i="26"/>
  <c r="O68" i="47"/>
  <c r="O71" i="47" s="1"/>
  <c r="N174" i="26"/>
  <c r="L179" i="26"/>
  <c r="L188" i="26" s="1"/>
  <c r="L178" i="26"/>
  <c r="K195" i="26"/>
  <c r="L191" i="26"/>
  <c r="M94" i="26"/>
  <c r="M96" i="26" s="1"/>
  <c r="N176" i="26" l="1"/>
  <c r="N179" i="26" s="1"/>
  <c r="N188" i="26" s="1"/>
  <c r="U15" i="25"/>
  <c r="U105" i="26" s="1"/>
  <c r="U106" i="26" s="1"/>
  <c r="U35" i="25"/>
  <c r="U108" i="25"/>
  <c r="T165" i="26"/>
  <c r="U66" i="25"/>
  <c r="BH290" i="36"/>
  <c r="U146" i="26"/>
  <c r="T162" i="26"/>
  <c r="T163" i="26" s="1"/>
  <c r="BH289" i="36"/>
  <c r="T148" i="26"/>
  <c r="U112" i="25"/>
  <c r="U99" i="25" s="1"/>
  <c r="U30" i="25" s="1"/>
  <c r="P68" i="47"/>
  <c r="P71" i="47" s="1"/>
  <c r="O174" i="26"/>
  <c r="M191" i="26"/>
  <c r="M192" i="26" s="1"/>
  <c r="N94" i="26"/>
  <c r="N96" i="26" s="1"/>
  <c r="L192" i="26"/>
  <c r="L194" i="26" s="1"/>
  <c r="M179" i="26"/>
  <c r="M188" i="26" s="1"/>
  <c r="M178" i="26"/>
  <c r="N178" i="26" l="1"/>
  <c r="J40" i="36"/>
  <c r="U84" i="26"/>
  <c r="U70" i="25"/>
  <c r="U71" i="25"/>
  <c r="U28" i="25" s="1"/>
  <c r="M194" i="26"/>
  <c r="M195" i="26" s="1"/>
  <c r="L195" i="26"/>
  <c r="O176" i="26"/>
  <c r="Q68" i="47"/>
  <c r="Q71" i="47" s="1"/>
  <c r="P174" i="26"/>
  <c r="O94" i="26"/>
  <c r="O96" i="26" s="1"/>
  <c r="N191" i="26"/>
  <c r="U83" i="26" l="1"/>
  <c r="U87" i="26" s="1"/>
  <c r="U121" i="26"/>
  <c r="U126" i="26" s="1"/>
  <c r="AC46" i="36"/>
  <c r="U36" i="25"/>
  <c r="U39" i="25" s="1"/>
  <c r="P176" i="26"/>
  <c r="N192" i="26"/>
  <c r="N194" i="26" s="1"/>
  <c r="O191" i="26"/>
  <c r="O192" i="26" s="1"/>
  <c r="P94" i="26"/>
  <c r="P96" i="26" s="1"/>
  <c r="Q174" i="26"/>
  <c r="Q176" i="26" s="1"/>
  <c r="R68" i="47"/>
  <c r="R71" i="47" s="1"/>
  <c r="O179" i="26"/>
  <c r="O188" i="26" s="1"/>
  <c r="O194" i="26" s="1"/>
  <c r="O178" i="26"/>
  <c r="O195" i="26" l="1"/>
  <c r="U42" i="25"/>
  <c r="U43" i="25" s="1"/>
  <c r="S68" i="47"/>
  <c r="S71" i="47" s="1"/>
  <c r="R174" i="26"/>
  <c r="R176" i="26" s="1"/>
  <c r="Q179" i="26"/>
  <c r="Q188" i="26" s="1"/>
  <c r="Q178" i="26"/>
  <c r="N195" i="26"/>
  <c r="Q94" i="26"/>
  <c r="Q96" i="26" s="1"/>
  <c r="P191" i="26"/>
  <c r="P179" i="26"/>
  <c r="P188" i="26" s="1"/>
  <c r="P178" i="26"/>
  <c r="U45" i="25" l="1"/>
  <c r="U46" i="25" s="1"/>
  <c r="U51" i="25" s="1"/>
  <c r="U56" i="25" s="1"/>
  <c r="U61" i="25" s="1"/>
  <c r="U83" i="25"/>
  <c r="U84" i="25" s="1"/>
  <c r="U130" i="26"/>
  <c r="J42" i="36"/>
  <c r="Q191" i="26"/>
  <c r="R94" i="26"/>
  <c r="R96" i="26" s="1"/>
  <c r="R179" i="26"/>
  <c r="R188" i="26" s="1"/>
  <c r="R178" i="26"/>
  <c r="P192" i="26"/>
  <c r="P194" i="26" s="1"/>
  <c r="T68" i="47"/>
  <c r="S174" i="26"/>
  <c r="S176" i="26" s="1"/>
  <c r="U63" i="25" l="1"/>
  <c r="U67" i="25" s="1"/>
  <c r="V82" i="25"/>
  <c r="V85" i="25" s="1"/>
  <c r="U190" i="26"/>
  <c r="U133" i="26"/>
  <c r="J43" i="36"/>
  <c r="U98" i="25"/>
  <c r="U100" i="25" s="1"/>
  <c r="P195" i="26"/>
  <c r="Q192" i="26"/>
  <c r="Q194" i="26" s="1"/>
  <c r="Q195" i="26" s="1"/>
  <c r="S179" i="26"/>
  <c r="S188" i="26" s="1"/>
  <c r="S178" i="26"/>
  <c r="S94" i="26"/>
  <c r="S96" i="26" s="1"/>
  <c r="R191" i="26"/>
  <c r="U68" i="25" l="1"/>
  <c r="U152" i="25" s="1"/>
  <c r="AC47" i="36" s="1"/>
  <c r="V97" i="25"/>
  <c r="U182" i="26"/>
  <c r="U186" i="26" s="1"/>
  <c r="U78" i="25"/>
  <c r="J47" i="36"/>
  <c r="J52" i="36" s="1"/>
  <c r="S191" i="26"/>
  <c r="S192" i="26" s="1"/>
  <c r="S194" i="26" s="1"/>
  <c r="T94" i="26"/>
  <c r="R192" i="26"/>
  <c r="R194" i="26" s="1"/>
  <c r="R195" i="26" s="1"/>
  <c r="U69" i="25" l="1"/>
  <c r="U165" i="26" s="1"/>
  <c r="U74" i="25"/>
  <c r="U76" i="25" s="1"/>
  <c r="U77" i="25" s="1"/>
  <c r="U137" i="26"/>
  <c r="U138" i="26" s="1"/>
  <c r="U140" i="26" s="1"/>
  <c r="U145" i="26" s="1"/>
  <c r="U147" i="26" s="1"/>
  <c r="M47" i="36"/>
  <c r="P47" i="36" s="1"/>
  <c r="M39" i="36"/>
  <c r="P39" i="36" s="1"/>
  <c r="M45" i="36"/>
  <c r="P45" i="36" s="1"/>
  <c r="M40" i="36"/>
  <c r="P40" i="36" s="1"/>
  <c r="M41" i="36"/>
  <c r="P41" i="36" s="1"/>
  <c r="M37" i="36"/>
  <c r="P37" i="36" s="1"/>
  <c r="M38" i="36"/>
  <c r="P38" i="36" s="1"/>
  <c r="M46" i="36"/>
  <c r="P46" i="36" s="1"/>
  <c r="M36" i="36"/>
  <c r="P36" i="36" s="1"/>
  <c r="M44" i="36"/>
  <c r="P44" i="36" s="1"/>
  <c r="M42" i="36"/>
  <c r="P42" i="36" s="1"/>
  <c r="M43" i="36"/>
  <c r="P43" i="36" s="1"/>
  <c r="V101" i="25"/>
  <c r="V104" i="25" s="1"/>
  <c r="V29" i="25" s="1"/>
  <c r="V122" i="26" s="1"/>
  <c r="V107" i="25"/>
  <c r="V111" i="25" s="1"/>
  <c r="V112" i="25" s="1"/>
  <c r="V106" i="25"/>
  <c r="S195" i="26"/>
  <c r="BI290" i="36" l="1"/>
  <c r="V66" i="25"/>
  <c r="V70" i="25" s="1"/>
  <c r="V35" i="25"/>
  <c r="V15" i="25"/>
  <c r="V105" i="26" s="1"/>
  <c r="V106" i="26" s="1"/>
  <c r="M52" i="36"/>
  <c r="V108" i="25"/>
  <c r="U162" i="26"/>
  <c r="V146" i="26"/>
  <c r="BI289" i="36"/>
  <c r="AC50" i="36" s="1"/>
  <c r="U148" i="26"/>
  <c r="V99" i="25"/>
  <c r="V71" i="25" l="1"/>
  <c r="V28" i="25" s="1"/>
  <c r="V84" i="26"/>
  <c r="V30" i="25"/>
  <c r="U163" i="26"/>
  <c r="AC52" i="36"/>
  <c r="V121" i="26" l="1"/>
  <c r="V126" i="26" s="1"/>
  <c r="V83" i="26"/>
  <c r="V87" i="26" s="1"/>
  <c r="AF38" i="36"/>
  <c r="AI38" i="36" s="1"/>
  <c r="AF48" i="36"/>
  <c r="AI48" i="36" s="1"/>
  <c r="AF40" i="36"/>
  <c r="AI40" i="36" s="1"/>
  <c r="AF39" i="36"/>
  <c r="AI39" i="36" s="1"/>
  <c r="AF44" i="36"/>
  <c r="AI44" i="36" s="1"/>
  <c r="AF43" i="36"/>
  <c r="AI43" i="36" s="1"/>
  <c r="AF36" i="36"/>
  <c r="AF42" i="36"/>
  <c r="AI42" i="36" s="1"/>
  <c r="AF37" i="36"/>
  <c r="AI37" i="36" s="1"/>
  <c r="AF41" i="36"/>
  <c r="AI41" i="36" s="1"/>
  <c r="AF51" i="36"/>
  <c r="AI51" i="36" s="1"/>
  <c r="AF45" i="36"/>
  <c r="AI45" i="36" s="1"/>
  <c r="AF46" i="36"/>
  <c r="AI46" i="36" s="1"/>
  <c r="AF49" i="36"/>
  <c r="AI49" i="36" s="1"/>
  <c r="M54" i="36"/>
  <c r="J54" i="36"/>
  <c r="F298" i="1" s="1"/>
  <c r="H298" i="1" s="1"/>
  <c r="AF47" i="36"/>
  <c r="AI47" i="36" s="1"/>
  <c r="AF50" i="36"/>
  <c r="AI50" i="36" s="1"/>
  <c r="V36" i="25"/>
  <c r="V39" i="25" l="1"/>
  <c r="AF52" i="36"/>
  <c r="AI36" i="36"/>
  <c r="V42" i="25" l="1"/>
  <c r="V43" i="25" s="1"/>
  <c r="V45" i="25" l="1"/>
  <c r="V46" i="25" s="1"/>
  <c r="V51" i="25" s="1"/>
  <c r="V56" i="25" s="1"/>
  <c r="V61" i="25" s="1"/>
  <c r="V83" i="25"/>
  <c r="V130" i="26"/>
  <c r="V63" i="25" l="1"/>
  <c r="V67" i="25" s="1"/>
  <c r="V84" i="25"/>
  <c r="V133" i="26"/>
  <c r="V98" i="25"/>
  <c r="V68" i="25" l="1"/>
  <c r="V74" i="25" s="1"/>
  <c r="V76" i="25" s="1"/>
  <c r="V100" i="25"/>
  <c r="V78" i="25"/>
  <c r="W82" i="25"/>
  <c r="V190" i="26"/>
  <c r="V152" i="25" l="1"/>
  <c r="V137" i="26"/>
  <c r="V138" i="26" s="1"/>
  <c r="V140" i="26" s="1"/>
  <c r="V145" i="26" s="1"/>
  <c r="W15" i="25"/>
  <c r="W105" i="26" s="1"/>
  <c r="W35" i="25"/>
  <c r="V77" i="25"/>
  <c r="V69" i="25"/>
  <c r="V165" i="26" s="1"/>
  <c r="W85" i="25"/>
  <c r="W97" i="25"/>
  <c r="V182" i="26"/>
  <c r="W84" i="26" l="1"/>
  <c r="W66" i="25"/>
  <c r="W71" i="25" s="1"/>
  <c r="V186" i="26"/>
  <c r="V147" i="26"/>
  <c r="W106" i="25"/>
  <c r="W101" i="25"/>
  <c r="W104" i="25" s="1"/>
  <c r="W107" i="25"/>
  <c r="W106" i="26"/>
  <c r="W70" i="25" l="1"/>
  <c r="W29" i="25"/>
  <c r="W108" i="25"/>
  <c r="W28" i="25" s="1"/>
  <c r="W111" i="25"/>
  <c r="V162" i="26"/>
  <c r="W146" i="26"/>
  <c r="V148" i="26"/>
  <c r="W121" i="26" l="1"/>
  <c r="W83" i="26"/>
  <c r="W112" i="25"/>
  <c r="V163" i="26"/>
  <c r="W122" i="26"/>
  <c r="W99" i="25" l="1"/>
  <c r="W87" i="26"/>
  <c r="W126" i="26"/>
  <c r="W30" i="25" l="1"/>
  <c r="W36" i="25" l="1"/>
  <c r="W39" i="25" l="1"/>
  <c r="W42" i="25" l="1"/>
  <c r="W43" i="25" s="1"/>
  <c r="W45" i="25" l="1"/>
  <c r="W46" i="25" s="1"/>
  <c r="W51" i="25" s="1"/>
  <c r="W56" i="25" s="1"/>
  <c r="W61" i="25" s="1"/>
  <c r="W83" i="25"/>
  <c r="W130" i="26"/>
  <c r="W84" i="25" l="1"/>
  <c r="W63" i="25"/>
  <c r="W133" i="26"/>
  <c r="W98" i="25"/>
  <c r="W67" i="25" l="1"/>
  <c r="W68" i="25"/>
  <c r="X82" i="25"/>
  <c r="W190" i="26"/>
  <c r="W100" i="25"/>
  <c r="W74" i="25" l="1"/>
  <c r="W76" i="25" s="1"/>
  <c r="X35" i="25" s="1"/>
  <c r="W152" i="25"/>
  <c r="X85" i="25"/>
  <c r="X97" i="25"/>
  <c r="W182" i="26"/>
  <c r="W137" i="26"/>
  <c r="W78" i="25"/>
  <c r="W69" i="25"/>
  <c r="W77" i="25" l="1"/>
  <c r="X15" i="25"/>
  <c r="X84" i="26" s="1"/>
  <c r="W138" i="26"/>
  <c r="X66" i="25"/>
  <c r="W165" i="26"/>
  <c r="W186" i="26"/>
  <c r="X106" i="25"/>
  <c r="X101" i="25"/>
  <c r="X104" i="25" s="1"/>
  <c r="X107" i="25"/>
  <c r="X110" i="25"/>
  <c r="X105" i="26" l="1"/>
  <c r="X106" i="26" s="1"/>
  <c r="X108" i="25"/>
  <c r="X71" i="25"/>
  <c r="X70" i="25"/>
  <c r="W140" i="26"/>
  <c r="W145" i="26" s="1"/>
  <c r="X111" i="25"/>
  <c r="X29" i="25"/>
  <c r="X122" i="26" l="1"/>
  <c r="W147" i="26"/>
  <c r="X28" i="25"/>
  <c r="X112" i="25"/>
  <c r="W162" i="26" l="1"/>
  <c r="X146" i="26"/>
  <c r="W148" i="26"/>
  <c r="X99" i="25"/>
  <c r="X121" i="26"/>
  <c r="X83" i="26"/>
  <c r="X87" i="26" l="1"/>
  <c r="X126" i="26"/>
  <c r="X30" i="25"/>
  <c r="W163" i="26"/>
  <c r="X36" i="25" l="1"/>
  <c r="X39" i="25" l="1"/>
  <c r="X42" i="25" l="1"/>
  <c r="X130" i="26" l="1"/>
  <c r="X83" i="25"/>
  <c r="X43" i="25"/>
  <c r="X84" i="25" l="1"/>
  <c r="X45" i="25"/>
  <c r="X98" i="25" l="1"/>
  <c r="X133" i="26"/>
  <c r="X63" i="25"/>
  <c r="X46" i="25"/>
  <c r="X51" i="25" s="1"/>
  <c r="X56" i="25" s="1"/>
  <c r="X61" i="25" s="1"/>
  <c r="Y82" i="25"/>
  <c r="X190" i="26"/>
  <c r="X67" i="25" l="1"/>
  <c r="X68" i="25"/>
  <c r="Y85" i="25"/>
  <c r="X100" i="25"/>
  <c r="X74" i="25" l="1"/>
  <c r="X76" i="25" s="1"/>
  <c r="Y15" i="25" s="1"/>
  <c r="X152" i="25"/>
  <c r="Y97" i="25"/>
  <c r="X182" i="26"/>
  <c r="X137" i="26"/>
  <c r="X78" i="25"/>
  <c r="X69" i="25"/>
  <c r="X77" i="25" l="1"/>
  <c r="Y35" i="25"/>
  <c r="X186" i="26"/>
  <c r="X138" i="26"/>
  <c r="Y66" i="25"/>
  <c r="X165" i="26"/>
  <c r="Y106" i="25"/>
  <c r="Y101" i="25"/>
  <c r="Y104" i="25" s="1"/>
  <c r="Y107" i="25"/>
  <c r="Y84" i="26"/>
  <c r="Y105" i="26"/>
  <c r="Y106" i="26" l="1"/>
  <c r="Y108" i="25"/>
  <c r="X140" i="26"/>
  <c r="X145" i="26" s="1"/>
  <c r="Y29" i="25"/>
  <c r="Y71" i="25"/>
  <c r="Y70" i="25"/>
  <c r="Y111" i="25"/>
  <c r="Y122" i="26" l="1"/>
  <c r="X147" i="26"/>
  <c r="Y112" i="25"/>
  <c r="Y28" i="25"/>
  <c r="Y121" i="26" l="1"/>
  <c r="Y83" i="26"/>
  <c r="X162" i="26"/>
  <c r="Y146" i="26"/>
  <c r="X148" i="26"/>
  <c r="Y99" i="25"/>
  <c r="Y30" i="25" l="1"/>
  <c r="Y87" i="26"/>
  <c r="X163" i="26"/>
  <c r="Y126" i="26"/>
  <c r="Y36" i="25" l="1"/>
  <c r="Y39" i="25" l="1"/>
  <c r="Y42" i="25" l="1"/>
  <c r="Y43" i="25" s="1"/>
  <c r="Y45" i="25" l="1"/>
  <c r="Y46" i="25" s="1"/>
  <c r="Y51" i="25" s="1"/>
  <c r="Y56" i="25" s="1"/>
  <c r="Y61" i="25" s="1"/>
  <c r="Y83" i="25"/>
  <c r="Y130" i="26"/>
  <c r="Y84" i="25" l="1"/>
  <c r="Y63" i="25"/>
  <c r="Y133" i="26"/>
  <c r="Y98" i="25"/>
  <c r="Y67" i="25" l="1"/>
  <c r="Y68" i="25"/>
  <c r="Z82" i="25"/>
  <c r="Y190" i="26"/>
  <c r="Y100" i="25"/>
  <c r="Y74" i="25" l="1"/>
  <c r="Y76" i="25" s="1"/>
  <c r="Z15" i="25" s="1"/>
  <c r="Y137" i="26"/>
  <c r="Y78" i="25"/>
  <c r="Y69" i="25"/>
  <c r="Z85" i="25"/>
  <c r="Z97" i="25"/>
  <c r="Y182" i="26"/>
  <c r="Y152" i="25"/>
  <c r="Y77" i="25" l="1"/>
  <c r="Z35" i="25"/>
  <c r="Y186" i="26"/>
  <c r="Z66" i="25"/>
  <c r="Y165" i="26"/>
  <c r="Z106" i="25"/>
  <c r="Z101" i="25"/>
  <c r="Z104" i="25" s="1"/>
  <c r="Z107" i="25"/>
  <c r="Y138" i="26"/>
  <c r="Z105" i="26"/>
  <c r="Z84" i="26"/>
  <c r="Z29" i="25" l="1"/>
  <c r="Z71" i="25"/>
  <c r="Z70" i="25"/>
  <c r="Z106" i="26"/>
  <c r="Z108" i="25"/>
  <c r="Z111" i="25"/>
  <c r="Z112" i="25" s="1"/>
  <c r="Y140" i="26"/>
  <c r="Y145" i="26" s="1"/>
  <c r="Z28" i="25" l="1"/>
  <c r="Y147" i="26"/>
  <c r="Z99" i="25"/>
  <c r="Z122" i="26"/>
  <c r="Y162" i="26" l="1"/>
  <c r="Z146" i="26"/>
  <c r="Y148" i="26"/>
  <c r="Z30" i="25"/>
  <c r="Z36" i="25" s="1"/>
  <c r="Z83" i="26"/>
  <c r="Z121" i="26"/>
  <c r="Z39" i="25" l="1"/>
  <c r="Z126" i="26"/>
  <c r="Z87" i="26"/>
  <c r="Y163" i="26"/>
  <c r="Z42" i="25" l="1"/>
  <c r="Z43" i="25" s="1"/>
  <c r="Z45" i="25" l="1"/>
  <c r="Z46" i="25" s="1"/>
  <c r="Z51" i="25" s="1"/>
  <c r="Z56" i="25" s="1"/>
  <c r="Z61" i="25" s="1"/>
  <c r="Z130" i="26"/>
  <c r="Z83" i="25"/>
  <c r="Z84" i="25" s="1"/>
  <c r="Z63" i="25" l="1"/>
  <c r="Z67" i="25" s="1"/>
  <c r="AA82" i="25"/>
  <c r="Z190" i="26"/>
  <c r="Z98" i="25"/>
  <c r="Z100" i="25" s="1"/>
  <c r="Z133" i="26"/>
  <c r="Z68" i="25" l="1"/>
  <c r="Z152" i="25" s="1"/>
  <c r="AA97" i="25"/>
  <c r="Z182" i="26"/>
  <c r="Z186" i="26" s="1"/>
  <c r="Z78" i="25"/>
  <c r="AA85" i="25"/>
  <c r="Z137" i="26" l="1"/>
  <c r="Z138" i="26" s="1"/>
  <c r="Z140" i="26" s="1"/>
  <c r="Z145" i="26" s="1"/>
  <c r="Z147" i="26" s="1"/>
  <c r="Z148" i="26" s="1"/>
  <c r="Z74" i="25"/>
  <c r="Z76" i="25" s="1"/>
  <c r="AA35" i="25" s="1"/>
  <c r="Z69" i="25"/>
  <c r="Z165" i="26" s="1"/>
  <c r="AA106" i="25"/>
  <c r="AA101" i="25"/>
  <c r="AA104" i="25" s="1"/>
  <c r="AA29" i="25" s="1"/>
  <c r="AA122" i="26" s="1"/>
  <c r="AA107" i="25"/>
  <c r="AA111" i="25" s="1"/>
  <c r="AA110" i="25"/>
  <c r="Z77" i="25" l="1"/>
  <c r="AA15" i="25"/>
  <c r="AA105" i="26" s="1"/>
  <c r="AA106" i="26" s="1"/>
  <c r="AA66" i="25"/>
  <c r="AA71" i="25" s="1"/>
  <c r="AA146" i="26"/>
  <c r="Z162" i="26"/>
  <c r="Z163" i="26" s="1"/>
  <c r="AA112" i="25"/>
  <c r="AA99" i="25" s="1"/>
  <c r="AA30" i="25" s="1"/>
  <c r="AA108" i="25"/>
  <c r="AA84" i="26" l="1"/>
  <c r="AA70" i="25"/>
  <c r="AA28" i="25"/>
  <c r="AA36" i="25" s="1"/>
  <c r="AA39" i="25" s="1"/>
  <c r="AA83" i="26" l="1"/>
  <c r="AA87" i="26" s="1"/>
  <c r="AA121" i="26"/>
  <c r="AA126" i="26" s="1"/>
  <c r="AA42" i="25"/>
  <c r="AA43" i="25" s="1"/>
  <c r="AA45" i="25" l="1"/>
  <c r="AA83" i="25"/>
  <c r="AA84" i="25" s="1"/>
  <c r="AA130" i="26"/>
  <c r="AB82" i="25" l="1"/>
  <c r="AA190" i="26"/>
  <c r="AA133" i="26"/>
  <c r="AA98" i="25"/>
  <c r="AA100" i="25" s="1"/>
  <c r="AA63" i="25"/>
  <c r="AA46" i="25"/>
  <c r="AA51" i="25" s="1"/>
  <c r="AA56" i="25" s="1"/>
  <c r="AA61" i="25" s="1"/>
  <c r="AB85" i="25" l="1"/>
  <c r="AA67" i="25"/>
  <c r="AA68" i="25"/>
  <c r="AA152" i="25" s="1"/>
  <c r="AB97" i="25"/>
  <c r="AA182" i="26"/>
  <c r="AA186" i="26" s="1"/>
  <c r="AA74" i="25" l="1"/>
  <c r="AA76" i="25" s="1"/>
  <c r="AB35" i="25" s="1"/>
  <c r="AB106" i="25"/>
  <c r="AB101" i="25"/>
  <c r="AB104" i="25" s="1"/>
  <c r="AB29" i="25" s="1"/>
  <c r="AB122" i="26" s="1"/>
  <c r="AB107" i="25"/>
  <c r="AB111" i="25" s="1"/>
  <c r="AB112" i="25" s="1"/>
  <c r="AB99" i="25" s="1"/>
  <c r="AB30" i="25" s="1"/>
  <c r="AA137" i="26"/>
  <c r="AA138" i="26" s="1"/>
  <c r="AA140" i="26" s="1"/>
  <c r="AA145" i="26" s="1"/>
  <c r="AA147" i="26" s="1"/>
  <c r="AA78" i="25"/>
  <c r="AA69" i="25"/>
  <c r="AB15" i="25" l="1"/>
  <c r="AB105" i="26" s="1"/>
  <c r="AB106" i="26" s="1"/>
  <c r="AA77" i="25"/>
  <c r="AB66" i="25"/>
  <c r="AA165" i="26"/>
  <c r="AA162" i="26"/>
  <c r="AA163" i="26" s="1"/>
  <c r="AB146" i="26"/>
  <c r="AA148" i="26"/>
  <c r="AB108" i="25"/>
  <c r="AB84" i="26" l="1"/>
  <c r="AB71" i="25"/>
  <c r="AB28" i="25" s="1"/>
  <c r="AB70" i="25"/>
  <c r="AB121" i="26" l="1"/>
  <c r="AB126" i="26" s="1"/>
  <c r="AB83" i="26"/>
  <c r="AB87" i="26" s="1"/>
  <c r="AB36" i="25"/>
  <c r="AB39" i="25" l="1"/>
  <c r="AB42" i="25" l="1"/>
  <c r="AB43" i="25" s="1"/>
  <c r="AB45" i="25" l="1"/>
  <c r="AB46" i="25" s="1"/>
  <c r="AB51" i="25" s="1"/>
  <c r="AB56" i="25" s="1"/>
  <c r="AB61" i="25" s="1"/>
  <c r="AB83" i="25"/>
  <c r="AB84" i="25" s="1"/>
  <c r="AB130" i="26"/>
  <c r="AB63" i="25" l="1"/>
  <c r="AB67" i="25" s="1"/>
  <c r="AC82" i="25"/>
  <c r="AB190" i="26"/>
  <c r="AB133" i="26"/>
  <c r="AB98" i="25"/>
  <c r="AB100" i="25" s="1"/>
  <c r="AB68" i="25" l="1"/>
  <c r="AB152" i="25" s="1"/>
  <c r="AC97" i="25"/>
  <c r="AB182" i="26"/>
  <c r="AB186" i="26" s="1"/>
  <c r="AB78" i="25"/>
  <c r="AC85" i="25"/>
  <c r="AB74" i="25" l="1"/>
  <c r="AB76" i="25" s="1"/>
  <c r="AC15" i="25" s="1"/>
  <c r="AB137" i="26"/>
  <c r="AB138" i="26" s="1"/>
  <c r="AB140" i="26" s="1"/>
  <c r="AB145" i="26" s="1"/>
  <c r="AB147" i="26" s="1"/>
  <c r="AB162" i="26" s="1"/>
  <c r="AB163" i="26" s="1"/>
  <c r="AB69" i="25"/>
  <c r="AC66" i="25" s="1"/>
  <c r="AC106" i="25"/>
  <c r="AC101" i="25"/>
  <c r="AC104" i="25" s="1"/>
  <c r="AC29" i="25" s="1"/>
  <c r="AC122" i="26" s="1"/>
  <c r="AC107" i="25"/>
  <c r="AC111" i="25" s="1"/>
  <c r="AC112" i="25" s="1"/>
  <c r="AC99" i="25" s="1"/>
  <c r="AC30" i="25" s="1"/>
  <c r="AB77" i="25" l="1"/>
  <c r="AB165" i="26"/>
  <c r="AB148" i="26"/>
  <c r="AC146" i="26"/>
  <c r="AC35" i="25"/>
  <c r="AC84" i="26"/>
  <c r="AC105" i="26"/>
  <c r="AC106" i="26" s="1"/>
  <c r="AC71" i="25"/>
  <c r="AC70" i="25"/>
  <c r="AC108" i="25"/>
  <c r="AC28" i="25" l="1"/>
  <c r="AC83" i="26" s="1"/>
  <c r="AC87" i="26" s="1"/>
  <c r="AC36" i="25" l="1"/>
  <c r="AC39" i="25" s="1"/>
  <c r="AC121" i="26"/>
  <c r="AC126" i="26" s="1"/>
  <c r="AC42" i="25" l="1"/>
  <c r="AC43" i="25" s="1"/>
  <c r="AC45" i="25" l="1"/>
  <c r="AC46" i="25" s="1"/>
  <c r="AC51" i="25" s="1"/>
  <c r="AC56" i="25" s="1"/>
  <c r="AC61" i="25" s="1"/>
  <c r="AC83" i="25"/>
  <c r="AC84" i="25" s="1"/>
  <c r="AC130" i="26"/>
  <c r="AC63" i="25" l="1"/>
  <c r="AC67" i="25" s="1"/>
  <c r="AD82" i="25"/>
  <c r="AC190" i="26"/>
  <c r="AC133" i="26"/>
  <c r="AC98" i="25"/>
  <c r="AC100" i="25" s="1"/>
  <c r="AC68" i="25" l="1"/>
  <c r="AC152" i="25" s="1"/>
  <c r="AD97" i="25"/>
  <c r="AC182" i="26"/>
  <c r="AC186" i="26" s="1"/>
  <c r="AC78" i="25"/>
  <c r="AD85" i="25"/>
  <c r="AC74" i="25" l="1"/>
  <c r="AC76" i="25" s="1"/>
  <c r="AD35" i="25" s="1"/>
  <c r="AC137" i="26"/>
  <c r="AC138" i="26" s="1"/>
  <c r="AC140" i="26" s="1"/>
  <c r="AC145" i="26" s="1"/>
  <c r="AC147" i="26" s="1"/>
  <c r="AC162" i="26" s="1"/>
  <c r="AC163" i="26" s="1"/>
  <c r="AC69" i="25"/>
  <c r="AD66" i="25" s="1"/>
  <c r="AD106" i="25"/>
  <c r="AD101" i="25"/>
  <c r="AD104" i="25" s="1"/>
  <c r="AD29" i="25" s="1"/>
  <c r="AD122" i="26" s="1"/>
  <c r="AD107" i="25"/>
  <c r="AD111" i="25" s="1"/>
  <c r="AD110" i="25"/>
  <c r="AC77" i="25" l="1"/>
  <c r="AC165" i="26"/>
  <c r="AD146" i="26"/>
  <c r="AC148" i="26"/>
  <c r="AD15" i="25"/>
  <c r="AD105" i="26" s="1"/>
  <c r="AD106" i="26" s="1"/>
  <c r="AD71" i="25"/>
  <c r="AD70" i="25"/>
  <c r="AD112" i="25"/>
  <c r="AD99" i="25" s="1"/>
  <c r="AD30" i="25" s="1"/>
  <c r="AD108" i="25"/>
  <c r="AD84" i="26" l="1"/>
  <c r="AD28" i="25"/>
  <c r="AD121" i="26" l="1"/>
  <c r="AD126" i="26" s="1"/>
  <c r="AD83" i="26"/>
  <c r="AD87" i="26" s="1"/>
  <c r="AD36" i="25"/>
  <c r="AD39" i="25" l="1"/>
  <c r="AD42" i="25" l="1"/>
  <c r="AD130" i="26" l="1"/>
  <c r="AD83" i="25"/>
  <c r="AD84" i="25" s="1"/>
  <c r="AD43" i="25"/>
  <c r="AD45" i="25" l="1"/>
  <c r="AE82" i="25"/>
  <c r="AD190" i="26"/>
  <c r="AD98" i="25" l="1"/>
  <c r="AD100" i="25" s="1"/>
  <c r="AD133" i="26"/>
  <c r="AD63" i="25"/>
  <c r="AE85" i="25"/>
  <c r="AD46" i="25"/>
  <c r="AD51" i="25" s="1"/>
  <c r="AD56" i="25" s="1"/>
  <c r="AD61" i="25" s="1"/>
  <c r="AD67" i="25" l="1"/>
  <c r="AD68" i="25"/>
  <c r="AD152" i="25" s="1"/>
  <c r="AE97" i="25"/>
  <c r="AD182" i="26"/>
  <c r="AD186" i="26" s="1"/>
  <c r="AD74" i="25" l="1"/>
  <c r="AD76" i="25" s="1"/>
  <c r="AE15" i="25" s="1"/>
  <c r="AE106" i="25"/>
  <c r="AE101" i="25"/>
  <c r="AE104" i="25" s="1"/>
  <c r="AE29" i="25" s="1"/>
  <c r="AE122" i="26" s="1"/>
  <c r="AE107" i="25"/>
  <c r="AE111" i="25" s="1"/>
  <c r="AE112" i="25" s="1"/>
  <c r="AE99" i="25" s="1"/>
  <c r="AE30" i="25" s="1"/>
  <c r="AD137" i="26"/>
  <c r="AD138" i="26" s="1"/>
  <c r="AD140" i="26" s="1"/>
  <c r="AD145" i="26" s="1"/>
  <c r="AD147" i="26" s="1"/>
  <c r="AD78" i="25"/>
  <c r="AD69" i="25"/>
  <c r="AD77" i="25" l="1"/>
  <c r="AE35" i="25"/>
  <c r="AD162" i="26"/>
  <c r="AD163" i="26" s="1"/>
  <c r="AE146" i="26"/>
  <c r="AD148" i="26"/>
  <c r="AE108" i="25"/>
  <c r="AE66" i="25"/>
  <c r="AD165" i="26"/>
  <c r="AE84" i="26"/>
  <c r="AE105" i="26"/>
  <c r="AE106" i="26" s="1"/>
  <c r="AE71" i="25" l="1"/>
  <c r="AE28" i="25" s="1"/>
  <c r="AE70" i="25"/>
  <c r="AE121" i="26" l="1"/>
  <c r="AE126" i="26" s="1"/>
  <c r="AE83" i="26"/>
  <c r="AE87" i="26" s="1"/>
  <c r="AE36" i="25"/>
  <c r="AE39" i="25" l="1"/>
  <c r="AE42" i="25" l="1"/>
  <c r="AE43" i="25" s="1"/>
  <c r="AE45" i="25" l="1"/>
  <c r="AE46" i="25" s="1"/>
  <c r="AE51" i="25" s="1"/>
  <c r="AE56" i="25" s="1"/>
  <c r="AE61" i="25" s="1"/>
  <c r="AE83" i="25"/>
  <c r="AE84" i="25" s="1"/>
  <c r="AE130" i="26"/>
  <c r="AE63" i="25" l="1"/>
  <c r="AE67" i="25" s="1"/>
  <c r="AF82" i="25"/>
  <c r="AE190" i="26"/>
  <c r="AE133" i="26"/>
  <c r="AE98" i="25"/>
  <c r="AE100" i="25" s="1"/>
  <c r="AE68" i="25" l="1"/>
  <c r="AE152" i="25" s="1"/>
  <c r="AE78" i="25"/>
  <c r="AF97" i="25"/>
  <c r="AE182" i="26"/>
  <c r="AE186" i="26" s="1"/>
  <c r="AF85" i="25"/>
  <c r="AE69" i="25" l="1"/>
  <c r="AF66" i="25" s="1"/>
  <c r="AE137" i="26"/>
  <c r="AE138" i="26" s="1"/>
  <c r="AE140" i="26" s="1"/>
  <c r="AE145" i="26" s="1"/>
  <c r="AE147" i="26" s="1"/>
  <c r="AE148" i="26" s="1"/>
  <c r="AE74" i="25"/>
  <c r="AE76" i="25" s="1"/>
  <c r="AF15" i="25" s="1"/>
  <c r="AF106" i="25"/>
  <c r="AF101" i="25"/>
  <c r="AF104" i="25" s="1"/>
  <c r="AF29" i="25" s="1"/>
  <c r="AF122" i="26" s="1"/>
  <c r="AF107" i="25"/>
  <c r="AF111" i="25" s="1"/>
  <c r="AF112" i="25" s="1"/>
  <c r="AF99" i="25" s="1"/>
  <c r="AF30" i="25" s="1"/>
  <c r="AE165" i="26" l="1"/>
  <c r="AE77" i="25"/>
  <c r="AF35" i="25"/>
  <c r="AF146" i="26"/>
  <c r="AE162" i="26"/>
  <c r="AF71" i="25"/>
  <c r="AF70" i="25"/>
  <c r="AF105" i="26"/>
  <c r="AF106" i="26" s="1"/>
  <c r="AF84" i="26"/>
  <c r="AF108" i="25"/>
  <c r="AE163" i="26" l="1"/>
  <c r="AF28" i="25"/>
  <c r="AF121" i="26" l="1"/>
  <c r="AF83" i="26"/>
  <c r="AF87" i="26" s="1"/>
  <c r="K36" i="47" l="1"/>
  <c r="K40" i="47" l="1"/>
  <c r="K41" i="47" s="1"/>
  <c r="L39" i="47" s="1"/>
  <c r="K43" i="47" l="1"/>
  <c r="K45" i="47" s="1"/>
  <c r="AF60" i="47" l="1"/>
  <c r="AF62" i="47" s="1"/>
  <c r="AF70" i="47" s="1"/>
  <c r="AF34" i="25" s="1"/>
  <c r="T65" i="47"/>
  <c r="AG60" i="47"/>
  <c r="X65" i="47"/>
  <c r="AB65" i="47"/>
  <c r="U65" i="47"/>
  <c r="Y65" i="47"/>
  <c r="AC65" i="47"/>
  <c r="W65" i="47"/>
  <c r="AA65" i="47"/>
  <c r="AE65" i="47"/>
  <c r="G203" i="1"/>
  <c r="Z65" i="47"/>
  <c r="V65" i="47"/>
  <c r="AD65" i="47"/>
  <c r="T69" i="47" l="1"/>
  <c r="T71" i="47" s="1"/>
  <c r="T88" i="26"/>
  <c r="AF125" i="26"/>
  <c r="AF36" i="25"/>
  <c r="AA88" i="26"/>
  <c r="AA89" i="26" s="1"/>
  <c r="AA95" i="26" s="1"/>
  <c r="AA69" i="47"/>
  <c r="Y69" i="47"/>
  <c r="Y88" i="26"/>
  <c r="Y89" i="26" s="1"/>
  <c r="Y95" i="26" s="1"/>
  <c r="AB69" i="47"/>
  <c r="AB88" i="26"/>
  <c r="AB89" i="26" s="1"/>
  <c r="AB95" i="26" s="1"/>
  <c r="V88" i="26"/>
  <c r="V89" i="26" s="1"/>
  <c r="V95" i="26" s="1"/>
  <c r="V69" i="47"/>
  <c r="Z88" i="26"/>
  <c r="Z89" i="26" s="1"/>
  <c r="Z95" i="26" s="1"/>
  <c r="Z69" i="47"/>
  <c r="W88" i="26"/>
  <c r="W89" i="26" s="1"/>
  <c r="W95" i="26" s="1"/>
  <c r="W69" i="47"/>
  <c r="U69" i="47"/>
  <c r="U88" i="26"/>
  <c r="X69" i="47"/>
  <c r="X88" i="26"/>
  <c r="X89" i="26" s="1"/>
  <c r="X95" i="26" s="1"/>
  <c r="AD88" i="26"/>
  <c r="AD89" i="26" s="1"/>
  <c r="AD95" i="26" s="1"/>
  <c r="AD69" i="47"/>
  <c r="AE88" i="26"/>
  <c r="AE89" i="26" s="1"/>
  <c r="AE95" i="26" s="1"/>
  <c r="AE69" i="47"/>
  <c r="AC69" i="47"/>
  <c r="AC88" i="26"/>
  <c r="AC89" i="26" s="1"/>
  <c r="AC95" i="26" s="1"/>
  <c r="AG62" i="47"/>
  <c r="T89" i="26" l="1"/>
  <c r="T95" i="26" s="1"/>
  <c r="T96" i="26" s="1"/>
  <c r="AF126" i="26"/>
  <c r="AF39" i="25"/>
  <c r="AF42" i="25" s="1"/>
  <c r="T174" i="26"/>
  <c r="T176" i="26" s="1"/>
  <c r="U68" i="47"/>
  <c r="U71" i="47" s="1"/>
  <c r="AG70" i="47"/>
  <c r="U89" i="26"/>
  <c r="T90" i="26" l="1"/>
  <c r="U90" i="26" s="1"/>
  <c r="V90" i="26" s="1"/>
  <c r="W90" i="26" s="1"/>
  <c r="X90" i="26" s="1"/>
  <c r="Y90" i="26" s="1"/>
  <c r="Z90" i="26" s="1"/>
  <c r="AA90" i="26" s="1"/>
  <c r="AB90" i="26" s="1"/>
  <c r="AC90" i="26" s="1"/>
  <c r="AD90" i="26" s="1"/>
  <c r="AE90" i="26" s="1"/>
  <c r="T191" i="26"/>
  <c r="T192" i="26" s="1"/>
  <c r="U94" i="26"/>
  <c r="T178" i="26"/>
  <c r="T179" i="26"/>
  <c r="T188" i="26" s="1"/>
  <c r="AF43" i="25"/>
  <c r="AF45" i="25" s="1"/>
  <c r="AF130" i="26"/>
  <c r="AF83" i="25"/>
  <c r="AF84" i="25" s="1"/>
  <c r="U174" i="26"/>
  <c r="V68" i="47"/>
  <c r="V71" i="47" s="1"/>
  <c r="U95" i="26"/>
  <c r="AG34" i="25"/>
  <c r="AG82" i="25" l="1"/>
  <c r="AG85" i="25" s="1"/>
  <c r="AF190" i="26"/>
  <c r="AF46" i="25"/>
  <c r="AF51" i="25" s="1"/>
  <c r="AF56" i="25" s="1"/>
  <c r="AF61" i="25" s="1"/>
  <c r="AF98" i="25"/>
  <c r="AF100" i="25" s="1"/>
  <c r="AF133" i="26"/>
  <c r="T194" i="26"/>
  <c r="T195" i="26" s="1"/>
  <c r="AF63" i="25"/>
  <c r="U96" i="26"/>
  <c r="AG125" i="26"/>
  <c r="W68" i="47"/>
  <c r="W71" i="47" s="1"/>
  <c r="V174" i="26"/>
  <c r="V176" i="26" s="1"/>
  <c r="U176" i="26"/>
  <c r="Y34" i="38" l="1"/>
  <c r="Z34" i="38"/>
  <c r="X34" i="38"/>
  <c r="W34" i="38"/>
  <c r="AF182" i="26"/>
  <c r="AF186" i="26" s="1"/>
  <c r="AG97" i="25"/>
  <c r="AG110" i="25" s="1"/>
  <c r="AF68" i="25"/>
  <c r="AF152" i="25" s="1"/>
  <c r="AF67" i="25"/>
  <c r="V179" i="26"/>
  <c r="V188" i="26" s="1"/>
  <c r="V178" i="26"/>
  <c r="X68" i="47"/>
  <c r="X71" i="47" s="1"/>
  <c r="W174" i="26"/>
  <c r="U191" i="26"/>
  <c r="V94" i="26"/>
  <c r="V96" i="26" s="1"/>
  <c r="U179" i="26"/>
  <c r="U188" i="26" s="1"/>
  <c r="U178" i="26"/>
  <c r="AF137" i="26" l="1"/>
  <c r="AF138" i="26" s="1"/>
  <c r="AF140" i="26" s="1"/>
  <c r="AF145" i="26" s="1"/>
  <c r="AF147" i="26" s="1"/>
  <c r="AF69" i="25"/>
  <c r="AF78" i="25"/>
  <c r="AG106" i="25"/>
  <c r="AG101" i="25"/>
  <c r="AG104" i="25" s="1"/>
  <c r="AG29" i="25" s="1"/>
  <c r="AG122" i="26" s="1"/>
  <c r="AG107" i="25"/>
  <c r="AG111" i="25" s="1"/>
  <c r="AG112" i="25" s="1"/>
  <c r="AG99" i="25" s="1"/>
  <c r="AG30" i="25" s="1"/>
  <c r="AF74" i="25"/>
  <c r="AF76" i="25" s="1"/>
  <c r="W94" i="26"/>
  <c r="W96" i="26" s="1"/>
  <c r="V191" i="26"/>
  <c r="V192" i="26" s="1"/>
  <c r="V194" i="26" s="1"/>
  <c r="U192" i="26"/>
  <c r="U194" i="26" s="1"/>
  <c r="W176" i="26"/>
  <c r="Y68" i="47"/>
  <c r="Y71" i="47" s="1"/>
  <c r="X174" i="26"/>
  <c r="X176" i="26" s="1"/>
  <c r="W31" i="38" l="1"/>
  <c r="X31" i="38"/>
  <c r="Z31" i="38"/>
  <c r="Y31" i="38"/>
  <c r="AG108" i="25"/>
  <c r="AG15" i="25"/>
  <c r="AG35" i="25"/>
  <c r="AF77" i="25"/>
  <c r="AF165" i="26"/>
  <c r="AG66" i="25"/>
  <c r="AF162" i="26"/>
  <c r="AG146" i="26"/>
  <c r="AF148" i="26"/>
  <c r="V195" i="26"/>
  <c r="X178" i="26"/>
  <c r="X179" i="26"/>
  <c r="X188" i="26" s="1"/>
  <c r="Y174" i="26"/>
  <c r="Z68" i="47"/>
  <c r="Z71" i="47" s="1"/>
  <c r="U195" i="26"/>
  <c r="W178" i="26"/>
  <c r="W179" i="26"/>
  <c r="W188" i="26" s="1"/>
  <c r="W191" i="26"/>
  <c r="X94" i="26"/>
  <c r="X96" i="26" s="1"/>
  <c r="AF163" i="26" l="1"/>
  <c r="AG71" i="25"/>
  <c r="AG28" i="25" s="1"/>
  <c r="AG36" i="25" s="1"/>
  <c r="AG70" i="25"/>
  <c r="AG105" i="26"/>
  <c r="AG84" i="26"/>
  <c r="X191" i="26"/>
  <c r="X192" i="26" s="1"/>
  <c r="X194" i="26" s="1"/>
  <c r="Y94" i="26"/>
  <c r="Y96" i="26" s="1"/>
  <c r="AA68" i="47"/>
  <c r="AA71" i="47" s="1"/>
  <c r="Z174" i="26"/>
  <c r="W192" i="26"/>
  <c r="W194" i="26" s="1"/>
  <c r="Y176" i="26"/>
  <c r="X84" i="35" l="1"/>
  <c r="Z84" i="35"/>
  <c r="W84" i="35"/>
  <c r="Y84" i="35"/>
  <c r="AG106" i="26"/>
  <c r="Y14" i="38"/>
  <c r="X14" i="38"/>
  <c r="Z14" i="38"/>
  <c r="W14" i="38"/>
  <c r="AG39" i="25"/>
  <c r="AG42" i="25" s="1"/>
  <c r="AG121" i="26"/>
  <c r="AG83" i="26"/>
  <c r="X195" i="26"/>
  <c r="Z176" i="26"/>
  <c r="AA174" i="26"/>
  <c r="AB68" i="47"/>
  <c r="AB71" i="47" s="1"/>
  <c r="Y179" i="26"/>
  <c r="Y188" i="26" s="1"/>
  <c r="Y178" i="26"/>
  <c r="W195" i="26"/>
  <c r="Y191" i="26"/>
  <c r="Z94" i="26"/>
  <c r="Z96" i="26" s="1"/>
  <c r="AG87" i="26" l="1"/>
  <c r="Z83" i="35"/>
  <c r="W83" i="35"/>
  <c r="Y83" i="35"/>
  <c r="X83" i="35"/>
  <c r="AG126" i="26"/>
  <c r="X30" i="38"/>
  <c r="Y30" i="38"/>
  <c r="W30" i="38"/>
  <c r="Z30" i="38"/>
  <c r="AG43" i="25"/>
  <c r="AG130" i="26"/>
  <c r="AG83" i="25"/>
  <c r="AG84" i="25" s="1"/>
  <c r="Y192" i="26"/>
  <c r="Y194" i="26" s="1"/>
  <c r="Z178" i="26"/>
  <c r="Z179" i="26"/>
  <c r="Z188" i="26" s="1"/>
  <c r="AC68" i="47"/>
  <c r="AC71" i="47" s="1"/>
  <c r="AB174" i="26"/>
  <c r="AB176" i="26" s="1"/>
  <c r="AA94" i="26"/>
  <c r="AA96" i="26" s="1"/>
  <c r="Z191" i="26"/>
  <c r="Z192" i="26" s="1"/>
  <c r="AA176" i="26"/>
  <c r="Y39" i="38" l="1"/>
  <c r="X39" i="38"/>
  <c r="W39" i="38"/>
  <c r="Z39" i="38"/>
  <c r="AG190" i="26"/>
  <c r="AG45" i="25"/>
  <c r="Y195" i="26"/>
  <c r="AB179" i="26"/>
  <c r="AB188" i="26" s="1"/>
  <c r="AB178" i="26"/>
  <c r="AA191" i="26"/>
  <c r="AA192" i="26" s="1"/>
  <c r="AB94" i="26"/>
  <c r="AB96" i="26" s="1"/>
  <c r="AC174" i="26"/>
  <c r="AD68" i="47"/>
  <c r="AD71" i="47" s="1"/>
  <c r="Z194" i="26"/>
  <c r="Z195" i="26" s="1"/>
  <c r="AA178" i="26"/>
  <c r="AA179" i="26"/>
  <c r="AA188" i="26" s="1"/>
  <c r="X47" i="39" l="1"/>
  <c r="AA47" i="39"/>
  <c r="J47" i="39"/>
  <c r="U47" i="39"/>
  <c r="T47" i="39"/>
  <c r="Q47" i="39"/>
  <c r="Y47" i="39"/>
  <c r="P47" i="39"/>
  <c r="W47" i="39"/>
  <c r="S47" i="39"/>
  <c r="N47" i="39"/>
  <c r="L47" i="39"/>
  <c r="K47" i="39"/>
  <c r="R47" i="39"/>
  <c r="M47" i="39"/>
  <c r="Z47" i="39"/>
  <c r="V47" i="39"/>
  <c r="O47" i="39"/>
  <c r="AA194" i="26"/>
  <c r="AA195" i="26" s="1"/>
  <c r="AG98" i="25"/>
  <c r="AG100" i="25" s="1"/>
  <c r="AG133" i="26"/>
  <c r="AG63" i="25"/>
  <c r="AG46" i="25"/>
  <c r="AG51" i="25" s="1"/>
  <c r="AG56" i="25" s="1"/>
  <c r="AG61" i="25" s="1"/>
  <c r="AE68" i="47"/>
  <c r="AE71" i="47" s="1"/>
  <c r="AD174" i="26"/>
  <c r="AD176" i="26" s="1"/>
  <c r="AC94" i="26"/>
  <c r="AC96" i="26" s="1"/>
  <c r="AB191" i="26"/>
  <c r="AC176" i="26"/>
  <c r="X42" i="38" l="1"/>
  <c r="Z42" i="38"/>
  <c r="Y42" i="38"/>
  <c r="W42" i="38"/>
  <c r="AG67" i="25"/>
  <c r="AG78" i="25" s="1"/>
  <c r="AG68" i="25"/>
  <c r="AG152" i="25" s="1"/>
  <c r="AG182" i="26"/>
  <c r="AE174" i="26"/>
  <c r="AE176" i="26" s="1"/>
  <c r="AF68" i="47"/>
  <c r="AB192" i="26"/>
  <c r="AB194" i="26" s="1"/>
  <c r="AC191" i="26"/>
  <c r="AC192" i="26" s="1"/>
  <c r="AD94" i="26"/>
  <c r="AD96" i="26" s="1"/>
  <c r="AC178" i="26"/>
  <c r="AC179" i="26"/>
  <c r="AC188" i="26" s="1"/>
  <c r="AD179" i="26"/>
  <c r="AD188" i="26" s="1"/>
  <c r="AD178" i="26"/>
  <c r="AG186" i="26" l="1"/>
  <c r="Q39" i="39"/>
  <c r="R39" i="39"/>
  <c r="V39" i="39"/>
  <c r="X39" i="39"/>
  <c r="Y39" i="39"/>
  <c r="T39" i="39"/>
  <c r="K39" i="39"/>
  <c r="P39" i="39"/>
  <c r="AA39" i="39"/>
  <c r="N39" i="39"/>
  <c r="W39" i="39"/>
  <c r="S39" i="39"/>
  <c r="J39" i="39"/>
  <c r="O39" i="39"/>
  <c r="Z39" i="39"/>
  <c r="L39" i="39"/>
  <c r="M39" i="39"/>
  <c r="U39" i="39"/>
  <c r="AC194" i="26"/>
  <c r="AC195" i="26" s="1"/>
  <c r="AG137" i="26"/>
  <c r="AG74" i="25"/>
  <c r="AG76" i="25" s="1"/>
  <c r="AG69" i="25"/>
  <c r="AE94" i="26"/>
  <c r="AE96" i="26" s="1"/>
  <c r="AD191" i="26"/>
  <c r="AD192" i="26" s="1"/>
  <c r="AD194" i="26" s="1"/>
  <c r="AB195" i="26"/>
  <c r="AE179" i="26"/>
  <c r="AE188" i="26" s="1"/>
  <c r="AE178" i="26"/>
  <c r="AG138" i="26" l="1"/>
  <c r="AG140" i="26" s="1"/>
  <c r="AG145" i="26" s="1"/>
  <c r="AG147" i="26" s="1"/>
  <c r="AG148" i="26" s="1"/>
  <c r="Z46" i="38"/>
  <c r="X46" i="38"/>
  <c r="W46" i="38"/>
  <c r="Y46" i="38"/>
  <c r="AD195" i="26"/>
  <c r="AG165" i="26"/>
  <c r="AG77" i="25"/>
  <c r="AE191" i="26"/>
  <c r="AE192" i="26" s="1"/>
  <c r="AE194" i="26" s="1"/>
  <c r="AE195" i="26" s="1"/>
  <c r="AF94" i="26"/>
  <c r="AG162" i="26" l="1"/>
  <c r="O19" i="39" s="1"/>
  <c r="X19" i="39"/>
  <c r="M19" i="39"/>
  <c r="Y22" i="39"/>
  <c r="S22" i="39"/>
  <c r="R22" i="39"/>
  <c r="AA22" i="39"/>
  <c r="U22" i="39"/>
  <c r="L22" i="39"/>
  <c r="Q22" i="39"/>
  <c r="O22" i="39"/>
  <c r="V22" i="39"/>
  <c r="X22" i="39"/>
  <c r="N22" i="39"/>
  <c r="M22" i="39"/>
  <c r="T22" i="39"/>
  <c r="W22" i="39"/>
  <c r="K22" i="39"/>
  <c r="J22" i="39"/>
  <c r="Z22" i="39"/>
  <c r="P22" i="39"/>
  <c r="I110" i="25"/>
  <c r="U19" i="39" l="1"/>
  <c r="J19" i="39"/>
  <c r="Z19" i="39"/>
  <c r="AA19" i="39"/>
  <c r="Y19" i="39"/>
  <c r="Q19" i="39"/>
  <c r="AG163" i="26"/>
  <c r="P19" i="39"/>
  <c r="V19" i="39"/>
  <c r="N19" i="39"/>
  <c r="K19" i="39"/>
  <c r="R19" i="39"/>
  <c r="T19" i="39"/>
  <c r="S19" i="39"/>
  <c r="L19" i="39"/>
  <c r="W19" i="39"/>
  <c r="AF65" i="47"/>
  <c r="AG65" i="47"/>
  <c r="AG69" i="47" l="1"/>
  <c r="AG88" i="26"/>
  <c r="AG89" i="26" s="1"/>
  <c r="AG95" i="26" s="1"/>
  <c r="AF69" i="47"/>
  <c r="AF88" i="26"/>
  <c r="I65" i="47"/>
  <c r="Z88" i="35" l="1"/>
  <c r="Y88" i="35"/>
  <c r="W88" i="35"/>
  <c r="X88" i="35"/>
  <c r="AF89" i="26"/>
  <c r="I88" i="26"/>
  <c r="AF71" i="47"/>
  <c r="I69" i="47"/>
  <c r="AA88" i="35" l="1"/>
  <c r="AF174" i="26"/>
  <c r="AF176" i="26" s="1"/>
  <c r="AG68" i="47"/>
  <c r="AG71" i="47" s="1"/>
  <c r="AF95" i="26"/>
  <c r="AF96" i="26" s="1"/>
  <c r="AF90" i="26"/>
  <c r="AG90" i="26" s="1"/>
  <c r="AF179" i="26" l="1"/>
  <c r="AF188" i="26" s="1"/>
  <c r="AF178" i="26"/>
  <c r="O152" i="36"/>
  <c r="Q82" i="36"/>
  <c r="T82" i="36" s="1"/>
  <c r="AG94" i="26"/>
  <c r="AG96" i="26" s="1"/>
  <c r="AF191" i="26"/>
  <c r="AF192" i="26" s="1"/>
  <c r="AG174" i="26"/>
  <c r="AG176" i="26" l="1"/>
  <c r="AG178" i="26" s="1"/>
  <c r="V31" i="39"/>
  <c r="M31" i="39"/>
  <c r="R31" i="39"/>
  <c r="U31" i="39"/>
  <c r="X31" i="39"/>
  <c r="AA31" i="39"/>
  <c r="T31" i="39"/>
  <c r="K31" i="39"/>
  <c r="J31" i="39"/>
  <c r="S31" i="39"/>
  <c r="Y31" i="39"/>
  <c r="Z31" i="39"/>
  <c r="O31" i="39"/>
  <c r="Q31" i="39"/>
  <c r="L31" i="39"/>
  <c r="W31" i="39"/>
  <c r="P31" i="39"/>
  <c r="N31" i="39"/>
  <c r="AF194" i="26"/>
  <c r="AF195" i="26" s="1"/>
  <c r="AG191" i="26"/>
  <c r="AG179" i="26" l="1"/>
  <c r="AG188" i="26" s="1"/>
  <c r="AG192" i="26"/>
  <c r="S48" i="39"/>
  <c r="O48" i="39"/>
  <c r="X48" i="39"/>
  <c r="L48" i="39"/>
  <c r="Y48" i="39"/>
  <c r="W48" i="39"/>
  <c r="Z48" i="39"/>
  <c r="J48" i="39"/>
  <c r="T48" i="39"/>
  <c r="V48" i="39"/>
  <c r="M48" i="39"/>
  <c r="N48" i="39"/>
  <c r="P48" i="39"/>
  <c r="R48" i="39"/>
  <c r="Q48" i="39"/>
  <c r="K48" i="39"/>
  <c r="U48" i="39"/>
  <c r="AA48" i="39"/>
  <c r="I148" i="26"/>
  <c r="F300" i="1" s="1"/>
  <c r="H300" i="1" s="1"/>
  <c r="AG194" i="26" l="1"/>
  <c r="AG195" i="26" s="1"/>
  <c r="P20" i="39"/>
  <c r="T20" i="39"/>
  <c r="N20" i="39"/>
  <c r="J20" i="39"/>
  <c r="Z20" i="39"/>
  <c r="R20" i="39"/>
  <c r="L20" i="39"/>
  <c r="Q20" i="39"/>
  <c r="K20" i="39"/>
  <c r="O20" i="39"/>
  <c r="U20" i="39"/>
  <c r="W20" i="39"/>
  <c r="M20" i="39"/>
  <c r="S20" i="39"/>
  <c r="X20" i="39"/>
  <c r="Y20" i="39"/>
  <c r="J194" i="36" l="1"/>
  <c r="J188" i="36" s="1"/>
  <c r="J196" i="36" s="1"/>
  <c r="V20" i="39"/>
  <c r="L194" i="36"/>
  <c r="L188" i="36" s="1"/>
  <c r="L196" i="36" s="1"/>
  <c r="AA20" i="39"/>
  <c r="M36" i="47" l="1"/>
  <c r="N36" i="47" l="1"/>
  <c r="I60" i="47" l="1"/>
  <c r="I62" i="47" l="1"/>
  <c r="I70" i="47" l="1"/>
  <c r="F72" i="47" l="1"/>
  <c r="G72" i="47" s="1"/>
  <c r="I34" i="25"/>
  <c r="I125" i="26" l="1"/>
  <c r="AA34" i="38" l="1"/>
  <c r="AE188" i="36" l="1"/>
  <c r="AG188" i="36"/>
  <c r="I15" i="25" l="1"/>
  <c r="X15" i="38" l="1"/>
  <c r="Y15" i="38"/>
  <c r="Z15" i="38"/>
  <c r="I105" i="26"/>
  <c r="I104" i="25"/>
  <c r="I108" i="25"/>
  <c r="I106" i="25"/>
  <c r="I84" i="26"/>
  <c r="I107" i="25"/>
  <c r="W15" i="38" l="1"/>
  <c r="AA14" i="38"/>
  <c r="AA15" i="38" s="1"/>
  <c r="I111" i="25"/>
  <c r="I71" i="25"/>
  <c r="AA84" i="35"/>
  <c r="I29" i="25"/>
  <c r="I106" i="26"/>
  <c r="I112" i="25" l="1"/>
  <c r="I28" i="25"/>
  <c r="I122" i="26"/>
  <c r="L36" i="47" l="1"/>
  <c r="Y87" i="35"/>
  <c r="Y89" i="35" s="1"/>
  <c r="I83" i="26"/>
  <c r="Z87" i="35"/>
  <c r="Z89" i="35" s="1"/>
  <c r="X87" i="35"/>
  <c r="X89" i="35" s="1"/>
  <c r="I99" i="25"/>
  <c r="AA31" i="38"/>
  <c r="I121" i="26"/>
  <c r="Z35" i="38"/>
  <c r="Y35" i="38"/>
  <c r="X35" i="38"/>
  <c r="L40" i="47" l="1"/>
  <c r="L41" i="47" s="1"/>
  <c r="M39" i="47" s="1"/>
  <c r="W87" i="35"/>
  <c r="AA83" i="35"/>
  <c r="Q80" i="36" s="1"/>
  <c r="AA30" i="38"/>
  <c r="AA35" i="38" s="1"/>
  <c r="W35" i="38"/>
  <c r="I30" i="25"/>
  <c r="I87" i="26"/>
  <c r="I126" i="26"/>
  <c r="L43" i="47" l="1"/>
  <c r="L45" i="47" s="1"/>
  <c r="M40" i="47"/>
  <c r="M43" i="47" s="1"/>
  <c r="M45" i="47" s="1"/>
  <c r="Q81" i="36"/>
  <c r="T80" i="36"/>
  <c r="AA87" i="35"/>
  <c r="W89" i="35"/>
  <c r="I89" i="26"/>
  <c r="M41" i="47" l="1"/>
  <c r="N39" i="47" s="1"/>
  <c r="N40" i="47" s="1"/>
  <c r="N43" i="47" s="1"/>
  <c r="N45" i="47" s="1"/>
  <c r="I45" i="47" s="1"/>
  <c r="I95" i="26"/>
  <c r="T81" i="36"/>
  <c r="Q83" i="36"/>
  <c r="AA89" i="35"/>
  <c r="O139" i="36" s="1"/>
  <c r="O154" i="36" s="1"/>
  <c r="W90" i="35"/>
  <c r="X90" i="35" s="1"/>
  <c r="Y90" i="35" s="1"/>
  <c r="Z90" i="35" s="1"/>
  <c r="Q84" i="36" l="1"/>
  <c r="N41" i="47"/>
  <c r="AA90" i="35"/>
  <c r="I85" i="36" s="1"/>
  <c r="T83" i="36"/>
  <c r="AY275" i="36"/>
  <c r="I42" i="25"/>
  <c r="J12" i="36" s="1"/>
  <c r="AG194" i="36"/>
  <c r="AE194" i="36"/>
  <c r="I130" i="26" l="1"/>
  <c r="I83" i="25"/>
  <c r="I91" i="35"/>
  <c r="F301" i="1" s="1"/>
  <c r="H301" i="1" s="1"/>
  <c r="J11" i="36"/>
  <c r="AX257" i="36"/>
  <c r="AZ257" i="36" s="1"/>
  <c r="I45" i="25"/>
  <c r="J14" i="36" s="1"/>
  <c r="F304" i="1" l="1"/>
  <c r="H304" i="1" s="1"/>
  <c r="J26" i="36"/>
  <c r="I133" i="26"/>
  <c r="I98" i="25"/>
  <c r="I152" i="25"/>
  <c r="I68" i="25"/>
  <c r="I77" i="25"/>
  <c r="Z49" i="39"/>
  <c r="Q49" i="39"/>
  <c r="K49" i="39"/>
  <c r="S49" i="39"/>
  <c r="R49" i="39"/>
  <c r="O49" i="39"/>
  <c r="U49" i="39"/>
  <c r="L49" i="39"/>
  <c r="X49" i="39"/>
  <c r="M49" i="39"/>
  <c r="Y49" i="39"/>
  <c r="W49" i="39"/>
  <c r="T49" i="39"/>
  <c r="J49" i="39"/>
  <c r="N49" i="39"/>
  <c r="P49" i="39"/>
  <c r="AA39" i="38"/>
  <c r="AX258" i="36"/>
  <c r="AZ258" i="36" s="1"/>
  <c r="I78" i="25"/>
  <c r="H78" i="25" s="1"/>
  <c r="I67" i="25"/>
  <c r="F299" i="1" l="1"/>
  <c r="H299" i="1" s="1"/>
  <c r="H77" i="25"/>
  <c r="O164" i="36"/>
  <c r="I138" i="26"/>
  <c r="I145" i="26"/>
  <c r="H69" i="25"/>
  <c r="V49" i="39"/>
  <c r="AE193" i="36"/>
  <c r="AE192" i="36" s="1"/>
  <c r="AA42" i="38"/>
  <c r="I137" i="26"/>
  <c r="X47" i="38"/>
  <c r="X49" i="38" s="1"/>
  <c r="X54" i="38" s="1"/>
  <c r="Y47" i="38"/>
  <c r="Y49" i="38" s="1"/>
  <c r="Y54" i="38" s="1"/>
  <c r="Z47" i="38"/>
  <c r="Z49" i="38" s="1"/>
  <c r="Z54" i="38" s="1"/>
  <c r="AA49" i="39"/>
  <c r="AG193" i="36"/>
  <c r="AG192" i="36" s="1"/>
  <c r="Y43" i="39"/>
  <c r="R43" i="39"/>
  <c r="K43" i="39"/>
  <c r="P43" i="39"/>
  <c r="U43" i="39"/>
  <c r="L43" i="39"/>
  <c r="M43" i="39"/>
  <c r="T43" i="39"/>
  <c r="O43" i="39"/>
  <c r="J43" i="39"/>
  <c r="Z43" i="39"/>
  <c r="V43" i="39"/>
  <c r="AE190" i="36" s="1"/>
  <c r="S43" i="39"/>
  <c r="AA43" i="39"/>
  <c r="AG190" i="36" s="1"/>
  <c r="W43" i="39"/>
  <c r="D182" i="26"/>
  <c r="F308" i="1" s="1"/>
  <c r="H308" i="1" s="1"/>
  <c r="N43" i="39"/>
  <c r="X43" i="39"/>
  <c r="Q43" i="39"/>
  <c r="J33" i="39" l="1"/>
  <c r="Y33" i="39"/>
  <c r="S33" i="39"/>
  <c r="W33" i="39"/>
  <c r="U33" i="39"/>
  <c r="T33" i="39"/>
  <c r="R33" i="39"/>
  <c r="P33" i="39"/>
  <c r="M33" i="39"/>
  <c r="Q33" i="39"/>
  <c r="N33" i="39"/>
  <c r="O33" i="39"/>
  <c r="X33" i="39"/>
  <c r="Z33" i="39"/>
  <c r="L33" i="39"/>
  <c r="K33" i="39"/>
  <c r="AA46" i="38"/>
  <c r="O165" i="36" s="1"/>
  <c r="W47" i="38"/>
  <c r="W49" i="38" s="1"/>
  <c r="W54" i="38" s="1"/>
  <c r="W56" i="38" s="1"/>
  <c r="J18" i="36"/>
  <c r="I191" i="1"/>
  <c r="AA47" i="38" l="1"/>
  <c r="AA49" i="38" s="1"/>
  <c r="AA54" i="38" s="1"/>
  <c r="AA56" i="38" s="1"/>
  <c r="X55" i="38"/>
  <c r="X56" i="38" s="1"/>
  <c r="W57" i="38"/>
  <c r="P35" i="39"/>
  <c r="P36" i="39"/>
  <c r="P45" i="39" s="1"/>
  <c r="P51" i="39" s="1"/>
  <c r="W36" i="39"/>
  <c r="W45" i="39" s="1"/>
  <c r="W51" i="39" s="1"/>
  <c r="W35" i="39"/>
  <c r="Y36" i="39"/>
  <c r="Y45" i="39" s="1"/>
  <c r="Y51" i="39" s="1"/>
  <c r="Y35" i="39"/>
  <c r="AX262" i="36"/>
  <c r="AZ262" i="36" s="1"/>
  <c r="J13" i="36"/>
  <c r="L36" i="39"/>
  <c r="L45" i="39" s="1"/>
  <c r="L51" i="39" s="1"/>
  <c r="L35" i="39"/>
  <c r="X36" i="39"/>
  <c r="X45" i="39" s="1"/>
  <c r="X51" i="39" s="1"/>
  <c r="X35" i="39"/>
  <c r="N35" i="39"/>
  <c r="N36" i="39"/>
  <c r="N45" i="39" s="1"/>
  <c r="N51" i="39" s="1"/>
  <c r="R36" i="39"/>
  <c r="R45" i="39" s="1"/>
  <c r="R51" i="39" s="1"/>
  <c r="R35" i="39"/>
  <c r="AA33" i="39"/>
  <c r="AG183" i="36"/>
  <c r="AG182" i="36" s="1"/>
  <c r="O166" i="36"/>
  <c r="O169" i="36" s="1"/>
  <c r="O171" i="36" s="1"/>
  <c r="O35" i="39"/>
  <c r="O36" i="39"/>
  <c r="O45" i="39" s="1"/>
  <c r="O51" i="39" s="1"/>
  <c r="Q35" i="39"/>
  <c r="Q36" i="39"/>
  <c r="Q45" i="39" s="1"/>
  <c r="Q51" i="39" s="1"/>
  <c r="T35" i="39"/>
  <c r="T36" i="39"/>
  <c r="T45" i="39" s="1"/>
  <c r="T51" i="39" s="1"/>
  <c r="S36" i="39"/>
  <c r="S45" i="39" s="1"/>
  <c r="S51" i="39" s="1"/>
  <c r="S35" i="39"/>
  <c r="K36" i="39"/>
  <c r="K45" i="39" s="1"/>
  <c r="K51" i="39" s="1"/>
  <c r="K35" i="39"/>
  <c r="Z35" i="39"/>
  <c r="Z36" i="39"/>
  <c r="Z45" i="39" s="1"/>
  <c r="Z51" i="39" s="1"/>
  <c r="V33" i="39"/>
  <c r="AE183" i="36"/>
  <c r="AE182" i="36" s="1"/>
  <c r="M35" i="39"/>
  <c r="M36" i="39"/>
  <c r="M45" i="39" s="1"/>
  <c r="M51" i="39" s="1"/>
  <c r="U35" i="39"/>
  <c r="U36" i="39"/>
  <c r="U45" i="39" s="1"/>
  <c r="U51" i="39" s="1"/>
  <c r="J35" i="39"/>
  <c r="J36" i="39"/>
  <c r="J45" i="39" s="1"/>
  <c r="J51" i="39" s="1"/>
  <c r="I174" i="36" l="1"/>
  <c r="F305" i="1" s="1"/>
  <c r="H305" i="1" s="1"/>
  <c r="I58" i="38"/>
  <c r="F302" i="1" s="1"/>
  <c r="H302" i="1" s="1"/>
  <c r="Z52" i="39"/>
  <c r="O52" i="39"/>
  <c r="U52" i="39"/>
  <c r="S52" i="39"/>
  <c r="AA57" i="38"/>
  <c r="Q52" i="39"/>
  <c r="X52" i="39"/>
  <c r="K52" i="39"/>
  <c r="R52" i="39"/>
  <c r="M52" i="39"/>
  <c r="O173" i="36"/>
  <c r="T52" i="39"/>
  <c r="N52" i="39"/>
  <c r="BA257" i="36"/>
  <c r="BA262" i="36"/>
  <c r="BA261" i="36"/>
  <c r="BA260" i="36"/>
  <c r="BA259" i="36"/>
  <c r="BA258" i="36"/>
  <c r="P52" i="39"/>
  <c r="L52" i="39"/>
  <c r="Y52" i="39"/>
  <c r="X57" i="38"/>
  <c r="Y55" i="38"/>
  <c r="Y56" i="38" s="1"/>
  <c r="AE196" i="36"/>
  <c r="J198" i="36" s="1"/>
  <c r="AG196" i="36"/>
  <c r="L198" i="36" s="1"/>
  <c r="V35" i="39"/>
  <c r="V36" i="39"/>
  <c r="V45" i="39" s="1"/>
  <c r="V51" i="39" s="1"/>
  <c r="V52" i="39" s="1"/>
  <c r="AA35" i="39"/>
  <c r="AA36" i="39"/>
  <c r="AA45" i="39" s="1"/>
  <c r="J25" i="36"/>
  <c r="AX267" i="36"/>
  <c r="AX268" i="36"/>
  <c r="J27" i="36"/>
  <c r="J19" i="36"/>
  <c r="M13" i="36" s="1"/>
  <c r="I195" i="26"/>
  <c r="I194" i="26"/>
  <c r="F294" i="1" s="1"/>
  <c r="H294" i="1" s="1"/>
  <c r="W52" i="39" l="1"/>
  <c r="Z55" i="38"/>
  <c r="Z56" i="38" s="1"/>
  <c r="Z57" i="38" s="1"/>
  <c r="Y57" i="38"/>
  <c r="BC261" i="36"/>
  <c r="BD261" i="36"/>
  <c r="AA51" i="39"/>
  <c r="I53" i="39"/>
  <c r="F303" i="1" s="1"/>
  <c r="H303" i="1" s="1"/>
  <c r="BC258" i="36"/>
  <c r="BD258" i="36"/>
  <c r="BC262" i="36"/>
  <c r="BD262" i="36"/>
  <c r="BC259" i="36"/>
  <c r="BD259" i="36"/>
  <c r="BC257" i="36"/>
  <c r="BD257" i="36"/>
  <c r="M17" i="36"/>
  <c r="M16" i="36"/>
  <c r="M15" i="36"/>
  <c r="J24" i="36"/>
  <c r="M26" i="36" s="1"/>
  <c r="M12" i="36"/>
  <c r="M14" i="36"/>
  <c r="M11" i="36"/>
  <c r="M19" i="36" s="1"/>
  <c r="M18" i="36"/>
  <c r="F296" i="1"/>
  <c r="H296" i="1" s="1"/>
  <c r="BD260" i="36"/>
  <c r="BC260" i="36"/>
  <c r="M25" i="36" l="1"/>
  <c r="M24" i="36"/>
  <c r="AA52" i="39"/>
  <c r="I51" i="39"/>
  <c r="F295" i="1" s="1"/>
  <c r="H295" i="1" s="1"/>
  <c r="H324" i="1" s="1"/>
  <c r="D3" i="3" s="1"/>
  <c r="I57" i="38" l="1"/>
  <c r="I52" i="39"/>
  <c r="D3" i="49"/>
  <c r="G4" i="36"/>
  <c r="D3" i="35"/>
  <c r="D3" i="25"/>
  <c r="D3" i="48"/>
  <c r="D3" i="22"/>
  <c r="D3" i="51"/>
  <c r="D3" i="53"/>
  <c r="D3" i="52"/>
  <c r="D3" i="38"/>
  <c r="D3" i="47"/>
  <c r="D3" i="1"/>
  <c r="D3" i="39"/>
  <c r="D3" i="21"/>
  <c r="D3" i="6"/>
  <c r="D3" i="26"/>
  <c r="D3" i="44"/>
</calcChain>
</file>

<file path=xl/comments1.xml><?xml version="1.0" encoding="utf-8"?>
<comments xmlns="http://schemas.openxmlformats.org/spreadsheetml/2006/main">
  <authors>
    <author>www.financial-modelling-videos.de</author>
  </authors>
  <commentList>
    <comment ref="C36" authorId="0">
      <text>
        <r>
          <rPr>
            <b/>
            <sz val="8"/>
            <color indexed="81"/>
            <rFont val="Tahoma"/>
            <family val="2"/>
          </rPr>
          <t>www.excel-financial-model.com:</t>
        </r>
        <r>
          <rPr>
            <sz val="8"/>
            <color indexed="81"/>
            <rFont val="Tahoma"/>
            <family val="2"/>
          </rPr>
          <t xml:space="preserve">
includes "cash at bank" form opening balance (is used)
</t>
        </r>
      </text>
    </comment>
    <comment ref="C47" authorId="0">
      <text>
        <r>
          <rPr>
            <b/>
            <sz val="8"/>
            <color indexed="81"/>
            <rFont val="Tahoma"/>
            <family val="2"/>
          </rPr>
          <t>www.excel-financial-model.com:</t>
        </r>
        <r>
          <rPr>
            <sz val="8"/>
            <color indexed="81"/>
            <rFont val="Tahoma"/>
            <family val="2"/>
          </rPr>
          <t xml:space="preserve">
Enthält ggf. mehrfache Ziehungen, da auch Rückführungen stattfinden 
können sofern Liquidität vorhanden ist. Maximalbetrag ist oben bei 
Finanzierungsquellen ablesbar, weitere Details =&gt; Blatt "Finanzierung"
</t>
        </r>
      </text>
    </comment>
    <comment ref="V47" authorId="0">
      <text>
        <r>
          <rPr>
            <b/>
            <sz val="8"/>
            <color indexed="81"/>
            <rFont val="Tahoma"/>
            <family val="2"/>
          </rPr>
          <t>www.excel-financial-model.com:</t>
        </r>
        <r>
          <rPr>
            <sz val="8"/>
            <color indexed="81"/>
            <rFont val="Tahoma"/>
            <family val="2"/>
          </rPr>
          <t xml:space="preserve">
incl. any repayments of current account (if applicable) =&gt; details on sheet "Financing"
</t>
        </r>
      </text>
    </comment>
    <comment ref="C142" authorId="0">
      <text>
        <r>
          <rPr>
            <b/>
            <sz val="8"/>
            <color indexed="81"/>
            <rFont val="Segoe UI"/>
            <family val="2"/>
          </rPr>
          <t>www.excel-financial-model.com:</t>
        </r>
        <r>
          <rPr>
            <sz val="8"/>
            <color indexed="81"/>
            <rFont val="Segoe UI"/>
            <family val="2"/>
          </rPr>
          <t xml:space="preserve">
incl. Revenue share</t>
        </r>
      </text>
    </comment>
  </commentList>
</comments>
</file>

<file path=xl/comments10.xml><?xml version="1.0" encoding="utf-8"?>
<comments xmlns="http://schemas.openxmlformats.org/spreadsheetml/2006/main">
  <authors>
    <author>www.financial-modelling-videos.de</author>
  </authors>
  <commentList>
    <comment ref="E48" authorId="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List>
</comments>
</file>

<file path=xl/comments11.xml><?xml version="1.0" encoding="utf-8"?>
<comments xmlns="http://schemas.openxmlformats.org/spreadsheetml/2006/main">
  <authors>
    <author>www.financial-modelling-videos.de</author>
  </authors>
  <commentList>
    <comment ref="H28" authorId="0">
      <text>
        <r>
          <rPr>
            <b/>
            <sz val="8"/>
            <color indexed="81"/>
            <rFont val="Segoe UI"/>
            <family val="2"/>
          </rPr>
          <t>www.excel-financial-model.com:</t>
        </r>
        <r>
          <rPr>
            <sz val="8"/>
            <color indexed="81"/>
            <rFont val="Segoe UI"/>
            <family val="2"/>
          </rPr>
          <t xml:space="preserve">
For experienced users only !
Shift month of payment, without changing interval.
Valid input values: 0 to 11 months
</t>
        </r>
      </text>
    </comment>
  </commentList>
</comments>
</file>

<file path=xl/comments2.xml><?xml version="1.0" encoding="utf-8"?>
<comments xmlns="http://schemas.openxmlformats.org/spreadsheetml/2006/main">
  <authors>
    <author>www.financial-modelling-videos.de</author>
    <author>www.excel-financial-model.com</author>
  </authors>
  <commentList>
    <comment ref="C23" authorId="0">
      <text>
        <r>
          <rPr>
            <b/>
            <sz val="8"/>
            <color indexed="81"/>
            <rFont val="Segoe UI"/>
            <family val="2"/>
          </rPr>
          <t>www.excel-financial-model.com:</t>
        </r>
        <r>
          <rPr>
            <sz val="8"/>
            <color indexed="81"/>
            <rFont val="Segoe UI"/>
            <family val="2"/>
          </rPr>
          <t xml:space="preserve">
only if billed by 3rd party</t>
        </r>
      </text>
    </comment>
    <comment ref="C25" authorId="1">
      <text>
        <r>
          <rPr>
            <b/>
            <sz val="8"/>
            <color indexed="81"/>
            <rFont val="Segoe UI"/>
            <family val="2"/>
          </rPr>
          <t>www.excel-financial-model.com:</t>
        </r>
        <r>
          <rPr>
            <sz val="8"/>
            <color indexed="81"/>
            <rFont val="Segoe UI"/>
            <family val="2"/>
          </rPr>
          <t xml:space="preserve">
without direct labour
</t>
        </r>
      </text>
    </comment>
    <comment ref="E36" authorId="0">
      <text>
        <r>
          <rPr>
            <b/>
            <sz val="8"/>
            <color indexed="81"/>
            <rFont val="Segoe UI"/>
            <family val="2"/>
          </rPr>
          <t>www.excel-financial-model.com:</t>
        </r>
        <r>
          <rPr>
            <sz val="8"/>
            <color indexed="81"/>
            <rFont val="Segoe UI"/>
            <family val="2"/>
          </rPr>
          <t xml:space="preserve">
Contract length in months</t>
        </r>
      </text>
    </comment>
    <comment ref="F36" authorId="0">
      <text>
        <r>
          <rPr>
            <b/>
            <sz val="8"/>
            <color indexed="81"/>
            <rFont val="Segoe UI"/>
            <family val="2"/>
          </rPr>
          <t>www.excel-financial-model.com:</t>
        </r>
        <r>
          <rPr>
            <sz val="8"/>
            <color indexed="81"/>
            <rFont val="Segoe UI"/>
            <family val="2"/>
          </rPr>
          <t xml:space="preserve">
Retention rate (after end of contract)</t>
        </r>
      </text>
    </comment>
    <comment ref="G36" authorId="0">
      <text>
        <r>
          <rPr>
            <b/>
            <sz val="8"/>
            <color indexed="81"/>
            <rFont val="Segoe UI"/>
            <family val="2"/>
          </rPr>
          <t>www.excel-financial-model.com:</t>
        </r>
        <r>
          <rPr>
            <sz val="8"/>
            <color indexed="81"/>
            <rFont val="Segoe UI"/>
            <family val="2"/>
          </rPr>
          <t xml:space="preserve">
Customer lifetime (in months)</t>
        </r>
      </text>
    </comment>
    <comment ref="H45" authorId="0">
      <text>
        <r>
          <rPr>
            <b/>
            <sz val="8"/>
            <color indexed="81"/>
            <rFont val="Segoe UI"/>
            <family val="2"/>
          </rPr>
          <t>www.excel-financial-model.com:</t>
        </r>
        <r>
          <rPr>
            <sz val="8"/>
            <color indexed="81"/>
            <rFont val="Segoe UI"/>
            <family val="2"/>
          </rPr>
          <t xml:space="preserve">
Discount rate including customer life</t>
        </r>
      </text>
    </comment>
    <comment ref="C61" authorId="1">
      <text>
        <r>
          <rPr>
            <b/>
            <sz val="8"/>
            <color indexed="81"/>
            <rFont val="Segoe UI"/>
            <family val="2"/>
          </rPr>
          <t>www.excel-financial-model.com:</t>
        </r>
        <r>
          <rPr>
            <sz val="8"/>
            <color indexed="81"/>
            <rFont val="Segoe UI"/>
            <family val="2"/>
          </rPr>
          <t xml:space="preserve">
Positions included:
a) Materials/packaging/goods;
b) Hosting/cloud infrastructure;
c) 3rd party services
</t>
        </r>
      </text>
    </comment>
  </commentList>
</comments>
</file>

<file path=xl/comments3.xml><?xml version="1.0" encoding="utf-8"?>
<comments xmlns="http://schemas.openxmlformats.org/spreadsheetml/2006/main">
  <authors>
    <author>www.financial-modelling-videos.de</author>
    <author>Autor</author>
    <author>www.excel-financial-model.com</author>
  </authors>
  <commentList>
    <comment ref="H2" authorId="0">
      <text>
        <r>
          <rPr>
            <b/>
            <sz val="8"/>
            <color indexed="81"/>
            <rFont val="Tahoma"/>
            <family val="2"/>
          </rPr>
          <t>www.excel-financial-model.com:</t>
        </r>
        <r>
          <rPr>
            <sz val="8"/>
            <color indexed="81"/>
            <rFont val="Tahoma"/>
            <family val="2"/>
          </rPr>
          <t xml:space="preserve">
This macro will irrevocably delete all input data on all sheets.
With the exception of sheet: "Inputs"
With a new planning, input data on sheet "Inputs" has to be
updated in any case.
</t>
        </r>
      </text>
    </comment>
    <comment ref="H14" authorId="1">
      <text>
        <r>
          <rPr>
            <b/>
            <sz val="8"/>
            <color indexed="81"/>
            <rFont val="Tahoma"/>
            <family val="2"/>
          </rPr>
          <t>www.excel-financial-model.com:</t>
        </r>
        <r>
          <rPr>
            <sz val="8"/>
            <color indexed="81"/>
            <rFont val="Tahoma"/>
            <family val="2"/>
          </rPr>
          <t xml:space="preserve">
Important control cell =&gt; Don't change or delete!
</t>
        </r>
      </text>
    </comment>
    <comment ref="F15" authorId="0">
      <text>
        <r>
          <rPr>
            <b/>
            <sz val="8"/>
            <color indexed="81"/>
            <rFont val="Tahoma"/>
            <family val="2"/>
          </rPr>
          <t>www.excel-financial-model.com:</t>
        </r>
        <r>
          <rPr>
            <sz val="8"/>
            <color indexed="81"/>
            <rFont val="Tahoma"/>
            <family val="2"/>
          </rPr>
          <t xml:space="preserve">
It is recommended to use the three-letter alphabetic ISO 4217 code, which is the
international standard for currency codes (e.g. EUR, USD, GBP, AUS etc.)
For more information:  http://www.iso.org/iso/home/standards/currency_codes.htm
</t>
        </r>
      </text>
    </comment>
    <comment ref="C33" authorId="0">
      <text>
        <r>
          <rPr>
            <b/>
            <sz val="8"/>
            <color indexed="81"/>
            <rFont val="Segoe UI"/>
            <family val="2"/>
          </rPr>
          <t>www.excel-financial-model.com:</t>
        </r>
        <r>
          <rPr>
            <sz val="8"/>
            <color indexed="81"/>
            <rFont val="Segoe UI"/>
            <family val="2"/>
          </rPr>
          <t xml:space="preserve">
Churn Rate = 1 - Retention Rate (e.g. with 80% Retention =&gt; Churn is 20%)</t>
        </r>
      </text>
    </comment>
    <comment ref="C45" authorId="2">
      <text>
        <r>
          <rPr>
            <b/>
            <sz val="8"/>
            <color indexed="81"/>
            <rFont val="Segoe UI"/>
            <family val="2"/>
          </rPr>
          <t>www.excel-financial-model.com:</t>
        </r>
        <r>
          <rPr>
            <sz val="8"/>
            <color indexed="81"/>
            <rFont val="Segoe UI"/>
            <family val="2"/>
          </rPr>
          <t xml:space="preserve">
This assumption also applies for additional
revenue, if planned.
</t>
        </r>
      </text>
    </comment>
    <comment ref="G55" authorId="1">
      <text>
        <r>
          <rPr>
            <b/>
            <sz val="8"/>
            <color indexed="81"/>
            <rFont val="Tahoma"/>
            <family val="2"/>
          </rPr>
          <t>www.excel-financial-model.com:</t>
        </r>
        <r>
          <rPr>
            <sz val="8"/>
            <color indexed="81"/>
            <rFont val="Tahoma"/>
            <family val="2"/>
          </rPr>
          <t xml:space="preserve">
Important control cell =&gt; Don't change or delete!
</t>
        </r>
      </text>
    </comment>
    <comment ref="G108" authorId="1">
      <text>
        <r>
          <rPr>
            <b/>
            <sz val="8"/>
            <color indexed="81"/>
            <rFont val="Tahoma"/>
            <family val="2"/>
          </rPr>
          <t>www.excel-financial-model.com:</t>
        </r>
        <r>
          <rPr>
            <sz val="8"/>
            <color indexed="81"/>
            <rFont val="Tahoma"/>
            <family val="2"/>
          </rPr>
          <t xml:space="preserve">
Annual base salary (for 12 months) without income 
taxes &amp; social insurances (will be calculated seperately).
</t>
        </r>
      </text>
    </comment>
    <comment ref="C143" authorId="0">
      <text>
        <r>
          <rPr>
            <b/>
            <sz val="8"/>
            <color indexed="81"/>
            <rFont val="Segoe UI"/>
            <family val="2"/>
          </rPr>
          <t>www.excel-financial-model.com:</t>
        </r>
        <r>
          <rPr>
            <sz val="8"/>
            <color indexed="81"/>
            <rFont val="Segoe UI"/>
            <family val="2"/>
          </rPr>
          <t xml:space="preserve">
payed out monthly</t>
        </r>
      </text>
    </comment>
    <comment ref="C144" authorId="0">
      <text>
        <r>
          <rPr>
            <b/>
            <sz val="8"/>
            <color indexed="81"/>
            <rFont val="Segoe UI"/>
            <family val="2"/>
          </rPr>
          <t>www.excel-financial-model.com:</t>
        </r>
        <r>
          <rPr>
            <sz val="8"/>
            <color indexed="81"/>
            <rFont val="Segoe UI"/>
            <family val="2"/>
          </rPr>
          <t xml:space="preserve">
payed out monthly</t>
        </r>
      </text>
    </comment>
    <comment ref="C145" authorId="0">
      <text>
        <r>
          <rPr>
            <b/>
            <sz val="8"/>
            <color indexed="81"/>
            <rFont val="Segoe UI"/>
            <family val="2"/>
          </rPr>
          <t>www.excel-financial-model.com:</t>
        </r>
        <r>
          <rPr>
            <sz val="8"/>
            <color indexed="81"/>
            <rFont val="Segoe UI"/>
            <family val="2"/>
          </rPr>
          <t xml:space="preserve">
payed out monthly</t>
        </r>
      </text>
    </comment>
    <comment ref="C150" authorId="0">
      <text>
        <r>
          <rPr>
            <b/>
            <sz val="8"/>
            <color indexed="81"/>
            <rFont val="Segoe UI"/>
            <family val="2"/>
          </rPr>
          <t>www.excel-financial-model.com:</t>
        </r>
        <r>
          <rPr>
            <sz val="8"/>
            <color indexed="81"/>
            <rFont val="Segoe UI"/>
            <family val="2"/>
          </rPr>
          <t xml:space="preserve">
with impact on liquidity (not opening balance)
</t>
        </r>
      </text>
    </comment>
    <comment ref="C151" authorId="0">
      <text>
        <r>
          <rPr>
            <b/>
            <sz val="8"/>
            <color indexed="81"/>
            <rFont val="Tahoma"/>
            <family val="2"/>
          </rPr>
          <t>www.excel-financial-model.com:</t>
        </r>
        <r>
          <rPr>
            <sz val="8"/>
            <color indexed="81"/>
            <rFont val="Tahoma"/>
            <family val="2"/>
          </rPr>
          <t xml:space="preserve">
- maximum amount, impact on liquidity when capital needed, except when choosing "cash-in at 1st month"
- this amount will be added to any share capital in the opening balance</t>
        </r>
      </text>
    </comment>
    <comment ref="C152" authorId="0">
      <text>
        <r>
          <rPr>
            <b/>
            <sz val="8"/>
            <color indexed="81"/>
            <rFont val="Segoe UI"/>
            <family val="2"/>
          </rPr>
          <t>www.excel-financial-model.com:</t>
        </r>
        <r>
          <rPr>
            <sz val="8"/>
            <color indexed="81"/>
            <rFont val="Segoe UI"/>
            <family val="2"/>
          </rPr>
          <t xml:space="preserve">
with impact on liquidity (not opening balance)
</t>
        </r>
      </text>
    </comment>
    <comment ref="C153" authorId="0">
      <text>
        <r>
          <rPr>
            <b/>
            <sz val="8"/>
            <color indexed="81"/>
            <rFont val="Tahoma"/>
            <family val="2"/>
          </rPr>
          <t>www.excel-financial-model.com:</t>
        </r>
        <r>
          <rPr>
            <sz val="8"/>
            <color indexed="81"/>
            <rFont val="Tahoma"/>
            <family val="2"/>
          </rPr>
          <t xml:space="preserve">
impact on liquidity at selected date</t>
        </r>
      </text>
    </comment>
    <comment ref="G192" authorId="1">
      <text>
        <r>
          <rPr>
            <b/>
            <sz val="8"/>
            <color indexed="81"/>
            <rFont val="Tahoma"/>
            <family val="2"/>
          </rPr>
          <t>Important control cell =&gt; Don'</t>
        </r>
        <r>
          <rPr>
            <sz val="8"/>
            <color indexed="81"/>
            <rFont val="Tahoma"/>
            <family val="2"/>
          </rPr>
          <t>t change or delete!</t>
        </r>
      </text>
    </comment>
    <comment ref="C259" authorId="0">
      <text>
        <r>
          <rPr>
            <b/>
            <sz val="8"/>
            <color indexed="81"/>
            <rFont val="Segoe UI"/>
            <family val="2"/>
          </rPr>
          <t>www.excel-financial-model.com:</t>
        </r>
        <r>
          <rPr>
            <sz val="8"/>
            <color indexed="81"/>
            <rFont val="Segoe UI"/>
            <family val="2"/>
          </rPr>
          <t xml:space="preserve">
NBV = net book value at model start
</t>
        </r>
      </text>
    </comment>
    <comment ref="C260" authorId="0">
      <text>
        <r>
          <rPr>
            <b/>
            <sz val="8"/>
            <color indexed="81"/>
            <rFont val="Segoe UI"/>
            <family val="2"/>
          </rPr>
          <t>www.excel-financial-model.com:</t>
        </r>
        <r>
          <rPr>
            <sz val="8"/>
            <color indexed="81"/>
            <rFont val="Segoe UI"/>
            <family val="2"/>
          </rPr>
          <t xml:space="preserve">
NBV = net book value at model start
</t>
        </r>
      </text>
    </comment>
    <comment ref="C264" authorId="0">
      <text>
        <r>
          <rPr>
            <b/>
            <sz val="8"/>
            <color indexed="81"/>
            <rFont val="Segoe UI"/>
            <family val="2"/>
          </rPr>
          <t>www.excel-financial-model.com:</t>
        </r>
        <r>
          <rPr>
            <sz val="8"/>
            <color indexed="81"/>
            <rFont val="Segoe UI"/>
            <family val="2"/>
          </rPr>
          <t xml:space="preserve">
NBV = net book value at model start
</t>
        </r>
      </text>
    </comment>
    <comment ref="C278" authorId="0">
      <text>
        <r>
          <rPr>
            <b/>
            <sz val="8"/>
            <color indexed="81"/>
            <rFont val="Tahoma"/>
            <family val="2"/>
          </rPr>
          <t>www.excel-financial-model.com:</t>
        </r>
        <r>
          <rPr>
            <sz val="8"/>
            <color indexed="81"/>
            <rFont val="Tahoma"/>
            <family val="2"/>
          </rPr>
          <t xml:space="preserve">
If there are several existing loans, please fill in the total amount of these loans. You also have to calculate interest and redemption payments on sheet "financing" for each of them.
</t>
        </r>
      </text>
    </comment>
    <comment ref="E358" authorId="0">
      <text>
        <r>
          <rPr>
            <b/>
            <sz val="8"/>
            <color indexed="81"/>
            <rFont val="Segoe UI"/>
            <family val="2"/>
          </rPr>
          <t>www.excel-financial-model.com:</t>
        </r>
        <r>
          <rPr>
            <sz val="8"/>
            <color indexed="81"/>
            <rFont val="Segoe UI"/>
            <family val="2"/>
          </rPr>
          <t xml:space="preserve">
Phasing out &lt; or = opening value?
</t>
        </r>
      </text>
    </comment>
  </commentList>
</comments>
</file>

<file path=xl/comments4.xml><?xml version="1.0" encoding="utf-8"?>
<comments xmlns="http://schemas.openxmlformats.org/spreadsheetml/2006/main">
  <authors>
    <author>www.financial-modelling-videos.de</author>
    <author>www.excel-financial-model.com</author>
  </authors>
  <commentList>
    <comment ref="A28" authorId="0">
      <text>
        <r>
          <rPr>
            <b/>
            <sz val="8"/>
            <color indexed="81"/>
            <rFont val="Segoe UI"/>
            <family val="2"/>
          </rPr>
          <t>www.excel-financial-model.com:</t>
        </r>
        <r>
          <rPr>
            <sz val="8"/>
            <color indexed="81"/>
            <rFont val="Segoe UI"/>
            <family val="2"/>
          </rPr>
          <t xml:space="preserve">
revenue share flag</t>
        </r>
      </text>
    </comment>
    <comment ref="B28" authorId="0">
      <text>
        <r>
          <rPr>
            <b/>
            <sz val="8"/>
            <color indexed="81"/>
            <rFont val="Segoe UI"/>
            <family val="2"/>
          </rPr>
          <t>www.excel-financial-model.com:</t>
        </r>
        <r>
          <rPr>
            <sz val="8"/>
            <color indexed="81"/>
            <rFont val="Segoe UI"/>
            <family val="2"/>
          </rPr>
          <t xml:space="preserve">
revenue share flag</t>
        </r>
      </text>
    </comment>
    <comment ref="A29" authorId="0">
      <text>
        <r>
          <rPr>
            <b/>
            <sz val="8"/>
            <color indexed="81"/>
            <rFont val="Segoe UI"/>
            <family val="2"/>
          </rPr>
          <t>www.excel-financial-model.com:</t>
        </r>
        <r>
          <rPr>
            <sz val="8"/>
            <color indexed="81"/>
            <rFont val="Segoe UI"/>
            <family val="2"/>
          </rPr>
          <t xml:space="preserve">
revenue share flag</t>
        </r>
      </text>
    </comment>
    <comment ref="B29" authorId="0">
      <text>
        <r>
          <rPr>
            <b/>
            <sz val="8"/>
            <color indexed="81"/>
            <rFont val="Segoe UI"/>
            <family val="2"/>
          </rPr>
          <t>www.excel-financial-model.com:</t>
        </r>
        <r>
          <rPr>
            <sz val="8"/>
            <color indexed="81"/>
            <rFont val="Segoe UI"/>
            <family val="2"/>
          </rPr>
          <t xml:space="preserve">
revenue share flag</t>
        </r>
      </text>
    </comment>
    <comment ref="A30" authorId="0">
      <text>
        <r>
          <rPr>
            <b/>
            <sz val="8"/>
            <color indexed="81"/>
            <rFont val="Segoe UI"/>
            <family val="2"/>
          </rPr>
          <t>www.excel-financial-model.com:</t>
        </r>
        <r>
          <rPr>
            <sz val="8"/>
            <color indexed="81"/>
            <rFont val="Segoe UI"/>
            <family val="2"/>
          </rPr>
          <t xml:space="preserve">
revenue share flag</t>
        </r>
      </text>
    </comment>
    <comment ref="B30" authorId="0">
      <text>
        <r>
          <rPr>
            <b/>
            <sz val="8"/>
            <color indexed="81"/>
            <rFont val="Segoe UI"/>
            <family val="2"/>
          </rPr>
          <t>www.excel-financial-model.com:</t>
        </r>
        <r>
          <rPr>
            <sz val="8"/>
            <color indexed="81"/>
            <rFont val="Segoe UI"/>
            <family val="2"/>
          </rPr>
          <t xml:space="preserve">
revenue share flag</t>
        </r>
      </text>
    </comment>
    <comment ref="C45" authorId="1">
      <text>
        <r>
          <rPr>
            <b/>
            <sz val="8"/>
            <color indexed="81"/>
            <rFont val="Segoe UI"/>
            <family val="2"/>
          </rPr>
          <t>www.excel-financial-model.com:</t>
        </r>
        <r>
          <rPr>
            <sz val="8"/>
            <color indexed="81"/>
            <rFont val="Segoe UI"/>
            <family val="2"/>
          </rPr>
          <t xml:space="preserve">
(optional) additional revenues planned above are not 
included here as it is assumed the these revenues are 
cash-effective in the same month !
</t>
        </r>
      </text>
    </comment>
    <comment ref="C72" authorId="0">
      <text>
        <r>
          <rPr>
            <b/>
            <sz val="8"/>
            <color indexed="81"/>
            <rFont val="Segoe UI"/>
            <family val="2"/>
          </rPr>
          <t>www.excel-financial-model.com:</t>
        </r>
        <r>
          <rPr>
            <sz val="8"/>
            <color indexed="81"/>
            <rFont val="Segoe UI"/>
            <family val="2"/>
          </rPr>
          <t xml:space="preserve">
not on direct labour</t>
        </r>
      </text>
    </comment>
    <comment ref="E77" authorId="0">
      <text>
        <r>
          <rPr>
            <b/>
            <sz val="8"/>
            <color indexed="81"/>
            <rFont val="Segoe UI"/>
            <family val="2"/>
          </rPr>
          <t>www.excel-financial-model.com:</t>
        </r>
        <r>
          <rPr>
            <sz val="8"/>
            <color indexed="81"/>
            <rFont val="Segoe UI"/>
            <family val="2"/>
          </rPr>
          <t xml:space="preserve">
Basis for revenue share calculation can be changed on "Inputs" sheet
</t>
        </r>
      </text>
    </comment>
    <comment ref="C78" authorId="1">
      <text>
        <r>
          <rPr>
            <b/>
            <sz val="8"/>
            <color indexed="81"/>
            <rFont val="Segoe UI"/>
            <family val="2"/>
          </rPr>
          <t>www.excel-financial-model.com:</t>
        </r>
        <r>
          <rPr>
            <sz val="8"/>
            <color indexed="81"/>
            <rFont val="Segoe UI"/>
            <family val="2"/>
          </rPr>
          <t xml:space="preserve">
Only in case of direct billing, otherwise revenues
will be reduced accordingly.
</t>
        </r>
      </text>
    </comment>
    <comment ref="C166" authorId="0">
      <text>
        <r>
          <rPr>
            <b/>
            <sz val="8"/>
            <color indexed="81"/>
            <rFont val="Segoe UI"/>
            <family val="2"/>
          </rPr>
          <t>www.excel-financial-model.com:</t>
        </r>
        <r>
          <rPr>
            <sz val="8"/>
            <color indexed="81"/>
            <rFont val="Segoe UI"/>
            <family val="2"/>
          </rPr>
          <t xml:space="preserve">
Attention: formula in this (first) row differs from 
rest of calculation block !
</t>
        </r>
      </text>
    </comment>
    <comment ref="J166" authorId="0">
      <text>
        <r>
          <rPr>
            <b/>
            <sz val="8"/>
            <color indexed="81"/>
            <rFont val="Segoe UI"/>
            <family val="2"/>
          </rPr>
          <t>www.excel-financial-model.com:</t>
        </r>
        <r>
          <rPr>
            <sz val="8"/>
            <color indexed="81"/>
            <rFont val="Segoe UI"/>
            <family val="2"/>
          </rPr>
          <t xml:space="preserve">
Attention: formula in this (first) row differs from 
rest of calculation block !
</t>
        </r>
      </text>
    </comment>
    <comment ref="C194" authorId="0">
      <text>
        <r>
          <rPr>
            <b/>
            <sz val="8"/>
            <color indexed="81"/>
            <rFont val="Segoe UI"/>
            <family val="2"/>
          </rPr>
          <t>www.excel-financial-model.com:</t>
        </r>
        <r>
          <rPr>
            <sz val="8"/>
            <color indexed="81"/>
            <rFont val="Segoe UI"/>
            <family val="2"/>
          </rPr>
          <t xml:space="preserve">
Attention: formula in this (first) row differs from 
rest of calculation block !
</t>
        </r>
      </text>
    </comment>
    <comment ref="J194" authorId="0">
      <text>
        <r>
          <rPr>
            <b/>
            <sz val="8"/>
            <color indexed="81"/>
            <rFont val="Segoe UI"/>
            <family val="2"/>
          </rPr>
          <t>www.excel-financial-model.com:</t>
        </r>
        <r>
          <rPr>
            <sz val="8"/>
            <color indexed="81"/>
            <rFont val="Segoe UI"/>
            <family val="2"/>
          </rPr>
          <t xml:space="preserve">
Attention: formula in this (first) row differs from 
rest of calculation block !
</t>
        </r>
      </text>
    </comment>
  </commentList>
</comments>
</file>

<file path=xl/comments5.xml><?xml version="1.0" encoding="utf-8"?>
<comments xmlns="http://schemas.openxmlformats.org/spreadsheetml/2006/main">
  <authors>
    <author>Autor</author>
    <author>www.excel-financial-model.com</author>
    <author>www.financial-modelling-videos.de</author>
  </authors>
  <commentList>
    <comment ref="E16" authorId="0">
      <text>
        <r>
          <rPr>
            <b/>
            <sz val="8"/>
            <color indexed="81"/>
            <rFont val="Tahoma"/>
            <family val="2"/>
          </rPr>
          <t>www.excel-financial-model.com:</t>
        </r>
        <r>
          <rPr>
            <sz val="8"/>
            <color indexed="81"/>
            <rFont val="Tahoma"/>
            <family val="2"/>
          </rPr>
          <t xml:space="preserve">
Social Security Contributions:
Calculate Income taxes &amp; social insurances
=&gt; Yes or NO
</t>
        </r>
      </text>
    </comment>
    <comment ref="H16" authorId="1">
      <text>
        <r>
          <rPr>
            <b/>
            <sz val="8"/>
            <color indexed="81"/>
            <rFont val="Segoe UI"/>
            <family val="2"/>
          </rPr>
          <t>www.excel-financial-model.com:</t>
        </r>
        <r>
          <rPr>
            <sz val="8"/>
            <color indexed="81"/>
            <rFont val="Segoe UI"/>
            <family val="2"/>
          </rPr>
          <t xml:space="preserve">
1 = fully variable;
2 = step costs</t>
        </r>
      </text>
    </comment>
    <comment ref="F17" authorId="2">
      <text>
        <r>
          <rPr>
            <b/>
            <sz val="8"/>
            <color indexed="81"/>
            <rFont val="Segoe UI"/>
            <family val="2"/>
          </rPr>
          <t>www.excel-financial-model.com:</t>
        </r>
        <r>
          <rPr>
            <sz val="8"/>
            <color indexed="81"/>
            <rFont val="Segoe UI"/>
            <family val="2"/>
          </rPr>
          <t xml:space="preserve">
No of new customers 1 Sales Executive can acquire p.m.
</t>
        </r>
      </text>
    </comment>
    <comment ref="F18" authorId="2">
      <text>
        <r>
          <rPr>
            <b/>
            <sz val="8"/>
            <color indexed="81"/>
            <rFont val="Segoe UI"/>
            <family val="2"/>
          </rPr>
          <t>www.excel-financial-model.com:</t>
        </r>
        <r>
          <rPr>
            <sz val="8"/>
            <color indexed="81"/>
            <rFont val="Segoe UI"/>
            <family val="2"/>
          </rPr>
          <t xml:space="preserve">
No of existing customers, subscribers, or clients one 
account manager can handle.
</t>
        </r>
      </text>
    </comment>
    <comment ref="H22" authorId="0">
      <text>
        <r>
          <rPr>
            <b/>
            <sz val="8"/>
            <color indexed="81"/>
            <rFont val="Tahoma"/>
            <family val="2"/>
          </rPr>
          <t>www.excel-financial-model.com:</t>
        </r>
        <r>
          <rPr>
            <sz val="8"/>
            <color indexed="81"/>
            <rFont val="Tahoma"/>
            <family val="2"/>
          </rPr>
          <t xml:space="preserve">
Important control cell =&gt; Don't change or delete!
</t>
        </r>
      </text>
    </comment>
    <comment ref="H23" authorId="0">
      <text>
        <r>
          <rPr>
            <b/>
            <sz val="8"/>
            <color indexed="81"/>
            <rFont val="Tahoma"/>
            <family val="2"/>
          </rPr>
          <t>www.excel-financial-model.com:</t>
        </r>
        <r>
          <rPr>
            <sz val="8"/>
            <color indexed="81"/>
            <rFont val="Tahoma"/>
            <family val="2"/>
          </rPr>
          <t xml:space="preserve">
Important control cell =&gt; Don't change or delete!
</t>
        </r>
      </text>
    </comment>
    <comment ref="H24" authorId="0">
      <text>
        <r>
          <rPr>
            <b/>
            <sz val="8"/>
            <color indexed="81"/>
            <rFont val="Tahoma"/>
            <family val="2"/>
          </rPr>
          <t>www.excel-financial-model.com:</t>
        </r>
        <r>
          <rPr>
            <sz val="8"/>
            <color indexed="81"/>
            <rFont val="Tahoma"/>
            <family val="2"/>
          </rPr>
          <t xml:space="preserve">
Important control cell =&gt; Don't change or delete!
</t>
        </r>
      </text>
    </comment>
    <comment ref="H25" authorId="0">
      <text>
        <r>
          <rPr>
            <b/>
            <sz val="8"/>
            <color indexed="81"/>
            <rFont val="Tahoma"/>
            <family val="2"/>
          </rPr>
          <t>www.excel-financial-model.com:</t>
        </r>
        <r>
          <rPr>
            <sz val="8"/>
            <color indexed="81"/>
            <rFont val="Tahoma"/>
            <family val="2"/>
          </rPr>
          <t xml:space="preserve">
Important control cell =&gt; Don't change or delete!
</t>
        </r>
      </text>
    </comment>
    <comment ref="H26" authorId="0">
      <text>
        <r>
          <rPr>
            <b/>
            <sz val="8"/>
            <color indexed="81"/>
            <rFont val="Tahoma"/>
            <family val="2"/>
          </rPr>
          <t>www.excel-financial-model.com:</t>
        </r>
        <r>
          <rPr>
            <sz val="8"/>
            <color indexed="81"/>
            <rFont val="Tahoma"/>
            <family val="2"/>
          </rPr>
          <t xml:space="preserve">
Important control cell =&gt; Don't change or delete!
</t>
        </r>
      </text>
    </comment>
    <comment ref="H27" authorId="0">
      <text>
        <r>
          <rPr>
            <b/>
            <sz val="8"/>
            <color indexed="81"/>
            <rFont val="Tahoma"/>
            <family val="2"/>
          </rPr>
          <t>www.excel-financial-model.com:</t>
        </r>
        <r>
          <rPr>
            <sz val="8"/>
            <color indexed="81"/>
            <rFont val="Tahoma"/>
            <family val="2"/>
          </rPr>
          <t xml:space="preserve">
Important control cell =&gt; Don't change or delete!
</t>
        </r>
      </text>
    </comment>
    <comment ref="H28" authorId="0">
      <text>
        <r>
          <rPr>
            <b/>
            <sz val="8"/>
            <color indexed="81"/>
            <rFont val="Tahoma"/>
            <family val="2"/>
          </rPr>
          <t>www.excel-financial-model.com:</t>
        </r>
        <r>
          <rPr>
            <sz val="8"/>
            <color indexed="81"/>
            <rFont val="Tahoma"/>
            <family val="2"/>
          </rPr>
          <t xml:space="preserve">
Important control cell =&gt; Don't change or delete!
</t>
        </r>
      </text>
    </comment>
    <comment ref="H29" authorId="0">
      <text>
        <r>
          <rPr>
            <b/>
            <sz val="8"/>
            <color indexed="81"/>
            <rFont val="Tahoma"/>
            <family val="2"/>
          </rPr>
          <t>www.excel-financial-model.com:</t>
        </r>
        <r>
          <rPr>
            <sz val="8"/>
            <color indexed="81"/>
            <rFont val="Tahoma"/>
            <family val="2"/>
          </rPr>
          <t xml:space="preserve">
Important control cell =&gt; Don't change or delete!
</t>
        </r>
      </text>
    </comment>
    <comment ref="H33" authorId="0">
      <text>
        <r>
          <rPr>
            <b/>
            <sz val="8"/>
            <color indexed="81"/>
            <rFont val="Tahoma"/>
            <family val="2"/>
          </rPr>
          <t>www.excel-financial-model.com:</t>
        </r>
        <r>
          <rPr>
            <sz val="8"/>
            <color indexed="81"/>
            <rFont val="Tahoma"/>
            <family val="2"/>
          </rPr>
          <t xml:space="preserve">
Important control cell =&gt; Don't change or delete!
</t>
        </r>
      </text>
    </comment>
    <comment ref="H34" authorId="0">
      <text>
        <r>
          <rPr>
            <b/>
            <sz val="8"/>
            <color indexed="81"/>
            <rFont val="Tahoma"/>
            <family val="2"/>
          </rPr>
          <t>www.excel-financial-model.com:</t>
        </r>
        <r>
          <rPr>
            <sz val="8"/>
            <color indexed="81"/>
            <rFont val="Tahoma"/>
            <family val="2"/>
          </rPr>
          <t xml:space="preserve">
Important control cell =&gt; Don't change or delete!
</t>
        </r>
      </text>
    </comment>
    <comment ref="H35" authorId="0">
      <text>
        <r>
          <rPr>
            <b/>
            <sz val="8"/>
            <color indexed="81"/>
            <rFont val="Tahoma"/>
            <family val="2"/>
          </rPr>
          <t>www.excel-financial-model.com:</t>
        </r>
        <r>
          <rPr>
            <sz val="8"/>
            <color indexed="81"/>
            <rFont val="Tahoma"/>
            <family val="2"/>
          </rPr>
          <t xml:space="preserve">
Important control cell =&gt; Don't change or delete!
</t>
        </r>
      </text>
    </comment>
    <comment ref="H36" authorId="0">
      <text>
        <r>
          <rPr>
            <b/>
            <sz val="8"/>
            <color indexed="81"/>
            <rFont val="Tahoma"/>
            <family val="2"/>
          </rPr>
          <t>www.excel-financial-model.com:</t>
        </r>
        <r>
          <rPr>
            <sz val="8"/>
            <color indexed="81"/>
            <rFont val="Tahoma"/>
            <family val="2"/>
          </rPr>
          <t xml:space="preserve">
Important control cell =&gt; Don't change or delete!
</t>
        </r>
      </text>
    </comment>
    <comment ref="H37" authorId="0">
      <text>
        <r>
          <rPr>
            <b/>
            <sz val="8"/>
            <color indexed="81"/>
            <rFont val="Tahoma"/>
            <family val="2"/>
          </rPr>
          <t>www.excel-financial-model.com:</t>
        </r>
        <r>
          <rPr>
            <sz val="8"/>
            <color indexed="81"/>
            <rFont val="Tahoma"/>
            <family val="2"/>
          </rPr>
          <t xml:space="preserve">
Important control cell =&gt; Don't change or delete!
</t>
        </r>
      </text>
    </comment>
    <comment ref="H38" authorId="0">
      <text>
        <r>
          <rPr>
            <b/>
            <sz val="8"/>
            <color indexed="81"/>
            <rFont val="Tahoma"/>
            <family val="2"/>
          </rPr>
          <t>www.excel-financial-model.com:</t>
        </r>
        <r>
          <rPr>
            <sz val="8"/>
            <color indexed="81"/>
            <rFont val="Tahoma"/>
            <family val="2"/>
          </rPr>
          <t xml:space="preserve">
Important control cell =&gt; Don't change or delete!
</t>
        </r>
      </text>
    </comment>
    <comment ref="H39" authorId="0">
      <text>
        <r>
          <rPr>
            <b/>
            <sz val="8"/>
            <color indexed="81"/>
            <rFont val="Tahoma"/>
            <family val="2"/>
          </rPr>
          <t>www.excel-financial-model.com:</t>
        </r>
        <r>
          <rPr>
            <sz val="8"/>
            <color indexed="81"/>
            <rFont val="Tahoma"/>
            <family val="2"/>
          </rPr>
          <t xml:space="preserve">
Important control cell =&gt; Don't change or delete!
</t>
        </r>
      </text>
    </comment>
    <comment ref="H40" authorId="0">
      <text>
        <r>
          <rPr>
            <b/>
            <sz val="8"/>
            <color indexed="81"/>
            <rFont val="Tahoma"/>
            <family val="2"/>
          </rPr>
          <t>www.excel-financial-model.com:</t>
        </r>
        <r>
          <rPr>
            <sz val="8"/>
            <color indexed="81"/>
            <rFont val="Tahoma"/>
            <family val="2"/>
          </rPr>
          <t xml:space="preserve">
Important control cell =&gt; Don't change or delete!
</t>
        </r>
      </text>
    </comment>
    <comment ref="I43" authorId="1">
      <text>
        <r>
          <rPr>
            <b/>
            <sz val="8"/>
            <color indexed="81"/>
            <rFont val="Tahoma"/>
            <family val="2"/>
          </rPr>
          <t>www.excel-financial-model.com:</t>
        </r>
        <r>
          <rPr>
            <sz val="8"/>
            <color indexed="81"/>
            <rFont val="Tahoma"/>
            <family val="2"/>
          </rPr>
          <t xml:space="preserve">
number of employees at model start;
leave blank when planning a new company.
</t>
        </r>
      </text>
    </comment>
  </commentList>
</comments>
</file>

<file path=xl/comments6.xml><?xml version="1.0" encoding="utf-8"?>
<comments xmlns="http://schemas.openxmlformats.org/spreadsheetml/2006/main">
  <authors>
    <author>www.financial-modelling-videos.de</author>
  </authors>
  <commentList>
    <comment ref="E11"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F11" authorId="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C13" authorId="0">
      <text>
        <r>
          <rPr>
            <b/>
            <sz val="8"/>
            <color indexed="81"/>
            <rFont val="Segoe UI"/>
            <family val="2"/>
          </rPr>
          <t>www.excel-financial-model.com:</t>
        </r>
        <r>
          <rPr>
            <sz val="8"/>
            <color indexed="81"/>
            <rFont val="Segoe UI"/>
            <family val="2"/>
          </rPr>
          <t xml:space="preserve">
For all 4 products/services (if applicable)
</t>
        </r>
      </text>
    </comment>
    <comment ref="C14" authorId="0">
      <text>
        <r>
          <rPr>
            <b/>
            <sz val="8"/>
            <color indexed="81"/>
            <rFont val="Segoe UI"/>
            <family val="2"/>
          </rPr>
          <t>www.excel-financial-model.com:</t>
        </r>
        <r>
          <rPr>
            <sz val="8"/>
            <color indexed="81"/>
            <rFont val="Segoe UI"/>
            <family val="2"/>
          </rPr>
          <t xml:space="preserve">
For all 4 products/services (if applicable)
</t>
        </r>
      </text>
    </comment>
    <comment ref="C15"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15"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16"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16"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17"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17"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18"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18"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19"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19"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20"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20"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21"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21"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22"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22"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23"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23"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C24" authorId="0">
      <text>
        <r>
          <rPr>
            <b/>
            <sz val="8"/>
            <color indexed="81"/>
            <rFont val="Segoe UI"/>
            <family val="2"/>
          </rPr>
          <t>www.excel-financial-model.com:</t>
        </r>
        <r>
          <rPr>
            <sz val="8"/>
            <color indexed="81"/>
            <rFont val="Segoe UI"/>
            <family val="2"/>
          </rPr>
          <t xml:space="preserve">
If descriptions will be changed =&gt; link all rows with advertising &amp;
marketing expense items to line 43 (needed for CLTV calculation)
</t>
        </r>
      </text>
    </comment>
    <comment ref="E24" authorId="0">
      <text>
        <r>
          <rPr>
            <b/>
            <sz val="8"/>
            <color indexed="81"/>
            <rFont val="Segoe UI"/>
            <family val="2"/>
          </rPr>
          <t>www.excel-financial-model.com:</t>
        </r>
        <r>
          <rPr>
            <sz val="8"/>
            <color indexed="81"/>
            <rFont val="Segoe UI"/>
            <family val="2"/>
          </rPr>
          <t xml:space="preserve">
Allocation for CLTV and CAC calculation:
1 = cost category used for customer retention and/or acquisition
0 = cost category not used for allocation
</t>
        </r>
      </text>
    </comment>
    <comment ref="F59" authorId="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F75" authorId="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List>
</comments>
</file>

<file path=xl/comments7.xml><?xml version="1.0" encoding="utf-8"?>
<comments xmlns="http://schemas.openxmlformats.org/spreadsheetml/2006/main">
  <authors>
    <author>www.financial-modelling-videos.de</author>
    <author>Autor</author>
  </authors>
  <commentList>
    <comment ref="E20" authorId="0">
      <text>
        <r>
          <rPr>
            <b/>
            <sz val="8"/>
            <color indexed="81"/>
            <rFont val="Segoe UI"/>
            <family val="2"/>
          </rPr>
          <t>www.excel-financial-model.com:</t>
        </r>
        <r>
          <rPr>
            <sz val="8"/>
            <color indexed="81"/>
            <rFont val="Segoe UI"/>
            <family val="2"/>
          </rPr>
          <t xml:space="preserve">
1 = Straight-line
2 = Double declining balance
</t>
        </r>
      </text>
    </comment>
    <comment ref="E29"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30"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53" authorId="0">
      <text>
        <r>
          <rPr>
            <b/>
            <sz val="8"/>
            <color indexed="81"/>
            <rFont val="Segoe UI"/>
            <family val="2"/>
          </rPr>
          <t>www.excel-financial-model.com:</t>
        </r>
        <r>
          <rPr>
            <sz val="8"/>
            <color indexed="81"/>
            <rFont val="Segoe UI"/>
            <family val="2"/>
          </rPr>
          <t xml:space="preserve">
1 = Straight-line
2 = Double declining balance
</t>
        </r>
      </text>
    </comment>
    <comment ref="E62"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63"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79" authorId="0">
      <text>
        <r>
          <rPr>
            <b/>
            <sz val="8"/>
            <color indexed="81"/>
            <rFont val="Segoe UI"/>
            <family val="2"/>
          </rPr>
          <t>www.excel-financial-model.com:</t>
        </r>
        <r>
          <rPr>
            <sz val="8"/>
            <color indexed="81"/>
            <rFont val="Segoe UI"/>
            <family val="2"/>
          </rPr>
          <t xml:space="preserve">
1 = Straight-line
2 = Double declining balance
</t>
        </r>
      </text>
    </comment>
    <comment ref="E88"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89"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105" authorId="0">
      <text>
        <r>
          <rPr>
            <b/>
            <sz val="8"/>
            <color indexed="81"/>
            <rFont val="Segoe UI"/>
            <family val="2"/>
          </rPr>
          <t>www.excel-financial-model.com:</t>
        </r>
        <r>
          <rPr>
            <sz val="8"/>
            <color indexed="81"/>
            <rFont val="Segoe UI"/>
            <family val="2"/>
          </rPr>
          <t xml:space="preserve">
1 = Straight-line
2 = Double declining balance
</t>
        </r>
      </text>
    </comment>
    <comment ref="E114"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115"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137" authorId="0">
      <text>
        <r>
          <rPr>
            <b/>
            <sz val="8"/>
            <color indexed="81"/>
            <rFont val="Segoe UI"/>
            <family val="2"/>
          </rPr>
          <t>www.excel-financial-model.com:</t>
        </r>
        <r>
          <rPr>
            <sz val="8"/>
            <color indexed="81"/>
            <rFont val="Segoe UI"/>
            <family val="2"/>
          </rPr>
          <t xml:space="preserve">
1 = Straight-line
2 = Double declining balance
</t>
        </r>
      </text>
    </comment>
    <comment ref="E146" authorId="1">
      <text>
        <r>
          <rPr>
            <b/>
            <sz val="8"/>
            <color indexed="81"/>
            <rFont val="Tahoma"/>
            <family val="2"/>
          </rPr>
          <t>www.excel-financial-model.com:</t>
        </r>
        <r>
          <rPr>
            <sz val="8"/>
            <color indexed="81"/>
            <rFont val="Tahoma"/>
            <family val="2"/>
          </rPr>
          <t xml:space="preserve">
This an important control/alert cell =&gt; Don't change or delete !
</t>
        </r>
      </text>
    </comment>
    <comment ref="E147" authorId="1">
      <text>
        <r>
          <rPr>
            <b/>
            <sz val="8"/>
            <color indexed="81"/>
            <rFont val="Tahoma"/>
            <family val="2"/>
          </rPr>
          <t>www.excel-financial-model.com:</t>
        </r>
        <r>
          <rPr>
            <sz val="8"/>
            <color indexed="81"/>
            <rFont val="Tahoma"/>
            <family val="2"/>
          </rPr>
          <t xml:space="preserve">
This an important control/alert cell =&gt; Don't change or delete !
</t>
        </r>
      </text>
    </comment>
  </commentList>
</comments>
</file>

<file path=xl/comments8.xml><?xml version="1.0" encoding="utf-8"?>
<comments xmlns="http://schemas.openxmlformats.org/spreadsheetml/2006/main">
  <authors>
    <author>www.financial-modelling-videos.de</author>
    <author>www.excel-financial-model.com</author>
    <author>Autor</author>
  </authors>
  <commentList>
    <comment ref="C11" authorId="0">
      <text>
        <r>
          <rPr>
            <b/>
            <sz val="8"/>
            <color indexed="81"/>
            <rFont val="Tahoma"/>
            <family val="2"/>
          </rPr>
          <t>www.excel-financial-model.com:</t>
        </r>
        <r>
          <rPr>
            <sz val="8"/>
            <color indexed="81"/>
            <rFont val="Tahoma"/>
            <family val="2"/>
          </rPr>
          <t xml:space="preserve">
net of bad debts;
phased out receivables from opening balance included
</t>
        </r>
      </text>
    </comment>
    <comment ref="C13" authorId="0">
      <text>
        <r>
          <rPr>
            <b/>
            <sz val="8"/>
            <color indexed="81"/>
            <rFont val="Segoe UI"/>
            <family val="2"/>
          </rPr>
          <t>www.excel-financial-model.com:</t>
        </r>
        <r>
          <rPr>
            <sz val="8"/>
            <color indexed="81"/>
            <rFont val="Segoe UI"/>
            <family val="2"/>
          </rPr>
          <t xml:space="preserve">
excluding capitalised assets 
=&gt; not relevant in terms of liquidity !</t>
        </r>
      </text>
    </comment>
    <comment ref="C17" authorId="1">
      <text>
        <r>
          <rPr>
            <b/>
            <sz val="8"/>
            <color indexed="81"/>
            <rFont val="Tahoma"/>
            <family val="2"/>
          </rPr>
          <t>www.excel-financial-model.com:</t>
        </r>
        <r>
          <rPr>
            <sz val="8"/>
            <color indexed="81"/>
            <rFont val="Tahoma"/>
            <family val="2"/>
          </rPr>
          <t xml:space="preserve">
without direct labour and without revenue share
=&gt; separate calculations
</t>
        </r>
      </text>
    </comment>
    <comment ref="C19" authorId="0">
      <text>
        <r>
          <rPr>
            <b/>
            <sz val="8"/>
            <color indexed="81"/>
            <rFont val="Tahoma"/>
            <family val="2"/>
          </rPr>
          <t>www.excel-financial-model.com:</t>
        </r>
        <r>
          <rPr>
            <sz val="8"/>
            <color indexed="81"/>
            <rFont val="Tahoma"/>
            <family val="2"/>
          </rPr>
          <t xml:space="preserve">
VAT on non-payroll expenses only;
Payroll expenses w/o social insurance &amp; income tax;
phased out payables from opening balance included
</t>
        </r>
      </text>
    </comment>
    <comment ref="C20" authorId="0">
      <text>
        <r>
          <rPr>
            <b/>
            <sz val="8"/>
            <color indexed="81"/>
            <rFont val="Tahoma"/>
            <family val="2"/>
          </rPr>
          <t>www.excel-financial-model.com:</t>
        </r>
        <r>
          <rPr>
            <sz val="8"/>
            <color indexed="81"/>
            <rFont val="Tahoma"/>
            <family val="2"/>
          </rPr>
          <t xml:space="preserve">
Without social insurance &amp; income tax
</t>
        </r>
      </text>
    </comment>
    <comment ref="C22" authorId="0">
      <text>
        <r>
          <rPr>
            <b/>
            <sz val="8"/>
            <color indexed="81"/>
            <rFont val="Tahoma"/>
            <family val="2"/>
          </rPr>
          <t>www.excel-financial-model.com:</t>
        </r>
        <r>
          <rPr>
            <sz val="8"/>
            <color indexed="81"/>
            <rFont val="Tahoma"/>
            <family val="2"/>
          </rPr>
          <t xml:space="preserve">
Without formation of accruals, as this is not
affecting liquidity
</t>
        </r>
      </text>
    </comment>
    <comment ref="C28" authorId="2">
      <text>
        <r>
          <rPr>
            <b/>
            <sz val="8"/>
            <color indexed="81"/>
            <rFont val="Tahoma"/>
            <family val="2"/>
          </rPr>
          <t>www.excel-financial-model.com:</t>
        </r>
        <r>
          <rPr>
            <sz val="8"/>
            <color indexed="81"/>
            <rFont val="Tahoma"/>
            <family val="2"/>
          </rPr>
          <t xml:space="preserve">
including current account</t>
        </r>
      </text>
    </comment>
    <comment ref="E48" authorId="2">
      <text>
        <r>
          <rPr>
            <b/>
            <sz val="8"/>
            <color indexed="81"/>
            <rFont val="Tahoma"/>
            <family val="2"/>
          </rPr>
          <t>www.excel-financial-model.com:</t>
        </r>
        <r>
          <rPr>
            <sz val="8"/>
            <color indexed="81"/>
            <rFont val="Tahoma"/>
            <family val="2"/>
          </rPr>
          <t xml:space="preserve">
Interest calculation can be changed 
on sheet "Inputs"
</t>
        </r>
      </text>
    </comment>
    <comment ref="H50" authorId="2">
      <text>
        <r>
          <rPr>
            <b/>
            <sz val="8"/>
            <color indexed="81"/>
            <rFont val="Tahoma"/>
            <family val="2"/>
          </rPr>
          <t>www.excel-financial-model.com:</t>
        </r>
        <r>
          <rPr>
            <sz val="8"/>
            <color indexed="81"/>
            <rFont val="Tahoma"/>
            <family val="2"/>
          </rPr>
          <t xml:space="preserve">
Important control cell =&gt; Don't change or delete!
</t>
        </r>
      </text>
    </comment>
    <comment ref="E53" authorId="2">
      <text>
        <r>
          <rPr>
            <b/>
            <sz val="8"/>
            <color indexed="81"/>
            <rFont val="Tahoma"/>
            <family val="2"/>
          </rPr>
          <t>www.excel-financial-model.com:</t>
        </r>
        <r>
          <rPr>
            <sz val="8"/>
            <color indexed="81"/>
            <rFont val="Tahoma"/>
            <family val="2"/>
          </rPr>
          <t xml:space="preserve">
Interest calculation can be changed 
on sheet "Inputs"
</t>
        </r>
      </text>
    </comment>
    <comment ref="H55" authorId="2">
      <text>
        <r>
          <rPr>
            <b/>
            <sz val="8"/>
            <color indexed="81"/>
            <rFont val="Tahoma"/>
            <family val="2"/>
          </rPr>
          <t>www.excel-financial-model.com:</t>
        </r>
        <r>
          <rPr>
            <sz val="8"/>
            <color indexed="81"/>
            <rFont val="Tahoma"/>
            <family val="2"/>
          </rPr>
          <t xml:space="preserve">
Important control cell =&gt; Don't change or delete!
</t>
        </r>
      </text>
    </comment>
    <comment ref="E58" authorId="2">
      <text>
        <r>
          <rPr>
            <b/>
            <sz val="8"/>
            <color indexed="81"/>
            <rFont val="Tahoma"/>
            <family val="2"/>
          </rPr>
          <t>www.excel-financial-model.com:</t>
        </r>
        <r>
          <rPr>
            <sz val="8"/>
            <color indexed="81"/>
            <rFont val="Tahoma"/>
            <family val="2"/>
          </rPr>
          <t xml:space="preserve">
Interest calculation can be changed 
on sheet "Inputs"
</t>
        </r>
      </text>
    </comment>
    <comment ref="H60" authorId="2">
      <text>
        <r>
          <rPr>
            <b/>
            <sz val="8"/>
            <color indexed="81"/>
            <rFont val="Tahoma"/>
            <family val="2"/>
          </rPr>
          <t>www.excel-financial-model.com:</t>
        </r>
        <r>
          <rPr>
            <sz val="8"/>
            <color indexed="81"/>
            <rFont val="Tahoma"/>
            <family val="2"/>
          </rPr>
          <t xml:space="preserve">
Important control cell =&gt; Don't change or delete!
</t>
        </r>
      </text>
    </comment>
    <comment ref="H77" authorId="2">
      <text>
        <r>
          <rPr>
            <b/>
            <sz val="8"/>
            <color indexed="81"/>
            <rFont val="Tahoma"/>
            <family val="2"/>
          </rPr>
          <t>www.excel-financial-model.com:</t>
        </r>
        <r>
          <rPr>
            <sz val="8"/>
            <color indexed="81"/>
            <rFont val="Tahoma"/>
            <family val="2"/>
          </rPr>
          <t xml:space="preserve">
Important control cell =&gt; Don't change or delete!
</t>
        </r>
      </text>
    </comment>
    <comment ref="C78" authorId="2">
      <text>
        <r>
          <rPr>
            <b/>
            <sz val="8"/>
            <color indexed="81"/>
            <rFont val="Tahoma"/>
            <family val="2"/>
          </rPr>
          <t>www.excel-financial-model.com:</t>
        </r>
        <r>
          <rPr>
            <sz val="8"/>
            <color indexed="81"/>
            <rFont val="Tahoma"/>
            <family val="2"/>
          </rPr>
          <t xml:space="preserve">
Gives a notice in case repayments for loans 2 to 4 have to be financed (partly or wholly) 
by the "expensive" current account.  This is not an error, but from a business perspective
you should try to avoid this, e.g. by postponing or reducing repayments.
</t>
        </r>
      </text>
    </comment>
    <comment ref="H78" authorId="2">
      <text>
        <r>
          <rPr>
            <b/>
            <sz val="8"/>
            <color indexed="81"/>
            <rFont val="Tahoma"/>
            <family val="2"/>
          </rPr>
          <t>www.excel-financial-model.com:</t>
        </r>
        <r>
          <rPr>
            <sz val="8"/>
            <color indexed="81"/>
            <rFont val="Tahoma"/>
            <family val="2"/>
          </rPr>
          <t xml:space="preserve">
Important control cell =&gt; Don't change or delete!</t>
        </r>
      </text>
    </comment>
    <comment ref="H146" authorId="2">
      <text>
        <r>
          <rPr>
            <b/>
            <sz val="8"/>
            <color indexed="81"/>
            <rFont val="Tahoma"/>
            <family val="2"/>
          </rPr>
          <t>www.excel-financial-model.com:</t>
        </r>
        <r>
          <rPr>
            <sz val="8"/>
            <color indexed="81"/>
            <rFont val="Tahoma"/>
            <family val="2"/>
          </rPr>
          <t xml:space="preserve">
Important control cell =&gt; Don't change or delete!
</t>
        </r>
      </text>
    </comment>
  </commentList>
</comments>
</file>

<file path=xl/comments9.xml><?xml version="1.0" encoding="utf-8"?>
<comments xmlns="http://schemas.openxmlformats.org/spreadsheetml/2006/main">
  <authors>
    <author>www.excel-financial-model.com</author>
    <author>www.financial-modelling-videos.de</author>
    <author>Autor</author>
  </authors>
  <commentList>
    <comment ref="C12" authorId="0">
      <text>
        <r>
          <rPr>
            <b/>
            <sz val="8"/>
            <color indexed="81"/>
            <rFont val="Tahoma"/>
            <family val="2"/>
          </rPr>
          <t>www.excel-financial-model.com:</t>
        </r>
        <r>
          <rPr>
            <sz val="8"/>
            <color indexed="81"/>
            <rFont val="Tahoma"/>
            <family val="2"/>
          </rPr>
          <t xml:space="preserve">
including bad debts and
revenue share if billed directy (not by 3rd party).
</t>
        </r>
      </text>
    </comment>
    <comment ref="C13" authorId="0">
      <text>
        <r>
          <rPr>
            <b/>
            <sz val="8"/>
            <color indexed="81"/>
            <rFont val="Tahoma"/>
            <family val="2"/>
          </rPr>
          <t>www.excel-financial-model.com:</t>
        </r>
        <r>
          <rPr>
            <sz val="8"/>
            <color indexed="81"/>
            <rFont val="Tahoma"/>
            <family val="2"/>
          </rPr>
          <t xml:space="preserve">
including bad debts and
revenue share if billed directy (not by 3rd party).
</t>
        </r>
      </text>
    </comment>
    <comment ref="C14" authorId="0">
      <text>
        <r>
          <rPr>
            <b/>
            <sz val="8"/>
            <color indexed="81"/>
            <rFont val="Tahoma"/>
            <family val="2"/>
          </rPr>
          <t>www.excel-financial-model.com:</t>
        </r>
        <r>
          <rPr>
            <sz val="8"/>
            <color indexed="81"/>
            <rFont val="Tahoma"/>
            <family val="2"/>
          </rPr>
          <t xml:space="preserve">
including bad debts and
revenue share if billed directy (not by 3rd party).
</t>
        </r>
      </text>
    </comment>
    <comment ref="C15" authorId="0">
      <text>
        <r>
          <rPr>
            <b/>
            <sz val="8"/>
            <color indexed="81"/>
            <rFont val="Tahoma"/>
            <family val="2"/>
          </rPr>
          <t>www.excel-financial-model.com:</t>
        </r>
        <r>
          <rPr>
            <sz val="8"/>
            <color indexed="81"/>
            <rFont val="Tahoma"/>
            <family val="2"/>
          </rPr>
          <t xml:space="preserve">
including bad debts and
revenue share if billed directy (not by 3rd party).
</t>
        </r>
      </text>
    </comment>
    <comment ref="C18" authorId="0">
      <text>
        <r>
          <rPr>
            <b/>
            <sz val="8"/>
            <color indexed="81"/>
            <rFont val="Segoe UI"/>
            <family val="2"/>
          </rPr>
          <t>www.excel-financial-model.com:</t>
        </r>
        <r>
          <rPr>
            <sz val="8"/>
            <color indexed="81"/>
            <rFont val="Segoe UI"/>
            <family val="2"/>
          </rPr>
          <t xml:space="preserve">
Positions included:
a) Materials/packaging/goods;
b) Hosting/cloud infrastructure;
c) 3rd party services
</t>
        </r>
      </text>
    </comment>
    <comment ref="C78" authorId="1">
      <text>
        <r>
          <rPr>
            <b/>
            <sz val="8"/>
            <color indexed="81"/>
            <rFont val="Segoe UI"/>
            <family val="2"/>
          </rPr>
          <t>www.excel-financial-model.com:</t>
        </r>
        <r>
          <rPr>
            <sz val="8"/>
            <color indexed="81"/>
            <rFont val="Segoe UI"/>
            <family val="2"/>
          </rPr>
          <t xml:space="preserve">
including capitalised assets / own work capitalised</t>
        </r>
      </text>
    </comment>
    <comment ref="C83" authorId="1">
      <text>
        <r>
          <rPr>
            <b/>
            <sz val="8"/>
            <color indexed="81"/>
            <rFont val="Segoe UI"/>
            <family val="2"/>
          </rPr>
          <t>www.excel-financial-model.com:</t>
        </r>
        <r>
          <rPr>
            <sz val="8"/>
            <color indexed="81"/>
            <rFont val="Segoe UI"/>
            <family val="2"/>
          </rPr>
          <t xml:space="preserve">
and similar charges (e.g. financing fees
lease charges etc.)
</t>
        </r>
      </text>
    </comment>
    <comment ref="C85" authorId="1">
      <text>
        <r>
          <rPr>
            <b/>
            <sz val="8"/>
            <color indexed="81"/>
            <rFont val="Segoe UI"/>
            <family val="2"/>
          </rPr>
          <t>www.excel-financial-model.com:</t>
        </r>
        <r>
          <rPr>
            <sz val="8"/>
            <color indexed="81"/>
            <rFont val="Segoe UI"/>
            <family val="2"/>
          </rPr>
          <t xml:space="preserve">
including formation of accruals
</t>
        </r>
      </text>
    </comment>
    <comment ref="C112" authorId="1">
      <text>
        <r>
          <rPr>
            <b/>
            <sz val="8"/>
            <color indexed="81"/>
            <rFont val="Tahoma"/>
            <family val="2"/>
          </rPr>
          <t>www.excel-financial-model.com:</t>
        </r>
        <r>
          <rPr>
            <sz val="8"/>
            <color indexed="81"/>
            <rFont val="Tahoma"/>
            <family val="2"/>
          </rPr>
          <t xml:space="preserve">
VAT on non-payroll expenses only
Payroll expenses w/o social insurance &amp; income tax
</t>
        </r>
      </text>
    </comment>
    <comment ref="C113" authorId="1">
      <text>
        <r>
          <rPr>
            <b/>
            <sz val="8"/>
            <color indexed="81"/>
            <rFont val="Tahoma"/>
            <family val="2"/>
          </rPr>
          <t>www.excel-financial-model.com:</t>
        </r>
        <r>
          <rPr>
            <sz val="8"/>
            <color indexed="81"/>
            <rFont val="Tahoma"/>
            <family val="2"/>
          </rPr>
          <t xml:space="preserve">
Without social insurance &amp; income tax
</t>
        </r>
      </text>
    </comment>
    <comment ref="C121" authorId="2">
      <text>
        <r>
          <rPr>
            <b/>
            <sz val="8"/>
            <color indexed="81"/>
            <rFont val="Tahoma"/>
            <family val="2"/>
          </rPr>
          <t>www.excel-financial-model.com:</t>
        </r>
        <r>
          <rPr>
            <sz val="8"/>
            <color indexed="81"/>
            <rFont val="Tahoma"/>
            <family val="2"/>
          </rPr>
          <t xml:space="preserve">
incl. interest payments on current account !
</t>
        </r>
      </text>
    </comment>
    <comment ref="C122" authorId="2">
      <text>
        <r>
          <rPr>
            <b/>
            <sz val="8"/>
            <color indexed="81"/>
            <rFont val="Tahoma"/>
            <family val="2"/>
          </rPr>
          <t>www.excel-financial-model.com:</t>
        </r>
        <r>
          <rPr>
            <sz val="8"/>
            <color indexed="81"/>
            <rFont val="Tahoma"/>
            <family val="2"/>
          </rPr>
          <t xml:space="preserve">
Upfront + Commitment Fee
</t>
        </r>
      </text>
    </comment>
    <comment ref="C175" authorId="2">
      <text>
        <r>
          <rPr>
            <b/>
            <sz val="8"/>
            <color indexed="81"/>
            <rFont val="Tahoma"/>
            <family val="2"/>
          </rPr>
          <t>www.excel-financial-model.com:</t>
        </r>
        <r>
          <rPr>
            <sz val="8"/>
            <color indexed="81"/>
            <rFont val="Tahoma"/>
            <family val="2"/>
          </rPr>
          <t xml:space="preserve">
if negative =&gt; reimbursement claim against the tax authority
</t>
        </r>
      </text>
    </comment>
  </commentList>
</comments>
</file>

<file path=xl/sharedStrings.xml><?xml version="1.0" encoding="utf-8"?>
<sst xmlns="http://schemas.openxmlformats.org/spreadsheetml/2006/main" count="2099" uniqueCount="1123">
  <si>
    <t>Million</t>
  </si>
  <si>
    <t>▼</t>
  </si>
  <si>
    <t>Name</t>
  </si>
  <si>
    <t>EUR</t>
  </si>
  <si>
    <t>×</t>
  </si>
  <si>
    <t>◄</t>
  </si>
  <si>
    <t>vw</t>
  </si>
  <si>
    <t>tu</t>
  </si>
  <si>
    <t>►</t>
  </si>
  <si>
    <t>Pf_li</t>
  </si>
  <si>
    <t>Pf_re</t>
  </si>
  <si>
    <t>Pf_hor_ja</t>
  </si>
  <si>
    <t>Pf_hor_nein</t>
  </si>
  <si>
    <t>Pf_unt_ja</t>
  </si>
  <si>
    <t>Pf_unt_nein</t>
  </si>
  <si>
    <t>Hyperlink</t>
  </si>
  <si>
    <t>Jan</t>
  </si>
  <si>
    <t>Feb</t>
  </si>
  <si>
    <t>Apr</t>
  </si>
  <si>
    <t>Jun</t>
  </si>
  <si>
    <t>Jul</t>
  </si>
  <si>
    <t>Aug</t>
  </si>
  <si>
    <t>Sep</t>
  </si>
  <si>
    <t>Nov</t>
  </si>
  <si>
    <t>Timing</t>
  </si>
  <si>
    <t>Start</t>
  </si>
  <si>
    <t>%</t>
  </si>
  <si>
    <t>% p.a.</t>
  </si>
  <si>
    <t>1=Yes , 0=No</t>
  </si>
  <si>
    <t>[1,0]</t>
  </si>
  <si>
    <t>% p.m.</t>
  </si>
  <si>
    <t>Index</t>
  </si>
  <si>
    <t>Flag (Standard)</t>
  </si>
  <si>
    <t>1.</t>
  </si>
  <si>
    <t>2.</t>
  </si>
  <si>
    <t>3.</t>
  </si>
  <si>
    <t>Email:</t>
  </si>
  <si>
    <t>4.</t>
  </si>
  <si>
    <t>6.</t>
  </si>
  <si>
    <t>#</t>
  </si>
  <si>
    <t>A</t>
  </si>
  <si>
    <t>I</t>
  </si>
  <si>
    <t>B</t>
  </si>
  <si>
    <t>C</t>
  </si>
  <si>
    <t>N.N.</t>
  </si>
  <si>
    <t>5.</t>
  </si>
  <si>
    <t>Total</t>
  </si>
  <si>
    <t xml:space="preserve"> </t>
  </si>
  <si>
    <t>in %</t>
  </si>
  <si>
    <t>Maximum</t>
  </si>
  <si>
    <t>ISO 4217 Code</t>
  </si>
  <si>
    <t>Text</t>
  </si>
  <si>
    <t>Delta</t>
  </si>
  <si>
    <t>Working Capital</t>
  </si>
  <si>
    <t>Input</t>
  </si>
  <si>
    <t>External Link</t>
  </si>
  <si>
    <t>Empty Cell</t>
  </si>
  <si>
    <t>Technical Input</t>
  </si>
  <si>
    <t>Name Input</t>
  </si>
  <si>
    <t>Reference OffSheet</t>
  </si>
  <si>
    <t>Reference InSheet</t>
  </si>
  <si>
    <t>Input (permanent)</t>
  </si>
  <si>
    <t xml:space="preserve"> with conditional formatting =&gt; copy required</t>
  </si>
  <si>
    <t>Table Heading</t>
  </si>
  <si>
    <t>Cell Check</t>
  </si>
  <si>
    <t>Cell Clue</t>
  </si>
  <si>
    <t>Cell_OnOff</t>
  </si>
  <si>
    <t>Switch YES-NO  (no cell style)</t>
  </si>
  <si>
    <t>Switch active/inactive  (no cell style)</t>
  </si>
  <si>
    <t>Status Work in Progress</t>
  </si>
  <si>
    <t>WIP</t>
  </si>
  <si>
    <t>Checked</t>
  </si>
  <si>
    <t>to be checked</t>
  </si>
  <si>
    <t>Comment</t>
  </si>
  <si>
    <t>Status Checked</t>
  </si>
  <si>
    <t>Status To be checked</t>
  </si>
  <si>
    <t>Date</t>
  </si>
  <si>
    <t>Ratio</t>
  </si>
  <si>
    <t>Positive</t>
  </si>
  <si>
    <t>Negative</t>
  </si>
  <si>
    <t>Number Standard</t>
  </si>
  <si>
    <t>Number Percent</t>
  </si>
  <si>
    <t>after using this cell style, an additional style can be applied, e.g. Input, InSheet, OffSheet etc.</t>
  </si>
  <si>
    <t>Unit</t>
  </si>
  <si>
    <t>Line Summary</t>
  </si>
  <si>
    <t>Line Closing</t>
  </si>
  <si>
    <t>Line Total</t>
  </si>
  <si>
    <t>Line Subtotal</t>
  </si>
  <si>
    <t>Line Operation</t>
  </si>
  <si>
    <t>Sheet Header 1</t>
  </si>
  <si>
    <t>Sheet Header 2</t>
  </si>
  <si>
    <t>Sheet Header 3</t>
  </si>
  <si>
    <t>Sheet Header</t>
  </si>
  <si>
    <t>Line Formats</t>
  </si>
  <si>
    <t>Header 1</t>
  </si>
  <si>
    <t>Header 4</t>
  </si>
  <si>
    <t>Header 3</t>
  </si>
  <si>
    <t>Header 2</t>
  </si>
  <si>
    <t>Actuals</t>
  </si>
  <si>
    <t>Headline 1</t>
  </si>
  <si>
    <t>Headline 2</t>
  </si>
  <si>
    <t>Headline 3</t>
  </si>
  <si>
    <t>Headline 4</t>
  </si>
  <si>
    <t>Constants</t>
  </si>
  <si>
    <t>Days in Year</t>
  </si>
  <si>
    <t>Months per Year</t>
  </si>
  <si>
    <t>Quarters per Year</t>
  </si>
  <si>
    <t>Months per Quarter</t>
  </si>
  <si>
    <t>Thousand</t>
  </si>
  <si>
    <t>Very Small Number</t>
  </si>
  <si>
    <t>Billion</t>
  </si>
  <si>
    <t>days_yr</t>
  </si>
  <si>
    <t>months_yr</t>
  </si>
  <si>
    <t>quarters_yr</t>
  </si>
  <si>
    <t>mths_quarter</t>
  </si>
  <si>
    <t>Tolerance</t>
  </si>
  <si>
    <t>VerySmallNumber</t>
  </si>
  <si>
    <t>Symbols</t>
  </si>
  <si>
    <t>Error Check</t>
  </si>
  <si>
    <t>Integrity and Error Checks</t>
  </si>
  <si>
    <t>Pass / Fail</t>
  </si>
  <si>
    <t>Result</t>
  </si>
  <si>
    <t>To Control Cell</t>
  </si>
  <si>
    <t>Link to Error Check</t>
  </si>
  <si>
    <t>Set descriptive term for sales or input/output tax</t>
  </si>
  <si>
    <t>VAT</t>
  </si>
  <si>
    <t>Sales Tax</t>
  </si>
  <si>
    <t>VAT / Sales Tax</t>
  </si>
  <si>
    <t>GST</t>
  </si>
  <si>
    <t>VAT - Descriptive Term</t>
  </si>
  <si>
    <t>Rate 1</t>
  </si>
  <si>
    <t>Rate 2</t>
  </si>
  <si>
    <t>Rate 3</t>
  </si>
  <si>
    <t>Selection</t>
  </si>
  <si>
    <t xml:space="preserve"> select "Sales Tax", "GST" for Goods &amp; Services Tax or "VAT" for Value Added Tax</t>
  </si>
  <si>
    <t>Information</t>
  </si>
  <si>
    <t>Select Rate</t>
  </si>
  <si>
    <t>Percentage</t>
  </si>
  <si>
    <t xml:space="preserve">Offset </t>
  </si>
  <si>
    <t xml:space="preserve">   Flag: Month of payment</t>
  </si>
  <si>
    <t>Balance B/f</t>
  </si>
  <si>
    <t>Balance C/f</t>
  </si>
  <si>
    <t>(neg. = recoverable; pos. = payable)</t>
  </si>
  <si>
    <t>(neg. = receivable; pos. = liability)</t>
  </si>
  <si>
    <t>rate applied</t>
  </si>
  <si>
    <t>set all rates (1-3) below to zero if VAT (or other similar taxes) are not applicable</t>
  </si>
  <si>
    <t>Date long</t>
  </si>
  <si>
    <t>Date short</t>
  </si>
  <si>
    <t>Go to table of contents</t>
  </si>
  <si>
    <t>Go to error checks</t>
  </si>
  <si>
    <t>Timing - Master</t>
  </si>
  <si>
    <t>Model Integrity:</t>
  </si>
  <si>
    <t>Period Start</t>
  </si>
  <si>
    <t>Period End</t>
  </si>
  <si>
    <t>Model Life</t>
  </si>
  <si>
    <t>End</t>
  </si>
  <si>
    <t>Flags &amp; Counters</t>
  </si>
  <si>
    <t>Days in Period</t>
  </si>
  <si>
    <t>Calendar Year</t>
  </si>
  <si>
    <t>Calendar Year (Counter)</t>
  </si>
  <si>
    <t>Month since start of financial year</t>
  </si>
  <si>
    <t>Financial Year</t>
  </si>
  <si>
    <t>Financial Year (Counter)</t>
  </si>
  <si>
    <t>Month of model</t>
  </si>
  <si>
    <t>Calendar Years during model life</t>
  </si>
  <si>
    <t>Quarter and Half-year (Calendar Year)</t>
  </si>
  <si>
    <t>Quarter CY</t>
  </si>
  <si>
    <t>Half-year CY</t>
  </si>
  <si>
    <t>Calculation Quarter of FY</t>
  </si>
  <si>
    <t>Quarter (Financial Year)</t>
  </si>
  <si>
    <t>Quarter FY</t>
  </si>
  <si>
    <t>days</t>
  </si>
  <si>
    <t>year</t>
  </si>
  <si>
    <t xml:space="preserve">Financal Year ends in  </t>
  </si>
  <si>
    <t>H = half year</t>
  </si>
  <si>
    <t>Q = quarter</t>
  </si>
  <si>
    <t>Legal form</t>
  </si>
  <si>
    <t>Company name</t>
  </si>
  <si>
    <t>Model name</t>
  </si>
  <si>
    <t>File name</t>
  </si>
  <si>
    <t>Author of model</t>
  </si>
  <si>
    <t>Last update</t>
  </si>
  <si>
    <t>British English (UK-Terminology)</t>
  </si>
  <si>
    <t>American English (US-Terminology)</t>
  </si>
  <si>
    <t>Language/Terminology</t>
  </si>
  <si>
    <t>Switch</t>
  </si>
  <si>
    <t>Periodicity</t>
  </si>
  <si>
    <t>Language/Terminology (US vs. UK)</t>
  </si>
  <si>
    <t>Month</t>
  </si>
  <si>
    <t>Months</t>
  </si>
  <si>
    <t>Mar</t>
  </si>
  <si>
    <t>May</t>
  </si>
  <si>
    <t>Oct</t>
  </si>
  <si>
    <t>Dec</t>
  </si>
  <si>
    <t>Monthly</t>
  </si>
  <si>
    <t>Quarterly</t>
  </si>
  <si>
    <t>Semi-annual</t>
  </si>
  <si>
    <t>Annual</t>
  </si>
  <si>
    <t>Resulting currency label</t>
  </si>
  <si>
    <t>Currency unit (select denomination)</t>
  </si>
  <si>
    <t>Default currency code or symbol</t>
  </si>
  <si>
    <t xml:space="preserve"> max of 3 characters</t>
  </si>
  <si>
    <t>Bad debts (as % sales)</t>
  </si>
  <si>
    <t>All assumption values should be entered net of input/output taxes (sales taxes, GST, VAT etc.)</t>
  </si>
  <si>
    <t xml:space="preserve">Check </t>
  </si>
  <si>
    <t>Flag: Month of model &gt; 1M</t>
  </si>
  <si>
    <t>Flag: Month of model &gt; 2M</t>
  </si>
  <si>
    <t>Flag: Month of model &gt; 3M</t>
  </si>
  <si>
    <t>Bad debts</t>
  </si>
  <si>
    <t>Payable</t>
  </si>
  <si>
    <t xml:space="preserve">Opening BS </t>
  </si>
  <si>
    <t>Other Assumptions</t>
  </si>
  <si>
    <t>Credit Periods</t>
  </si>
  <si>
    <t>Subject to input taxes</t>
  </si>
  <si>
    <t>Input tax on capital expenditure =&gt; individual assumptions on sheet Capex</t>
  </si>
  <si>
    <t>Resulting changes in inventory</t>
  </si>
  <si>
    <t>Increase / (Decrease)</t>
  </si>
  <si>
    <t xml:space="preserve">Active ? =&gt; </t>
  </si>
  <si>
    <t>Interest rate cash on bank</t>
  </si>
  <si>
    <t>% per month</t>
  </si>
  <si>
    <t>Interest Receipts</t>
  </si>
  <si>
    <t>Wages &amp; Salaries</t>
  </si>
  <si>
    <t>Human Resources</t>
  </si>
  <si>
    <t>Annual Raise</t>
  </si>
  <si>
    <t>Base Salary p.a.</t>
  </si>
  <si>
    <t>Variable descriptions (input cells) can be changed</t>
  </si>
  <si>
    <t>Other Staff Costs</t>
  </si>
  <si>
    <t>% of base salary</t>
  </si>
  <si>
    <t>Income taxes &amp; social insurances</t>
  </si>
  <si>
    <t>Social security contributions and taxes</t>
  </si>
  <si>
    <t xml:space="preserve"> =&gt; can be turned on/off for each staff member (on sheet human resources)</t>
  </si>
  <si>
    <t>Recruiting Costs (one-time upon hiring)</t>
  </si>
  <si>
    <t>Spare</t>
  </si>
  <si>
    <t>SSC</t>
  </si>
  <si>
    <t>The variable descriptions can be changed on sheet Inputs</t>
  </si>
  <si>
    <t xml:space="preserve">     Subtotal</t>
  </si>
  <si>
    <t>Headcount</t>
  </si>
  <si>
    <t xml:space="preserve">Division =&gt; </t>
  </si>
  <si>
    <t>per FTE</t>
  </si>
  <si>
    <t>per FTE/month</t>
  </si>
  <si>
    <t>Total Other Staff Costs</t>
  </si>
  <si>
    <t>Total Social security contributions &amp; taxes</t>
  </si>
  <si>
    <t>Total Wages &amp; Salaries</t>
  </si>
  <si>
    <t>Total Headcount</t>
  </si>
  <si>
    <t xml:space="preserve">   Development of headcount month to month</t>
  </si>
  <si>
    <t>No further inputs on this sheet below this section !</t>
  </si>
  <si>
    <t>Revenue share expense</t>
  </si>
  <si>
    <t>BS Account: Accrued revenue share</t>
  </si>
  <si>
    <t xml:space="preserve">   Total cash out revenue share</t>
  </si>
  <si>
    <t>Revenue share (cash out)</t>
  </si>
  <si>
    <t xml:space="preserve">  from Human Resources =&gt;</t>
  </si>
  <si>
    <t xml:space="preserve">Repairs and maintenance </t>
  </si>
  <si>
    <t>Miscellaneous 01</t>
  </si>
  <si>
    <t>Miscellaneous 03</t>
  </si>
  <si>
    <t>Miscellaneous 02</t>
  </si>
  <si>
    <t>Rent and rates</t>
  </si>
  <si>
    <t>Professional fees (Legal, Tax, Audit etc.)</t>
  </si>
  <si>
    <t>Insurances  / charges / contributions</t>
  </si>
  <si>
    <t>Travel &amp; Entertainment</t>
  </si>
  <si>
    <t>Communication (Internet, Phone, Mobile etc.)</t>
  </si>
  <si>
    <t>Establishment (Start-up costs)</t>
  </si>
  <si>
    <t>Miscellaneous 04</t>
  </si>
  <si>
    <t>Consultancy</t>
  </si>
  <si>
    <t>Materials</t>
  </si>
  <si>
    <t>Design, construction &amp; testing of prototypes</t>
  </si>
  <si>
    <t>Public relations, exhibitions</t>
  </si>
  <si>
    <t>Promotional materials (advertising, brochures etc.)</t>
  </si>
  <si>
    <t>Marketing campaign / Promotion 01</t>
  </si>
  <si>
    <t>Marketing campaign / Promotion 02</t>
  </si>
  <si>
    <t xml:space="preserve">   Total cash out overheads (w/o payroll expenses)</t>
  </si>
  <si>
    <t>Integrated Financial Statements (monthly)</t>
  </si>
  <si>
    <t>Cost of Sales</t>
  </si>
  <si>
    <t xml:space="preserve">  -  Other direct costs</t>
  </si>
  <si>
    <t>Operating Expenses (Overheads)</t>
  </si>
  <si>
    <t>Gross Profit</t>
  </si>
  <si>
    <t xml:space="preserve">   Gross profit margin (in %)</t>
  </si>
  <si>
    <t>Trading Profit</t>
  </si>
  <si>
    <t>Operating Profit</t>
  </si>
  <si>
    <t>Net Profit before Tax</t>
  </si>
  <si>
    <t>Other operating income</t>
  </si>
  <si>
    <t>Interest receivable</t>
  </si>
  <si>
    <t>Extraordinary expenses</t>
  </si>
  <si>
    <t>Extraordinary income</t>
  </si>
  <si>
    <t xml:space="preserve">   cumulated</t>
  </si>
  <si>
    <t xml:space="preserve">     Costs of Sales</t>
  </si>
  <si>
    <t xml:space="preserve">     Total Overheads</t>
  </si>
  <si>
    <t>Revenue share</t>
  </si>
  <si>
    <t>=&gt; Social insurances &amp; income taxes</t>
  </si>
  <si>
    <t>Financing</t>
  </si>
  <si>
    <t>Taxes</t>
  </si>
  <si>
    <t>output tax</t>
  </si>
  <si>
    <t>input tax</t>
  </si>
  <si>
    <t>Input/output tax payable</t>
  </si>
  <si>
    <t>Zero Rate</t>
  </si>
  <si>
    <t>Cash Inflows</t>
  </si>
  <si>
    <t>Cash Outflows</t>
  </si>
  <si>
    <t>Other operating &amp; extraordinary income</t>
  </si>
  <si>
    <t>Interest received on cash deposits</t>
  </si>
  <si>
    <t>Fixed asset disposals (intangible &amp; tangible assets)</t>
  </si>
  <si>
    <t>Financing fees (Debt 1-4)</t>
  </si>
  <si>
    <t>Cash C/f</t>
  </si>
  <si>
    <t>Repayment debt facilities (existent at model start)</t>
  </si>
  <si>
    <t>Interest paid (debt facilities existent at model start)</t>
  </si>
  <si>
    <t>Cash Flow (Direct)</t>
  </si>
  <si>
    <t>Net Cash Flow</t>
  </si>
  <si>
    <t>Dividend payments</t>
  </si>
  <si>
    <t>Change in Cash and Cash Balance</t>
  </si>
  <si>
    <t>Check: Cash always ≥ 0</t>
  </si>
  <si>
    <t xml:space="preserve">   Total Financing</t>
  </si>
  <si>
    <t>Debt Facilities (at model start)</t>
  </si>
  <si>
    <t>Debt</t>
  </si>
  <si>
    <t>Equity</t>
  </si>
  <si>
    <t>pos. = draw down; neg. = repayment</t>
  </si>
  <si>
    <t>Opening B.</t>
  </si>
  <si>
    <t>Balance Sheet</t>
  </si>
  <si>
    <t>Cash at bank</t>
  </si>
  <si>
    <t>Intangible Assets</t>
  </si>
  <si>
    <t>Tangible Assets</t>
  </si>
  <si>
    <t>Financial Assets</t>
  </si>
  <si>
    <t>Overdraft facility</t>
  </si>
  <si>
    <t>NET ASSETS</t>
  </si>
  <si>
    <t>Long-term Liabilities</t>
  </si>
  <si>
    <t>Total Current Assets</t>
  </si>
  <si>
    <t>Total Current Liabilities</t>
  </si>
  <si>
    <t>Total assets less current liabilities</t>
  </si>
  <si>
    <t>Net current assets</t>
  </si>
  <si>
    <t>Retained Earnings / (loss carried forward)</t>
  </si>
  <si>
    <t>Shareholders Equity</t>
  </si>
  <si>
    <t xml:space="preserve">   Check 1</t>
  </si>
  <si>
    <t xml:space="preserve">   Check 2</t>
  </si>
  <si>
    <t>Phasing out of opening balance sheet items</t>
  </si>
  <si>
    <t>Interest payable</t>
  </si>
  <si>
    <t>Accrued revenue share</t>
  </si>
  <si>
    <t>Delta: Payments vs. Payable</t>
  </si>
  <si>
    <t>Model Timing</t>
  </si>
  <si>
    <t>Balance Sheet Items</t>
  </si>
  <si>
    <t>Changes in Accruals &amp; BS Account</t>
  </si>
  <si>
    <t>Check: Decrease &lt;= Existing Accruals?</t>
  </si>
  <si>
    <t>Accruals</t>
  </si>
  <si>
    <t>Changes in advances received</t>
  </si>
  <si>
    <t>Changes in advance payments</t>
  </si>
  <si>
    <t>Changes in Advances Received &amp; BS Account</t>
  </si>
  <si>
    <t>Changes in Advance Payments &amp; BS Account</t>
  </si>
  <si>
    <t xml:space="preserve">  Increase</t>
  </si>
  <si>
    <t xml:space="preserve">  Decrease</t>
  </si>
  <si>
    <t>Check: Decrease &lt;= Existing Advance Payments?</t>
  </si>
  <si>
    <t>Check: Decrease &lt;= Existing Advances Received?</t>
  </si>
  <si>
    <t>Note: increase = cash inflow</t>
  </si>
  <si>
    <t>Note: increase = cash outflow</t>
  </si>
  <si>
    <t>Repayment ≤ Debt Facility ?</t>
  </si>
  <si>
    <t>Opening Value</t>
  </si>
  <si>
    <t>Opening Balance (optional)</t>
  </si>
  <si>
    <t>D</t>
  </si>
  <si>
    <t>E</t>
  </si>
  <si>
    <t>F</t>
  </si>
  <si>
    <t>Capital Expenditure</t>
  </si>
  <si>
    <t>Asset 01</t>
  </si>
  <si>
    <t>Asset 02</t>
  </si>
  <si>
    <t>Asset 03</t>
  </si>
  <si>
    <t>Asset 04</t>
  </si>
  <si>
    <t>Asset 05</t>
  </si>
  <si>
    <t>1. Total (w/o leasing)</t>
  </si>
  <si>
    <t>Cost or Value</t>
  </si>
  <si>
    <t>Useful life</t>
  </si>
  <si>
    <t xml:space="preserve">Depr. Method </t>
  </si>
  <si>
    <t>3. Purchases financed by leasing</t>
  </si>
  <si>
    <t>Lease charges (interest)</t>
  </si>
  <si>
    <t>Lease payments</t>
  </si>
  <si>
    <t>Proceeds</t>
  </si>
  <si>
    <t>Costs</t>
  </si>
  <si>
    <t>Fixed Assets - Capex, Company Produced Assets, Leasing, Disposals</t>
  </si>
  <si>
    <t>Increase (purchases + leasing + company prod. additions)</t>
  </si>
  <si>
    <t>II</t>
  </si>
  <si>
    <t>Land and Buildings</t>
  </si>
  <si>
    <t xml:space="preserve">Subject to input taxes </t>
  </si>
  <si>
    <t xml:space="preserve">Rate =&gt; </t>
  </si>
  <si>
    <t>Depreciation per period</t>
  </si>
  <si>
    <t>Accumulated depreciation</t>
  </si>
  <si>
    <t>Accumulated depreciation (of assets sold)</t>
  </si>
  <si>
    <t>Plant &amp; Machinery</t>
  </si>
  <si>
    <t>Vehicles</t>
  </si>
  <si>
    <t>BS Account: Tangible Assets</t>
  </si>
  <si>
    <t>Asset class 2: Description</t>
  </si>
  <si>
    <t>Asset class 1: Description</t>
  </si>
  <si>
    <t>Asset class 3: Description</t>
  </si>
  <si>
    <t>III</t>
  </si>
  <si>
    <t>Decrease (depreciation + disposals)</t>
  </si>
  <si>
    <t>Capital expenditure (excl. Leasing)</t>
  </si>
  <si>
    <t>Purchases financed by leasing</t>
  </si>
  <si>
    <t>Capex and D&amp;A</t>
  </si>
  <si>
    <t>Finance Lease</t>
  </si>
  <si>
    <t>Accumulated D&amp;A (of assets sold)</t>
  </si>
  <si>
    <t>Current Assets</t>
  </si>
  <si>
    <t xml:space="preserve"> =&gt; Variable descriptions for tangible asset class can be changed on sheet Capex</t>
  </si>
  <si>
    <t xml:space="preserve">      Notes:</t>
  </si>
  <si>
    <t>IV</t>
  </si>
  <si>
    <t>Current Liabilities</t>
  </si>
  <si>
    <t>Net Assets</t>
  </si>
  <si>
    <t>Finance lease capital payments</t>
  </si>
  <si>
    <t>Finance lease charges paid</t>
  </si>
  <si>
    <t>BS Account: Finance lease obligations</t>
  </si>
  <si>
    <t>Increase</t>
  </si>
  <si>
    <t>Decrease</t>
  </si>
  <si>
    <t>Profit/loss sale of fixed assets</t>
  </si>
  <si>
    <t>Company produced additions</t>
  </si>
  <si>
    <t>Capitalised assets</t>
  </si>
  <si>
    <t>Interest p.a.</t>
  </si>
  <si>
    <t>Interest p.m.</t>
  </si>
  <si>
    <t>[0;1]</t>
  </si>
  <si>
    <t xml:space="preserve"> Phasing out period</t>
  </si>
  <si>
    <t>Tax Calculation (annual basis)</t>
  </si>
  <si>
    <t>Earnings before Tax (EBT)</t>
  </si>
  <si>
    <t>Tax loss carryforward</t>
  </si>
  <si>
    <t>Change</t>
  </si>
  <si>
    <t xml:space="preserve">loss carryforward at model start </t>
  </si>
  <si>
    <t>Earnings after accounting for loss carryforward</t>
  </si>
  <si>
    <t>Distribution over the year</t>
  </si>
  <si>
    <t>Tax payments =&gt; Cashflow</t>
  </si>
  <si>
    <t>Amount of advance payment per payment period</t>
  </si>
  <si>
    <t>Advanced payments</t>
  </si>
  <si>
    <t>Flag Advanced payments periods</t>
  </si>
  <si>
    <t>Flag payment period for previous year</t>
  </si>
  <si>
    <t>Tax for previous year</t>
  </si>
  <si>
    <t>Total advanced payments</t>
  </si>
  <si>
    <t>Supplementary payment / (Refunding)</t>
  </si>
  <si>
    <t xml:space="preserve">in Month </t>
  </si>
  <si>
    <t>Tax payment in following year</t>
  </si>
  <si>
    <t>Tax payable  =&gt; P&amp;L</t>
  </si>
  <si>
    <t>Tax payable during the year (P&amp;L)</t>
  </si>
  <si>
    <t>(equal monthly distribution)</t>
  </si>
  <si>
    <t>Tax payable</t>
  </si>
  <si>
    <t xml:space="preserve">    Payable after model end</t>
  </si>
  <si>
    <t>(if positive =&gt; refunding)</t>
  </si>
  <si>
    <t>Tax rate</t>
  </si>
  <si>
    <t>Tax loss carryforward at model start</t>
  </si>
  <si>
    <t>Tax payment for previous year</t>
  </si>
  <si>
    <t>Prepayment dates (quarterly)</t>
  </si>
  <si>
    <t>Advance tax payments</t>
  </si>
  <si>
    <t>Tax payable (automat. calculation)</t>
  </si>
  <si>
    <t>Tax advances (prepayments)</t>
  </si>
  <si>
    <t xml:space="preserve"> inputs only in these cells</t>
  </si>
  <si>
    <t>Names and Information</t>
  </si>
  <si>
    <t>Timing and Financial Year</t>
  </si>
  <si>
    <t>General Model Assumptions</t>
  </si>
  <si>
    <t xml:space="preserve">      Run this macro to delete all input data !</t>
  </si>
  <si>
    <t>Start Date</t>
  </si>
  <si>
    <t>End Date</t>
  </si>
  <si>
    <t>Inputs Financial Year</t>
  </si>
  <si>
    <t>Last month of financial year</t>
  </si>
  <si>
    <t>1st financial year in overview</t>
  </si>
  <si>
    <t>Short financial year?</t>
  </si>
  <si>
    <t>until</t>
  </si>
  <si>
    <t>Additional yrs</t>
  </si>
  <si>
    <t xml:space="preserve"> =&gt;  negative inputs for any loss carried forward !</t>
  </si>
  <si>
    <t xml:space="preserve"> =&gt; cash-in at 1st month ? </t>
  </si>
  <si>
    <t>Initial equity</t>
  </si>
  <si>
    <t>Additional equity</t>
  </si>
  <si>
    <t>Debt 1</t>
  </si>
  <si>
    <t>Debt 2</t>
  </si>
  <si>
    <t>Manual input of interest ?</t>
  </si>
  <si>
    <t>Facility description</t>
  </si>
  <si>
    <t>Interest (in case automatic calculation is selected)</t>
  </si>
  <si>
    <t>Debt 4</t>
  </si>
  <si>
    <t>Debt 3</t>
  </si>
  <si>
    <t>Current account (max. overdraft)</t>
  </si>
  <si>
    <t xml:space="preserve">   Check current account with starting balance</t>
  </si>
  <si>
    <t>Overdraft Facility / Current Account (automatic)</t>
  </si>
  <si>
    <t xml:space="preserve">Actual max. drawdown  </t>
  </si>
  <si>
    <t>Check</t>
  </si>
  <si>
    <t>% per quarter</t>
  </si>
  <si>
    <t>semi-automatic</t>
  </si>
  <si>
    <t>Manual input of drawdowns and repayments necessary, interest may be calculated automatic (if selected)</t>
  </si>
  <si>
    <t>automatic</t>
  </si>
  <si>
    <t>Annuity with quarterly interest and principal repayment</t>
  </si>
  <si>
    <t>Include this automatic debt facility ?</t>
  </si>
  <si>
    <t>Applied</t>
  </si>
  <si>
    <t>Maximum debt (limit)</t>
  </si>
  <si>
    <t>Drawdown Period</t>
  </si>
  <si>
    <t>End of drawdown period</t>
  </si>
  <si>
    <t>Tenor (after drawdown period)</t>
  </si>
  <si>
    <t>Grace period</t>
  </si>
  <si>
    <t>Start repayment</t>
  </si>
  <si>
    <t>Final maturity date</t>
  </si>
  <si>
    <t>Total no of repayments (quarterly)</t>
  </si>
  <si>
    <t>Years</t>
  </si>
  <si>
    <t>Months after start date</t>
  </si>
  <si>
    <t>Interest</t>
  </si>
  <si>
    <t>Upfront Fee</t>
  </si>
  <si>
    <t>Commitment Fee</t>
  </si>
  <si>
    <t>% of facility</t>
  </si>
  <si>
    <t>(cash outflows = negative numbers)</t>
  </si>
  <si>
    <t>1. Cash before Funding</t>
  </si>
  <si>
    <t>Cash before funding</t>
  </si>
  <si>
    <t>2. Financing</t>
  </si>
  <si>
    <t>To be funded</t>
  </si>
  <si>
    <t>Funding Waterfall</t>
  </si>
  <si>
    <t>1st tranche completely in first month ?</t>
  </si>
  <si>
    <t>Additional Tranche</t>
  </si>
  <si>
    <t xml:space="preserve">   Subtotal</t>
  </si>
  <si>
    <t>Cash before current account</t>
  </si>
  <si>
    <t>Amount still available</t>
  </si>
  <si>
    <t>Reduction</t>
  </si>
  <si>
    <t xml:space="preserve">   Drawdowns</t>
  </si>
  <si>
    <t xml:space="preserve">   Repayment</t>
  </si>
  <si>
    <t>Int. manually?</t>
  </si>
  <si>
    <t xml:space="preserve"> per month</t>
  </si>
  <si>
    <t>3. Cash after Funding</t>
  </si>
  <si>
    <t>Cash after funding</t>
  </si>
  <si>
    <t>Dividends</t>
  </si>
  <si>
    <t xml:space="preserve">   Check: Sufficient funding ?</t>
  </si>
  <si>
    <t>Balance Sheet Accounts</t>
  </si>
  <si>
    <t>Used for funding</t>
  </si>
  <si>
    <t>(automatic debt)</t>
  </si>
  <si>
    <t xml:space="preserve">End </t>
  </si>
  <si>
    <t xml:space="preserve">Start </t>
  </si>
  <si>
    <t>Flag: Drawdown Period</t>
  </si>
  <si>
    <t>Tenor</t>
  </si>
  <si>
    <t>Counter: Tenor month</t>
  </si>
  <si>
    <t>Grace Period</t>
  </si>
  <si>
    <t>Repayment Period</t>
  </si>
  <si>
    <t>Payment Flag (Principal + Interest)</t>
  </si>
  <si>
    <t>Remaining Periods</t>
  </si>
  <si>
    <t xml:space="preserve">1st repayment </t>
  </si>
  <si>
    <t xml:space="preserve"> Total no of repayments</t>
  </si>
  <si>
    <t>Drawdown</t>
  </si>
  <si>
    <t>Principal Repayment</t>
  </si>
  <si>
    <t xml:space="preserve"> per quarter</t>
  </si>
  <si>
    <t>Interest during grace period (quarterly)</t>
  </si>
  <si>
    <t>Interest during repayment period (quarterly)</t>
  </si>
  <si>
    <t>Total Interest</t>
  </si>
  <si>
    <t>Annuity (Principal + Interest)</t>
  </si>
  <si>
    <t>Interest (automat. calculation)</t>
  </si>
  <si>
    <t>Interest (manual input)</t>
  </si>
  <si>
    <t>Interest applied</t>
  </si>
  <si>
    <t>Financing Fees</t>
  </si>
  <si>
    <t>Total pricipal payments (for summary)</t>
  </si>
  <si>
    <t>Balance Sheet (monthly on IFS)</t>
  </si>
  <si>
    <t>Balance Sheet (Summary 04)</t>
  </si>
  <si>
    <t>Balance Sheet (Summary 01)</t>
  </si>
  <si>
    <t>Balance Sheet (Opening Balance)</t>
  </si>
  <si>
    <t>Sources = Uses</t>
  </si>
  <si>
    <r>
      <t xml:space="preserve">Cash always </t>
    </r>
    <r>
      <rPr>
        <sz val="10"/>
        <rFont val="Calibri"/>
        <family val="2"/>
      </rPr>
      <t>≥</t>
    </r>
    <r>
      <rPr>
        <sz val="10"/>
        <rFont val="Arial"/>
        <family val="2"/>
      </rPr>
      <t xml:space="preserve"> 0</t>
    </r>
  </si>
  <si>
    <t>Aggregation Cashflow (Summary 03)</t>
  </si>
  <si>
    <t>Aggregation Balance Sheet (Summary 04)</t>
  </si>
  <si>
    <t>Aggregation Cashflow (Summary 01)</t>
  </si>
  <si>
    <t>Cash flow available for equity (CFADS)</t>
  </si>
  <si>
    <t>Financial Month</t>
  </si>
  <si>
    <t>Retained Earnings B/f</t>
  </si>
  <si>
    <t>Retained Earnings C/f</t>
  </si>
  <si>
    <t>Cash after dividend payout</t>
  </si>
  <si>
    <t xml:space="preserve">  Cash B/f</t>
  </si>
  <si>
    <t xml:space="preserve">  Cash C/f</t>
  </si>
  <si>
    <t>Check accruals: Decrease &lt;= Existing Accruals?</t>
  </si>
  <si>
    <t>Check advances received: Decrease &lt;= Existing advances received?</t>
  </si>
  <si>
    <t>Check advance payments: Decrease &lt;= Existing advance payments?</t>
  </si>
  <si>
    <t>Control</t>
  </si>
  <si>
    <r>
      <rPr>
        <b/>
        <sz val="10"/>
        <rFont val="Arial"/>
        <family val="2"/>
      </rPr>
      <t>Master Check:</t>
    </r>
    <r>
      <rPr>
        <sz val="10"/>
        <rFont val="Arial"/>
        <family val="2"/>
      </rPr>
      <t xml:space="preserve"> Inputs for sale of assets OK ?</t>
    </r>
  </si>
  <si>
    <t>Master Check: Inputs for sale of assets OK ?</t>
  </si>
  <si>
    <t xml:space="preserve">  Net Profit (after dividend payout)</t>
  </si>
  <si>
    <t>BS Account: Retained Earnings</t>
  </si>
  <si>
    <t xml:space="preserve">   Total Cash Outflows</t>
  </si>
  <si>
    <t xml:space="preserve">   Total Cash Inflows</t>
  </si>
  <si>
    <t xml:space="preserve">   Check opening balance =&gt;  </t>
  </si>
  <si>
    <t>EBITDA</t>
  </si>
  <si>
    <t>Op Bal</t>
  </si>
  <si>
    <t xml:space="preserve">Period Start </t>
  </si>
  <si>
    <t xml:space="preserve">Period End </t>
  </si>
  <si>
    <t>Inventory / Stock (manufacturing &amp; merchandise)</t>
  </si>
  <si>
    <t>Advance payments</t>
  </si>
  <si>
    <t>Positive Working Capital</t>
  </si>
  <si>
    <t>Negative Working Capital</t>
  </si>
  <si>
    <t>Net Working Capital</t>
  </si>
  <si>
    <t>Advances received</t>
  </si>
  <si>
    <t>Company:</t>
  </si>
  <si>
    <t>Model Name:</t>
  </si>
  <si>
    <t>File Name:</t>
  </si>
  <si>
    <t>Last updated:</t>
  </si>
  <si>
    <t xml:space="preserve">   Total Funding</t>
  </si>
  <si>
    <t>2. Debt</t>
  </si>
  <si>
    <t>1. Equity</t>
  </si>
  <si>
    <t>Sources of Funds</t>
  </si>
  <si>
    <t>Capital Requirement and Funding</t>
  </si>
  <si>
    <t>Funding Structure</t>
  </si>
  <si>
    <t xml:space="preserve">   thereof debt</t>
  </si>
  <si>
    <t xml:space="preserve">   thereof equity</t>
  </si>
  <si>
    <t>Gearing (debt equity ratio)</t>
  </si>
  <si>
    <t>Funding Sources</t>
  </si>
  <si>
    <t>Sources and Uses during first 12 months</t>
  </si>
  <si>
    <t>SOURCES</t>
  </si>
  <si>
    <t>Bar Chart</t>
  </si>
  <si>
    <t>USES</t>
  </si>
  <si>
    <t>Share Capital</t>
  </si>
  <si>
    <t>Share Capital (maximum)</t>
  </si>
  <si>
    <t>Extraordinary result</t>
  </si>
  <si>
    <t>Earnings before Interest and Tax (EBIT)</t>
  </si>
  <si>
    <t xml:space="preserve">   Total Sources</t>
  </si>
  <si>
    <t xml:space="preserve">   Total Uses</t>
  </si>
  <si>
    <t xml:space="preserve">   Check: Sources = Uses</t>
  </si>
  <si>
    <t>Interest + Financing Costs</t>
  </si>
  <si>
    <t>Interest paid (Debt 1-4)</t>
  </si>
  <si>
    <t>Paid</t>
  </si>
  <si>
    <t>Paid (following month)</t>
  </si>
  <si>
    <t>Tax paid</t>
  </si>
  <si>
    <t>(neg. = paid; pos. = recovered)</t>
  </si>
  <si>
    <t>Fixed asset disposals</t>
  </si>
  <si>
    <t>Finance lease (charges &amp; repayments)</t>
  </si>
  <si>
    <t>Dividend payout</t>
  </si>
  <si>
    <t>Liquidity/cash reserve</t>
  </si>
  <si>
    <t>Indirect Cash Flow (as derived from NPAT)</t>
  </si>
  <si>
    <t>Change in working capital</t>
  </si>
  <si>
    <t xml:space="preserve">    Change in advances received </t>
  </si>
  <si>
    <t xml:space="preserve">    Change in advance payments</t>
  </si>
  <si>
    <t>Change in accruals</t>
  </si>
  <si>
    <t>Change in income tax liabilities</t>
  </si>
  <si>
    <t>1. Cash flow from operating activities</t>
  </si>
  <si>
    <t xml:space="preserve">  Net cash flow from operating activities</t>
  </si>
  <si>
    <t>2. Cash flow from investing activities</t>
  </si>
  <si>
    <t xml:space="preserve">  Net cash flow from investing activities</t>
  </si>
  <si>
    <t>3. Cash flow from financing activities</t>
  </si>
  <si>
    <t xml:space="preserve">  Net cash flow from financing activities</t>
  </si>
  <si>
    <t>Net increase/decrease in cash</t>
  </si>
  <si>
    <t>Cash at the beginning of the period</t>
  </si>
  <si>
    <t>Cash at the end of the period</t>
  </si>
  <si>
    <t>Capex on intangible assets</t>
  </si>
  <si>
    <t>Capex on tangible assets</t>
  </si>
  <si>
    <t>Capex on financial assets</t>
  </si>
  <si>
    <t>Proceeds of assets disposals</t>
  </si>
  <si>
    <t xml:space="preserve">    thereof intangible assets</t>
  </si>
  <si>
    <t xml:space="preserve">    thereof tangible assets</t>
  </si>
  <si>
    <t xml:space="preserve">    thereof financial assets</t>
  </si>
  <si>
    <t>Cash receipts from new share capital</t>
  </si>
  <si>
    <t>Drawdowns on loans</t>
  </si>
  <si>
    <t>Principal repayments on loans</t>
  </si>
  <si>
    <t>Finance lease repayments</t>
  </si>
  <si>
    <t>Maximum Overdraft (limit)</t>
  </si>
  <si>
    <t>Debt Equity Ratio (DER)</t>
  </si>
  <si>
    <t>Descriptions and values for diagram</t>
  </si>
  <si>
    <t>Resorting / Rearrangement</t>
  </si>
  <si>
    <t>Raw data for diagrams (Don't delete or change !)</t>
  </si>
  <si>
    <t>Net Profit after Tax (NPAT)</t>
  </si>
  <si>
    <t xml:space="preserve">   Check (aggregation)</t>
  </si>
  <si>
    <t xml:space="preserve">    Check (aggregation)</t>
  </si>
  <si>
    <t>Check (aggregation)</t>
  </si>
  <si>
    <t>Overdraft limit &gt;= Opening balance value?</t>
  </si>
  <si>
    <t>Total Assets</t>
  </si>
  <si>
    <t xml:space="preserve">  Check: Balance Identity</t>
  </si>
  <si>
    <t>Assets</t>
  </si>
  <si>
    <t>Liabilities &amp; Shareholders Equity</t>
  </si>
  <si>
    <t>Retained Earnings</t>
  </si>
  <si>
    <t>Other current liabilities</t>
  </si>
  <si>
    <t>Miscellaneous</t>
  </si>
  <si>
    <t>at model start =&gt;</t>
  </si>
  <si>
    <t xml:space="preserve"> =&gt; equally phased out over a period of x months =&gt;</t>
  </si>
  <si>
    <t>P&amp;L and Balance Sheet Items</t>
  </si>
  <si>
    <t xml:space="preserve">   Change  (year to year)</t>
  </si>
  <si>
    <t>Company Headcount</t>
  </si>
  <si>
    <t>Fiscal Year</t>
  </si>
  <si>
    <t>Total Cost of payroll</t>
  </si>
  <si>
    <t>Company Headcount and Cost of Payroll</t>
  </si>
  <si>
    <t>incl. salaries &amp; wages, benefits and other staff costs</t>
  </si>
  <si>
    <t>Total costs of payroll</t>
  </si>
  <si>
    <t>Division</t>
  </si>
  <si>
    <t>Raw data for diagrams (Don't delete or change !)  =&gt;</t>
  </si>
  <si>
    <t>Total Liabilities &amp; Shareholders Equity</t>
  </si>
  <si>
    <t xml:space="preserve"> with conditional formatting =&gt; copy required (text can be changed manually)</t>
  </si>
  <si>
    <t xml:space="preserve"> uses data validation =&gt; copy required</t>
  </si>
  <si>
    <t>same as input but permanent =&gt; i.e. input data will not be erased by macro "New planning - Erase all input data"</t>
  </si>
  <si>
    <t>Zero</t>
  </si>
  <si>
    <t>Total no of Employees (end of FY on FTE basis)</t>
  </si>
  <si>
    <t>LEGAL DISCLAIMER AND LICENSE AGREEMENT</t>
  </si>
  <si>
    <t>Website:</t>
  </si>
  <si>
    <t>Fill in name or positon here</t>
  </si>
  <si>
    <t>Constants, Symbols &amp; General Lookup Tables</t>
  </si>
  <si>
    <t>Lookup Tables</t>
  </si>
  <si>
    <t>Formatting Styles</t>
  </si>
  <si>
    <t>Section Header</t>
  </si>
  <si>
    <t>Checks, Flags &amp; Miscellaneous</t>
  </si>
  <si>
    <t>Formats &amp; Styles Key, Constants and Lookup Tables</t>
  </si>
  <si>
    <t>Frequently used Formatting Styles</t>
  </si>
  <si>
    <t>Limited</t>
  </si>
  <si>
    <t>"The easy way to create financial forecasts</t>
  </si>
  <si>
    <t>=&gt; replace by your own logo</t>
  </si>
  <si>
    <t>No inputs required on this sheet</t>
  </si>
  <si>
    <t>Integrated Financial Projections</t>
  </si>
  <si>
    <t xml:space="preserve">Sheet No. </t>
  </si>
  <si>
    <t>Link to Sheet</t>
  </si>
  <si>
    <t>Author</t>
  </si>
  <si>
    <t>Legal Disclaimer</t>
  </si>
  <si>
    <t>Contact</t>
  </si>
  <si>
    <t>Summary 01</t>
  </si>
  <si>
    <t>Summary 02</t>
  </si>
  <si>
    <t>Summary 03</t>
  </si>
  <si>
    <t>Summary 04</t>
  </si>
  <si>
    <t>Inputs</t>
  </si>
  <si>
    <t>Capex</t>
  </si>
  <si>
    <t>IFS</t>
  </si>
  <si>
    <t>Debtors+Creditors</t>
  </si>
  <si>
    <t>Formats</t>
  </si>
  <si>
    <t>Quick Start</t>
  </si>
  <si>
    <t>Index (This Sheet)</t>
  </si>
  <si>
    <t>Quick Start Guide of EFM</t>
  </si>
  <si>
    <t>Executive Summary</t>
  </si>
  <si>
    <t>Cash Flow (overview)</t>
  </si>
  <si>
    <t>Balance Sheet (overview)</t>
  </si>
  <si>
    <t>Model Assumptions</t>
  </si>
  <si>
    <t>Personnel schedules and costs</t>
  </si>
  <si>
    <t>Capital Expenditures and Depreciation</t>
  </si>
  <si>
    <t>Funding</t>
  </si>
  <si>
    <t>Input/Output tax &amp; Tax on Profit</t>
  </si>
  <si>
    <t>Timing Master</t>
  </si>
  <si>
    <t>Formatting Styles, Constants, Lookup Tables</t>
  </si>
  <si>
    <t xml:space="preserve">Financial Year </t>
  </si>
  <si>
    <t>No of payments (per financial year)</t>
  </si>
  <si>
    <t>Advanced payments (per financial year)</t>
  </si>
  <si>
    <t>Financial Year  =&gt;</t>
  </si>
  <si>
    <t>Month of FY</t>
  </si>
  <si>
    <t xml:space="preserve"> of the following FY</t>
  </si>
  <si>
    <t>of the following calendar year</t>
  </si>
  <si>
    <t>Month in calendar year</t>
  </si>
  <si>
    <t>No of months in financial year</t>
  </si>
  <si>
    <t>Check phasing out PAYE/Payroll withholdings owed OK?</t>
  </si>
  <si>
    <t>Social insurance &amp; income tax (PAYE/Payroll withholdings)</t>
  </si>
  <si>
    <r>
      <t xml:space="preserve">Input Area - Various Items  </t>
    </r>
    <r>
      <rPr>
        <sz val="18"/>
        <color rgb="FFFF0000"/>
        <rFont val="Arial"/>
        <family val="2"/>
      </rPr>
      <t>(not intented for printout)</t>
    </r>
  </si>
  <si>
    <t>Arrow down (active)</t>
  </si>
  <si>
    <t>Arrow down (inactive)</t>
  </si>
  <si>
    <t>Arrow left</t>
  </si>
  <si>
    <t>Arrow right</t>
  </si>
  <si>
    <t>Arrows horizontal (active)</t>
  </si>
  <si>
    <t>Arrows horizontal (inactive)</t>
  </si>
  <si>
    <r>
      <t xml:space="preserve"> </t>
    </r>
    <r>
      <rPr>
        <u/>
        <sz val="10"/>
        <color theme="1"/>
        <rFont val="Arial"/>
        <family val="2"/>
      </rPr>
      <t>Example</t>
    </r>
    <r>
      <rPr>
        <sz val="10"/>
        <color theme="1"/>
        <rFont val="Arial"/>
        <family val="2"/>
      </rPr>
      <t xml:space="preserve"> Arrow down (active, if cell above = 1)</t>
    </r>
  </si>
  <si>
    <t xml:space="preserve">  Balance Check</t>
  </si>
  <si>
    <t xml:space="preserve">Integrity (Master ) </t>
  </si>
  <si>
    <t>Cash balance during the first 12 months</t>
  </si>
  <si>
    <t>Bank Balance (end of month)</t>
  </si>
  <si>
    <t xml:space="preserve">   Total users churned (upgrade product)</t>
  </si>
  <si>
    <t>Churned Users (model start)</t>
  </si>
  <si>
    <t>Churn upgrade product</t>
  </si>
  <si>
    <t xml:space="preserve">   Total No of Users (upgrade product)</t>
  </si>
  <si>
    <t>At Start</t>
  </si>
  <si>
    <t>No of users (model start)</t>
  </si>
  <si>
    <t>incl. churn</t>
  </si>
  <si>
    <t>No of users/contracts upgrade product</t>
  </si>
  <si>
    <t xml:space="preserve">   Total No of Upgrades</t>
  </si>
  <si>
    <t>No of Upgrades</t>
  </si>
  <si>
    <t xml:space="preserve">   Total users churned (base product)</t>
  </si>
  <si>
    <t>Churn base product</t>
  </si>
  <si>
    <t xml:space="preserve">   Total No of Users (base product)</t>
  </si>
  <si>
    <t>New Users</t>
  </si>
  <si>
    <t>incl. churn and upgrades</t>
  </si>
  <si>
    <t>No of users/contracts base product</t>
  </si>
  <si>
    <t>Contract period (Counter)</t>
  </si>
  <si>
    <t>Upgrade Rate</t>
  </si>
  <si>
    <t>Renewal Rate</t>
  </si>
  <si>
    <t>Length of Contract</t>
  </si>
  <si>
    <t xml:space="preserve"> by month cohort</t>
  </si>
  <si>
    <t xml:space="preserve"> of TCV</t>
  </si>
  <si>
    <t>Sales commission expense</t>
  </si>
  <si>
    <t>Lead generation expense</t>
  </si>
  <si>
    <t>Total Cost of Sales</t>
  </si>
  <si>
    <t>fill in any values or formula in input cells</t>
  </si>
  <si>
    <t>Spare row for individual input/usage</t>
  </si>
  <si>
    <t xml:space="preserve">Direct billing ? </t>
  </si>
  <si>
    <t>Revenue share expense (if billed directly)</t>
  </si>
  <si>
    <t xml:space="preserve"> of net revenue</t>
  </si>
  <si>
    <t xml:space="preserve"> per unit/customer + month</t>
  </si>
  <si>
    <t>Shipping, postage &amp; repackaging expense</t>
  </si>
  <si>
    <t>3rd party services</t>
  </si>
  <si>
    <t xml:space="preserve"> of cash received</t>
  </si>
  <si>
    <t xml:space="preserve"> per customer/account</t>
  </si>
  <si>
    <t>Hosting/cloud infrastructure</t>
  </si>
  <si>
    <t>Materials/packaging/goods</t>
  </si>
  <si>
    <t>BS Account: Receivables</t>
  </si>
  <si>
    <t>(Increase) / Decrease</t>
  </si>
  <si>
    <t>BS Account: Deferred Revenue</t>
  </si>
  <si>
    <t>Billing type</t>
  </si>
  <si>
    <t>Cash received</t>
  </si>
  <si>
    <t>Billing frequency</t>
  </si>
  <si>
    <t>[1;0]</t>
  </si>
  <si>
    <t>Billing Flag</t>
  </si>
  <si>
    <t>Subject to output taxes</t>
  </si>
  <si>
    <t>Upgrade product</t>
  </si>
  <si>
    <t>One-time set-up fee (base product)</t>
  </si>
  <si>
    <t>Base product</t>
  </si>
  <si>
    <t>Revenue</t>
  </si>
  <si>
    <t>Upgrade product (per month)</t>
  </si>
  <si>
    <t>Base product (per month)</t>
  </si>
  <si>
    <t>Price</t>
  </si>
  <si>
    <t>No of customers</t>
  </si>
  <si>
    <t>Net new customers</t>
  </si>
  <si>
    <t>Customers end of period</t>
  </si>
  <si>
    <t>Churned customers</t>
  </si>
  <si>
    <t>New customers</t>
  </si>
  <si>
    <t>Customers beginning of period</t>
  </si>
  <si>
    <t xml:space="preserve">Rate selection </t>
  </si>
  <si>
    <t>Annual raise</t>
  </si>
  <si>
    <t>fully variable</t>
  </si>
  <si>
    <t>Type of calculation (fully variable vs. step costs)</t>
  </si>
  <si>
    <t>existing customers, subscribers, or clients</t>
  </si>
  <si>
    <t>1 support agent handles up to</t>
  </si>
  <si>
    <t>Customer support staffing</t>
  </si>
  <si>
    <t>b.)</t>
  </si>
  <si>
    <t>Avg. costs per hour for direct labor</t>
  </si>
  <si>
    <t>Avg. no. of hours of any direct labor (per sales unit + month)</t>
  </si>
  <si>
    <t>a.)</t>
  </si>
  <si>
    <t xml:space="preserve"> optional (description can be changed)</t>
  </si>
  <si>
    <t>% of revenue</t>
  </si>
  <si>
    <t>Other direct costs (spare)</t>
  </si>
  <si>
    <t xml:space="preserve"> Each month, independet of contract length; leave blank if n.a.</t>
  </si>
  <si>
    <t>Shipping, postage &amp; repackaging (per unit/product+month)</t>
  </si>
  <si>
    <t>3rd party services (cost per customer/account+month)</t>
  </si>
  <si>
    <r>
      <t>Hosting/cloud infrastructur</t>
    </r>
    <r>
      <rPr>
        <sz val="10"/>
        <color theme="1"/>
        <rFont val="Helvetica-Narrow"/>
        <family val="2"/>
      </rPr>
      <t>e (</t>
    </r>
    <r>
      <rPr>
        <sz val="10"/>
        <color theme="1"/>
        <rFont val="Airal"/>
      </rPr>
      <t>cost per customer/account+month)</t>
    </r>
  </si>
  <si>
    <t xml:space="preserve"> Calculation monthy recurring for each unit sold (in case of one-time sales model =&gt; not recurring); leave blank if n.a.</t>
  </si>
  <si>
    <t>Materials/packaging/goods (per unit)</t>
  </si>
  <si>
    <t>Cost of Sales (Direct Costs)</t>
  </si>
  <si>
    <t>Annual base salary of sales executive</t>
  </si>
  <si>
    <t xml:space="preserve"> of Total Contract Value (TCV) i.e. revenue per month x contract length (for each new customer base product)</t>
  </si>
  <si>
    <t>% of TCV</t>
  </si>
  <si>
    <t>Sales commission expense to sales staff</t>
  </si>
  <si>
    <t>Lead generation fee (per each new customer base product)</t>
  </si>
  <si>
    <t>Customer Acquisition Cost (CAC)</t>
  </si>
  <si>
    <t>In Advance</t>
  </si>
  <si>
    <t>Billing of revenue share</t>
  </si>
  <si>
    <t>Billing</t>
  </si>
  <si>
    <t>base product</t>
  </si>
  <si>
    <t>Basis for revenue share calculation</t>
  </si>
  <si>
    <t>Percentage of revenue with revenue share</t>
  </si>
  <si>
    <t>Upgrade product (net)</t>
  </si>
  <si>
    <t>Base product (net)</t>
  </si>
  <si>
    <t>Net sale price per customer and month</t>
  </si>
  <si>
    <t>Pricing, Revenue Share &amp; Billing</t>
  </si>
  <si>
    <t xml:space="preserve"> for recurring sales models only</t>
  </si>
  <si>
    <t>Existing no of customers/subscribers at model start</t>
  </si>
  <si>
    <t xml:space="preserve"> for recurring sales models only =&gt; %-age refers to contract length !</t>
  </si>
  <si>
    <t>% of customers</t>
  </si>
  <si>
    <r>
      <t>Upsells: Upgrade rate (</t>
    </r>
    <r>
      <rPr>
        <sz val="10"/>
        <color theme="1"/>
        <rFont val="Airal"/>
      </rPr>
      <t>at contract end)</t>
    </r>
  </si>
  <si>
    <t>Renewals: Retention rate (at contract end)</t>
  </si>
  <si>
    <t>Recurring</t>
  </si>
  <si>
    <t>Sales Model (recurring or one-time)</t>
  </si>
  <si>
    <t xml:space="preserve">Length in months </t>
  </si>
  <si>
    <t>Month(s)</t>
  </si>
  <si>
    <t>Length of contract (relationship)</t>
  </si>
  <si>
    <t>WonderApp</t>
  </si>
  <si>
    <t>Name/description of offering (base product)</t>
  </si>
  <si>
    <t>Type, Timing of Sale, Upsells &amp; Customer Base</t>
  </si>
  <si>
    <t>Billing Type</t>
  </si>
  <si>
    <t>Billing_Type</t>
  </si>
  <si>
    <t>In Arrears</t>
  </si>
  <si>
    <t xml:space="preserve">   Bad debts</t>
  </si>
  <si>
    <t xml:space="preserve"> per each new customer (base product)</t>
  </si>
  <si>
    <t>% of sales</t>
  </si>
  <si>
    <t>(needed for CAC calculation)</t>
  </si>
  <si>
    <t>General and Administration Staff</t>
  </si>
  <si>
    <t>Research and Development Staff</t>
  </si>
  <si>
    <t>M&amp;S</t>
  </si>
  <si>
    <t>R&amp;D</t>
  </si>
  <si>
    <t>G&amp;A</t>
  </si>
  <si>
    <t>Annual base salary per account manager</t>
  </si>
  <si>
    <t>Bonus at plan performance</t>
  </si>
  <si>
    <t>Training costs</t>
  </si>
  <si>
    <t>Travel &amp; Entertainment costs</t>
  </si>
  <si>
    <t>hours per year</t>
  </si>
  <si>
    <t xml:space="preserve"> Keep in mind: Sundays (weekends), public holidays, annual vacation, sick-leave (e.g. 8 hr/day x 20 days/mth x 12 mths)</t>
  </si>
  <si>
    <t>Working time per FTE (per year)</t>
  </si>
  <si>
    <t>Variable descriptions (input cells only) can be changed</t>
  </si>
  <si>
    <t>Resulting annual base salary per FTE</t>
  </si>
  <si>
    <t>Staffing requirement and costs:</t>
  </si>
  <si>
    <t xml:space="preserve">Calc. type </t>
  </si>
  <si>
    <t>Sales Staffing Expenses</t>
  </si>
  <si>
    <t>Account Management Expenses</t>
  </si>
  <si>
    <t>Allocated Expenses for CLTV Calculations</t>
  </si>
  <si>
    <t>Allocation Check</t>
  </si>
  <si>
    <t xml:space="preserve">  Check (= 100% ?)</t>
  </si>
  <si>
    <t xml:space="preserve">   Total amount allocated</t>
  </si>
  <si>
    <t>Research and Development Costs</t>
  </si>
  <si>
    <t>General and Administration Costs</t>
  </si>
  <si>
    <t>Miscellaneous 05</t>
  </si>
  <si>
    <t>Miscellaneous 06</t>
  </si>
  <si>
    <t>Miscellaneous 07</t>
  </si>
  <si>
    <t>Miscellaneous 08</t>
  </si>
  <si>
    <t>Miscellaneous 09</t>
  </si>
  <si>
    <t>Office Supplies</t>
  </si>
  <si>
    <t>Vehicle's costs</t>
  </si>
  <si>
    <t>Marketing and Sales Costs</t>
  </si>
  <si>
    <t>Vehicle's costs (M&amp;S staff)</t>
  </si>
  <si>
    <t>Travel &amp; Entertainment (M&amp;S staff)</t>
  </si>
  <si>
    <t>Communication (Internet, Phone, Mobile etc.) (M&amp;S staff)</t>
  </si>
  <si>
    <t>Additional property expenses (Power, Heat, Light etc.)</t>
  </si>
  <si>
    <t>Patents, Trademarks and Licence Fees</t>
  </si>
  <si>
    <t>base product; base + upgrade product; base+upgrade+set-up fee</t>
  </si>
  <si>
    <t>Rev_share_basis</t>
  </si>
  <si>
    <t>base+upgrade+set-up fee</t>
  </si>
  <si>
    <t>base+set-up fee</t>
  </si>
  <si>
    <t>base+upgrade product</t>
  </si>
  <si>
    <t xml:space="preserve"> optional (can also be a piece of hardware, delivered with first subscription =&gt; depending on business model)</t>
  </si>
  <si>
    <t>(if billed in arrears)</t>
  </si>
  <si>
    <t>(if billed in advance)</t>
  </si>
  <si>
    <t>Check: Customers EoP =&gt;</t>
  </si>
  <si>
    <t>Marketing and Sales Staff</t>
  </si>
  <si>
    <t>Net Revenue</t>
  </si>
  <si>
    <t>Gross Margin</t>
  </si>
  <si>
    <t>Customer Churn Rate</t>
  </si>
  <si>
    <t>Sales &amp; KPIs Calculation</t>
  </si>
  <si>
    <t xml:space="preserve">    thereof base product</t>
  </si>
  <si>
    <t xml:space="preserve">    thereof upgrade product</t>
  </si>
  <si>
    <t xml:space="preserve">3rd party billing ? </t>
  </si>
  <si>
    <t xml:space="preserve">  - Revenue Share Expense</t>
  </si>
  <si>
    <t xml:space="preserve">  - Cost of Sales</t>
  </si>
  <si>
    <t>Avg net revenue (per customer)</t>
  </si>
  <si>
    <t>months</t>
  </si>
  <si>
    <t>Customer Lifetime Contribution</t>
  </si>
  <si>
    <t>Customer Acquisition Costs (CAC)</t>
  </si>
  <si>
    <t xml:space="preserve">  - Lead Generation Expense</t>
  </si>
  <si>
    <t xml:space="preserve">  - Sales Commission Expense</t>
  </si>
  <si>
    <t xml:space="preserve">  - Sales and allocated Marketing Expense</t>
  </si>
  <si>
    <t>Total Customer Acquisition Costs</t>
  </si>
  <si>
    <t xml:space="preserve">Annual discount rate </t>
  </si>
  <si>
    <t>CLTV to CAC Ratio</t>
  </si>
  <si>
    <t>x</t>
  </si>
  <si>
    <t xml:space="preserve">  New customers</t>
  </si>
  <si>
    <t xml:space="preserve">  Lost customers</t>
  </si>
  <si>
    <t>Months to recover CAC</t>
  </si>
  <si>
    <r>
      <t xml:space="preserve">CLTV  </t>
    </r>
    <r>
      <rPr>
        <i/>
        <sz val="10"/>
        <color theme="1"/>
        <rFont val="Arial"/>
        <family val="2"/>
      </rPr>
      <t>(discounted)</t>
    </r>
  </si>
  <si>
    <r>
      <t xml:space="preserve">CLTV  </t>
    </r>
    <r>
      <rPr>
        <i/>
        <sz val="10"/>
        <color theme="1"/>
        <rFont val="Arial"/>
        <family val="2"/>
      </rPr>
      <t>(not discounted)</t>
    </r>
  </si>
  <si>
    <t>Customer Lifetime</t>
  </si>
  <si>
    <t>Support Staff (Account Mgmt)</t>
  </si>
  <si>
    <t>Interest paid on overdraft</t>
  </si>
  <si>
    <t>Overdraft Facility</t>
  </si>
  <si>
    <t>Cash and Overdraft Facility in first Fiscal Year</t>
  </si>
  <si>
    <t>Overdraft Facility (end of month)</t>
  </si>
  <si>
    <t>Sufficient Funding (incl. Overdraft Facility)</t>
  </si>
  <si>
    <t xml:space="preserve">   Information line: Repayments and Overdraft Facility</t>
  </si>
  <si>
    <t>Overdraft Facility (automatic)</t>
  </si>
  <si>
    <t>Interest on overdraft</t>
  </si>
  <si>
    <t xml:space="preserve">=&gt; cash-in on  </t>
  </si>
  <si>
    <t>First Month (in text format)</t>
  </si>
  <si>
    <t>First Year</t>
  </si>
  <si>
    <t>Excel-Financial-Model (EFM)</t>
  </si>
  <si>
    <t>www.excel-financial-model.com</t>
  </si>
  <si>
    <t xml:space="preserve">  when launching or running a business"</t>
  </si>
  <si>
    <t>Fimovi - offered by Smart Cap GmbH</t>
  </si>
  <si>
    <t>efm@excel-financial-model.com</t>
  </si>
  <si>
    <t>Version: "Digital Economy"</t>
  </si>
  <si>
    <t>Rounding Tolerance</t>
  </si>
  <si>
    <t>Additional revenue (e.g. base product)</t>
  </si>
  <si>
    <t>Additional revenue (e.g. upgrade product)</t>
  </si>
  <si>
    <t>Payment processing fees</t>
  </si>
  <si>
    <t xml:space="preserve">  -  COGS</t>
  </si>
  <si>
    <t xml:space="preserve">  -  Shipping, postage &amp; repackaging expense</t>
  </si>
  <si>
    <t xml:space="preserve">  -  Payment processing fees</t>
  </si>
  <si>
    <t xml:space="preserve">  -  Revenue share expense (if billed directly)</t>
  </si>
  <si>
    <t xml:space="preserve">    thereof additional revenue</t>
  </si>
  <si>
    <t>Monthly Customer Gross Profit</t>
  </si>
  <si>
    <t>Sales Executive (Offering 1)</t>
  </si>
  <si>
    <t>Account Manager (Offering 1)</t>
  </si>
  <si>
    <t xml:space="preserve">  -  Marketing and Sales </t>
  </si>
  <si>
    <t xml:space="preserve">  -  Research and Development</t>
  </si>
  <si>
    <t xml:space="preserve">  -  General and Administration</t>
  </si>
  <si>
    <t>(only in case of direct billing)</t>
  </si>
  <si>
    <t xml:space="preserve">owed to company at model end </t>
  </si>
  <si>
    <t>Deferred Revenue</t>
  </si>
  <si>
    <t>By 3rd Party</t>
  </si>
  <si>
    <t>all inputs here should be entered net of input/output taxes (sales taxes, GST, VAT etc.)</t>
  </si>
  <si>
    <t>Offering 1</t>
  </si>
  <si>
    <t>Offering 2</t>
  </si>
  <si>
    <t>Offering 3</t>
  </si>
  <si>
    <t>Offering 4</t>
  </si>
  <si>
    <t>Disbursement Profile</t>
  </si>
  <si>
    <t>Allocation to Products/Services</t>
  </si>
  <si>
    <t>Allocation of selected M&amp;S costs to Products/Services (needed for CLTV calcuation)</t>
  </si>
  <si>
    <t>depends on selection in column E above (=&gt; value 1)</t>
  </si>
  <si>
    <t>CAC ?</t>
  </si>
  <si>
    <t xml:space="preserve">Control </t>
  </si>
  <si>
    <t xml:space="preserve">  - Account Mgmt and allocated Marketing Expense</t>
  </si>
  <si>
    <t>Products and Services (Offerings)</t>
  </si>
  <si>
    <t>Output tax on Products/Services =&gt; individual assumptions: Offering 1 to 4</t>
  </si>
  <si>
    <t>Days</t>
  </si>
  <si>
    <t>Reference: Net Sales</t>
  </si>
  <si>
    <t>Inventory target  (based on days of inventory on hand)</t>
  </si>
  <si>
    <t>Auxiliary Calculations</t>
  </si>
  <si>
    <t xml:space="preserve">max decease </t>
  </si>
  <si>
    <t xml:space="preserve"> of net sales</t>
  </si>
  <si>
    <t>Maximum decrease in inventory (in % of net sales)</t>
  </si>
  <si>
    <t>Input tax on all non-payroll expenses (e.g. overheads)</t>
  </si>
  <si>
    <t xml:space="preserve">    Change in inventory / stocks</t>
  </si>
  <si>
    <t xml:space="preserve">Amount of stocks present: Days of inventory on hand </t>
  </si>
  <si>
    <t>Input tax on stocks purchases (inventory increases)</t>
  </si>
  <si>
    <t>Target Stocks / Change in Inventory</t>
  </si>
  <si>
    <t>Include stocks/inventory planning ? =&gt; Yes/No</t>
  </si>
  <si>
    <t>BS Account: Inventory / Stocks (manufacturing &amp; merchandise)</t>
  </si>
  <si>
    <t>Purchase of stocks (inventory increases)</t>
  </si>
  <si>
    <t>Revenue Summary (Totals)</t>
  </si>
  <si>
    <t>Net Revenue from Existing Customers</t>
  </si>
  <si>
    <t>Net Revenue from New Customers</t>
  </si>
  <si>
    <t xml:space="preserve">Billing </t>
  </si>
  <si>
    <t>net of bad debts</t>
  </si>
  <si>
    <t>Deferred Revenue (BS account)</t>
  </si>
  <si>
    <t>Receivables (BS account)</t>
  </si>
  <si>
    <t xml:space="preserve">  -  Sales Commission Expense</t>
  </si>
  <si>
    <t xml:space="preserve">  -  Lead Generation Expense</t>
  </si>
  <si>
    <t>Associated Expenses (Direct Costs)</t>
  </si>
  <si>
    <t>Other Expenses  (product/service related)</t>
  </si>
  <si>
    <t>Total M&amp;S costs (to be allocated)</t>
  </si>
  <si>
    <t xml:space="preserve">     thereof for customer retention</t>
  </si>
  <si>
    <t xml:space="preserve">     thereof for customer acquisition</t>
  </si>
  <si>
    <t>1. Customer Retention (Allocation to Products/Services)</t>
  </si>
  <si>
    <t>2. Customer Acquisition (Allocation to Products/Services)</t>
  </si>
  <si>
    <t>Distribution based on net revenue</t>
  </si>
  <si>
    <t>Allocation of M&amp;S costs to Products/Services (Retention) OK?</t>
  </si>
  <si>
    <t>Allocation of M&amp;S costs to Products/Services (Acquisition) OK?</t>
  </si>
  <si>
    <t xml:space="preserve">  - Revenue Share Expense (if billed directly)</t>
  </si>
  <si>
    <t xml:space="preserve">Sum for control </t>
  </si>
  <si>
    <t>Status:</t>
  </si>
  <si>
    <t>Active ?</t>
  </si>
  <si>
    <t>WonderApp Ltd.</t>
  </si>
  <si>
    <t>% Allocation of Advertising and Marketing Expenses for Customer Acquisition</t>
  </si>
  <si>
    <t xml:space="preserve">  The balance of the expense will be allocated to Customer Retention (for the purposes of calculating Customer Lifetime Value)</t>
  </si>
  <si>
    <t>Assumptions for Customer Lifetime Value Calculations</t>
  </si>
  <si>
    <t>Annual Discount Rate for CLTV Calculations</t>
  </si>
  <si>
    <t>&lt;=&gt;</t>
  </si>
  <si>
    <t>Customizing Services</t>
  </si>
  <si>
    <t>Non-current Assets (NBV)</t>
  </si>
  <si>
    <t>Financial Assets / Investments</t>
  </si>
  <si>
    <t>Summary: Non-current (fixed) assets</t>
  </si>
  <si>
    <t>Total Non-current Assets</t>
  </si>
  <si>
    <t>Non-current Assets</t>
  </si>
  <si>
    <t>1 or 1,000</t>
  </si>
  <si>
    <t>WonderMoreX</t>
  </si>
  <si>
    <t>hours per unit+month</t>
  </si>
  <si>
    <t>Sales staffing: No of new customers 1 Sales Exec can acquire p.m.</t>
  </si>
  <si>
    <t>New customers per month</t>
  </si>
  <si>
    <t xml:space="preserve"> per 1 Sales Executive</t>
  </si>
  <si>
    <t xml:space="preserve"> in case of "step costs" number of staff will be rounded up to the next whole number</t>
  </si>
  <si>
    <t xml:space="preserve"> Cloud infrastructure costs, incl. servers, storage, and third party services used as part of the product (e.g. mail delivery, monitoring, dns, etc.)</t>
  </si>
  <si>
    <t>Additional Revenue (optional)</t>
  </si>
  <si>
    <r>
      <rPr>
        <b/>
        <sz val="10"/>
        <color theme="1"/>
        <rFont val="Arial"/>
        <family val="2"/>
      </rPr>
      <t>Note:</t>
    </r>
    <r>
      <rPr>
        <sz val="10"/>
        <color theme="1"/>
        <rFont val="Arial"/>
        <family val="2"/>
      </rPr>
      <t xml:space="preserve"> This revenue is cash-effective in the same month !</t>
    </r>
  </si>
  <si>
    <t>Cash received (w/o additional revenue)</t>
  </si>
  <si>
    <t>max. customers/FTE</t>
  </si>
  <si>
    <t>Allocation of personnel expenses for CLTV calculations OK?</t>
  </si>
  <si>
    <t>USD</t>
  </si>
  <si>
    <t>Advance Payments</t>
  </si>
  <si>
    <t>Cash at Bank</t>
  </si>
  <si>
    <t>Advances Received</t>
  </si>
  <si>
    <t>Accrued Revenue Share</t>
  </si>
  <si>
    <t>Finance Lease Obligations</t>
  </si>
  <si>
    <t xml:space="preserve"> This value should be in accordance with your average ratio of cost of materials to sales (in %)</t>
  </si>
  <si>
    <t>Fictitious 5 Year Forecast</t>
  </si>
  <si>
    <t>Sales Summ</t>
  </si>
  <si>
    <t>Sales Summary and Metrics</t>
  </si>
  <si>
    <t>Customers &amp; Sales Calculations Offering 1</t>
  </si>
  <si>
    <t>Customers &amp; Sales Calculations Offering 4</t>
  </si>
  <si>
    <t>Customers &amp; Sales Calculations Offering 3</t>
  </si>
  <si>
    <t>Customers &amp; Sales Calculations Offering 2</t>
  </si>
  <si>
    <t>FutureApp</t>
  </si>
  <si>
    <t>Shareholder Loan</t>
  </si>
  <si>
    <t>URB Bank</t>
  </si>
  <si>
    <t>FounderBank</t>
  </si>
  <si>
    <t>=&gt; at first use: paste your logo, fill in legal disclaimer and contact data</t>
  </si>
  <si>
    <t>EasyCredit</t>
  </si>
  <si>
    <t xml:space="preserve"> 3rd party services that you are reselling/upselling from within your product</t>
  </si>
  <si>
    <t xml:space="preserve">     and delete this text</t>
  </si>
  <si>
    <t>Sheet Content</t>
  </si>
  <si>
    <t>Principal payments</t>
  </si>
  <si>
    <t>Advance payments &amp; utilisation of accruals</t>
  </si>
  <si>
    <t xml:space="preserve">  Increase (= formation)</t>
  </si>
  <si>
    <t xml:space="preserve">  Decrease (= utilisation not reversal)</t>
  </si>
  <si>
    <t xml:space="preserve">  Decrease (utilisation)</t>
  </si>
  <si>
    <t>Utilisation of accruals</t>
  </si>
  <si>
    <t>TR</t>
  </si>
  <si>
    <t>For full version click button</t>
  </si>
  <si>
    <t>All timing parameters are fully adjustable in commercial version only</t>
  </si>
  <si>
    <t>Time-saving macros available in commerical version only</t>
  </si>
  <si>
    <t>(no inputs here =&gt; see comments in column H)</t>
  </si>
  <si>
    <t>available in commercial version only</t>
  </si>
  <si>
    <t>Version 2.01  -  Free Trial Version</t>
  </si>
  <si>
    <t>© Copyright 2011 - 2017, Smart Cap GmbH</t>
  </si>
  <si>
    <t>FY 2017</t>
  </si>
  <si>
    <t>FY 2018</t>
  </si>
  <si>
    <t>"The easy way to create financial</t>
  </si>
  <si>
    <t xml:space="preserve">  forecasts when launching or</t>
  </si>
  <si>
    <t xml:space="preserve">  running a business"</t>
  </si>
  <si>
    <t>1. Feature / Function</t>
  </si>
  <si>
    <t>Free Trial Version</t>
  </si>
  <si>
    <t>Full Commercial Version</t>
  </si>
  <si>
    <t>Planning period (model life time)</t>
  </si>
  <si>
    <t>Restricted to 24 months max.</t>
  </si>
  <si>
    <t>up to 64 months (5 years)</t>
  </si>
  <si>
    <t>Timing parameters
 (i.e. model start + last month of financial year)</t>
  </si>
  <si>
    <t>Timing parameters cannot be changed</t>
  </si>
  <si>
    <t>All timing parameters fully adjustable</t>
  </si>
  <si>
    <t>Planning currency</t>
  </si>
  <si>
    <t>Cannot be changed</t>
  </si>
  <si>
    <t>Any planning currency can be freely selected</t>
  </si>
  <si>
    <t>Protection &amp; Adaptability</t>
  </si>
  <si>
    <t>Only input cells can be changed, all other cells are
password-protected (with all formulas visible)</t>
  </si>
  <si>
    <t>All cells are accessible and editable</t>
  </si>
  <si>
    <t>Customization</t>
  </si>
  <si>
    <t xml:space="preserve">Not possible, all sheets are password-protected </t>
  </si>
  <si>
    <t>Freely customizable &amp; extendable (edit sheets,
insert new sheets, paste in own sheets etc.)</t>
  </si>
  <si>
    <t xml:space="preserve">Time-saving macros </t>
  </si>
  <si>
    <t>No time-saving macros included</t>
  </si>
  <si>
    <t>Includes time-saving macros</t>
  </si>
  <si>
    <t>2. Output sheets / Summaries</t>
  </si>
  <si>
    <t>Profit &amp; Loss, Cashflow and Balance Sheet</t>
  </si>
  <si>
    <t>Only 24 months, no drill-down functionality,
not editable</t>
  </si>
  <si>
    <t>Up to 60 months (5 years), drill-down functionality,
fully editable</t>
  </si>
  <si>
    <t>Key Performance Indicators (KPIs)</t>
  </si>
  <si>
    <t>not included</t>
  </si>
  <si>
    <t>Automatic calculation of numerous KPIs regarding
liquidity &amp; coverage, income / profitability, etc.</t>
  </si>
  <si>
    <t>Working Capital &amp; Cash Conversion Cycle (CCC)</t>
  </si>
  <si>
    <t>Automatic calculation of Days Sales Outstanding
(DSO), Days Inventory Held (DIH), Days Payable
Outstanding (DPO), and CCC</t>
  </si>
  <si>
    <t>3. Support and Updates</t>
  </si>
  <si>
    <t>Support</t>
  </si>
  <si>
    <t>No support</t>
  </si>
  <si>
    <t>30 days technical support</t>
  </si>
  <si>
    <t>Updates</t>
  </si>
  <si>
    <t>No updates</t>
  </si>
  <si>
    <t>Lifetime free updates</t>
  </si>
  <si>
    <t xml:space="preserve"> Difference between Trial version and Commercial version of Excel-Financial-Model (EFM-DE)</t>
  </si>
  <si>
    <t>Only one single product/service</t>
  </si>
  <si>
    <t>Up to 4 different, independent products/services (base + upgrade) available for planning</t>
  </si>
  <si>
    <t>Number of independent offerings planable</t>
  </si>
  <si>
    <t/>
  </si>
  <si>
    <t>Company Profile and Contact</t>
  </si>
</sst>
</file>

<file path=xl/styles.xml><?xml version="1.0" encoding="utf-8"?>
<styleSheet xmlns="http://schemas.openxmlformats.org/spreadsheetml/2006/main" xmlns:mc="http://schemas.openxmlformats.org/markup-compatibility/2006" xmlns:x14ac="http://schemas.microsoft.com/office/spreadsheetml/2009/9/ac" mc:Ignorable="x14ac">
  <numFmts count="72">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_(* #,##0_);_(* \(#,##0\);_(* &quot;-&quot;??_);_(@_)"/>
    <numFmt numFmtId="169" formatCode="#,##0_-;\ \(#,##0\);_-* &quot;-&quot;??;_-@_-"/>
    <numFmt numFmtId="170" formatCode="&quot;Fail&quot;;&quot;Fail&quot;;&quot;Ok&quot;"/>
    <numFmt numFmtId="171" formatCode="_(* #,##0.0\x_);_(* \(#,##0.0\x\);_(* &quot;-&quot;??_);_(@_)"/>
    <numFmt numFmtId="172" formatCode="&quot;On&quot;;&quot;On&quot;;&quot;Off&quot;"/>
    <numFmt numFmtId="173" formatCode="_(* #,##0.00%_);_(* \(#,##0.00%\);_(* &quot;-&quot;??_);_(@_)"/>
    <numFmt numFmtId="174" formatCode="[$-407]d/\ mmm/\ yy;@"/>
    <numFmt numFmtId="175" formatCode="_(* #,##0%_);_(* \(#,##0%\);_(* &quot;-&quot;??_);_(@_)"/>
    <numFmt numFmtId="176" formatCode="&quot;$&quot;#,##0;[Red]\-&quot;$&quot;#,##0"/>
    <numFmt numFmtId="177" formatCode="_(* #,##0.0%_);_(* \(#,##0.0%\);_(* &quot;-&quot;??_);_(@_)"/>
    <numFmt numFmtId="178" formatCode="&quot;Yes&quot;;;&quot;No&quot;"/>
    <numFmt numFmtId="179" formatCode="_(* #,##0_);_(* \(#,##0\);_(* &quot;&quot;??_);_(@_)"/>
    <numFmt numFmtId="180" formatCode="_-* #,##0.0\ _€_-;\-* #,##0.0\ _€_-;_-* &quot;-&quot;??\ _€_-;_-@_-"/>
    <numFmt numFmtId="181" formatCode="_(* #,##0.0_);_(* \(#,##0.0\);_(* &quot;-&quot;??_);_(@_)"/>
    <numFmt numFmtId="182" formatCode="_-* #,##0.0\ _€_-;\-* #,##0.0\ _€_-;_-* &quot;-&quot;?\ _€_-;_-@_-"/>
    <numFmt numFmtId="183" formatCode="&quot;Q-&quot;0"/>
    <numFmt numFmtId="184" formatCode="&quot;Alert&quot;;&quot;Alert&quot;;&quot;Ok&quot;"/>
    <numFmt numFmtId="185" formatCode="_-* #,##0\ _€_-;\-* #,##0\ _€_-;_-* &quot;-&quot;?\ _€_-;_-@_-"/>
    <numFmt numFmtId="186" formatCode="0;\-0;&quot;&quot;"/>
    <numFmt numFmtId="187" formatCode="[$-C09]dd\-mmm\-yy;@"/>
    <numFmt numFmtId="188" formatCode="0.0000"/>
    <numFmt numFmtId="189" formatCode="&quot;Nein&quot;;&quot;Nein&quot;;&quot;Ja&quot;"/>
    <numFmt numFmtId="190" formatCode="0.0\ &quot;:1&quot;"/>
    <numFmt numFmtId="191" formatCode="&quot;Finanzplan-Tool v&quot;@"/>
    <numFmt numFmtId="192" formatCode="_(\ #,##0_);_(\ \(#,##0\);_(\ &quot;-&quot;??_);_(@_)"/>
    <numFmt numFmtId="193" formatCode="yyyy"/>
    <numFmt numFmtId="194" formatCode="&quot;Monat&quot;\ 0"/>
    <numFmt numFmtId="195" formatCode="dd/mm/"/>
    <numFmt numFmtId="196" formatCode="&quot;Fehler&quot;;;&quot;Ok&quot;"/>
    <numFmt numFmtId="197" formatCode="_(* #,##0.0000_);_(* \(#,##0.0000\);_(* &quot;-&quot;??_);_(@_)"/>
    <numFmt numFmtId="198" formatCode="0\ &quot;Mths&quot;"/>
    <numFmt numFmtId="199" formatCode="[$-809]dd/\ mm/\ yyyy;@"/>
    <numFmt numFmtId="200" formatCode="[$-809]dd\ mmm\ yy;@"/>
    <numFmt numFmtId="201" formatCode="&quot;Month&quot;\ 0"/>
    <numFmt numFmtId="202" formatCode="&quot;H&quot;0"/>
    <numFmt numFmtId="203" formatCode="&quot;Q&quot;0"/>
    <numFmt numFmtId="204" formatCode="_-* #,##0\ _€_-;\-* #,##0\ _€_-;_-* &quot;-&quot;??\ _€_-;_-@_-"/>
    <numFmt numFmtId="205" formatCode="0\ &quot;Month(s)&quot;"/>
    <numFmt numFmtId="206" formatCode="_(\ #,##0_);_(\ \(#,##0\);_(\ &quot;-&quot;_);_(@_)"/>
    <numFmt numFmtId="207" formatCode="&quot;Yes&quot;;&quot;Yes&quot;;&quot;No&quot;"/>
    <numFmt numFmtId="208" formatCode="[$-409]\ mmm\ yy;@"/>
    <numFmt numFmtId="209" formatCode="#,##0_ ;\-#,##0\ "/>
    <numFmt numFmtId="210" formatCode="0\ &quot;month(s)&quot;"/>
    <numFmt numFmtId="211" formatCode="_(\ #,##0.0%_);_(\ \(#,##0.0%\);_(\ &quot;-&quot;??_);_(@_)"/>
    <numFmt numFmtId="212" formatCode="0\ &quot;Year(s)&quot;"/>
    <numFmt numFmtId="213" formatCode="&quot;No&quot;;&quot;No&quot;;&quot;Yes&quot;"/>
    <numFmt numFmtId="214" formatCode="&quot;Notice&quot;;&quot;Notice&quot;;&quot;-&quot;"/>
    <numFmt numFmtId="215" formatCode="&quot;Year&quot;\ 0"/>
    <numFmt numFmtId="216" formatCode="_(* #,##0.00000_);_(* \(#,##0.00000\);_(* &quot;-&quot;??_);_(@_)"/>
    <numFmt numFmtId="217" formatCode="0.000"/>
    <numFmt numFmtId="218" formatCode="[$-809]dd\ mmmm\ yyyy;@"/>
    <numFmt numFmtId="219" formatCode="&quot;FY&quot;\ 0"/>
    <numFmt numFmtId="220" formatCode="&quot;Churned Users - Month&quot;\ 0"/>
    <numFmt numFmtId="221" formatCode="&quot;No of Users - Month&quot;\ 0"/>
    <numFmt numFmtId="222" formatCode="&quot;No of Upgrades - Month&quot;\ 0"/>
    <numFmt numFmtId="223" formatCode="0.0%\ &quot;share&quot;"/>
    <numFmt numFmtId="224" formatCode="&quot;on&quot;\ 0.0%\ &quot;of revenue&quot;"/>
    <numFmt numFmtId="225" formatCode="&quot;Customer upgrades - Month&quot;\ 0"/>
    <numFmt numFmtId="226" formatCode="0\ &quot;months&quot;"/>
    <numFmt numFmtId="227" formatCode="_(\ #,##0%_);_(\ \(#,##0%\);_(\ &quot;-&quot;??_);_(@_)"/>
    <numFmt numFmtId="228" formatCode="_(\ #,##0.0_);_(\ \(#,##0.0\);_(\ &quot;-&quot;??_);_(@_)"/>
    <numFmt numFmtId="229" formatCode="&quot;input as of&quot;\ [$-809]dd\ mmm\ yy;@"/>
    <numFmt numFmtId="230" formatCode="&quot;input from&quot;\ [$-809]dd\ mmm\ yy;@"/>
    <numFmt numFmtId="231" formatCode="&quot;Excel-Financial-Model  (v&quot;@&quot;)&quot;"/>
    <numFmt numFmtId="232" formatCode="&quot;ON&quot;;&quot;ON&quot;;&quot;Off&quot;"/>
    <numFmt numFmtId="233" formatCode="0\ &quot;day(s)&quot;"/>
    <numFmt numFmtId="234" formatCode="0.0&quot; x&quot;"/>
    <numFmt numFmtId="235" formatCode="&quot;Notice&quot;;&quot;Notice&quot;;&quot;OK&quot;"/>
  </numFmts>
  <fonts count="121">
    <font>
      <sz val="10"/>
      <color theme="1"/>
      <name val="Arial"/>
      <family val="2"/>
    </font>
    <font>
      <sz val="11"/>
      <color theme="1"/>
      <name val="Calibri"/>
      <family val="2"/>
      <scheme val="minor"/>
    </font>
    <font>
      <sz val="18"/>
      <name val="Arial"/>
      <family val="2"/>
    </font>
    <font>
      <b/>
      <sz val="11"/>
      <name val="Arial"/>
      <family val="2"/>
    </font>
    <font>
      <sz val="10"/>
      <color theme="1" tint="0.34998626667073579"/>
      <name val="Arial"/>
      <family val="2"/>
    </font>
    <font>
      <sz val="10"/>
      <name val="Arial"/>
      <family val="2"/>
    </font>
    <font>
      <sz val="10"/>
      <color theme="1" tint="0.499984740745262"/>
      <name val="Arial"/>
      <family val="2"/>
    </font>
    <font>
      <u/>
      <sz val="11"/>
      <name val="Arial"/>
      <family val="2"/>
    </font>
    <font>
      <sz val="10"/>
      <color theme="0"/>
      <name val="Arial"/>
      <family val="2"/>
    </font>
    <font>
      <sz val="10"/>
      <color rgb="FF974706"/>
      <name val="Arial"/>
      <family val="2"/>
    </font>
    <font>
      <sz val="10"/>
      <color theme="0" tint="-0.24994659260841701"/>
      <name val="Arial"/>
      <family val="2"/>
    </font>
    <font>
      <sz val="10"/>
      <color indexed="55"/>
      <name val="Arial"/>
      <family val="2"/>
    </font>
    <font>
      <sz val="10"/>
      <color theme="1" tint="0.34998626667073579"/>
      <name val="Wingdings 3"/>
      <family val="1"/>
      <charset val="2"/>
    </font>
    <font>
      <sz val="16"/>
      <color indexed="22"/>
      <name val="Arial"/>
      <family val="2"/>
    </font>
    <font>
      <sz val="10"/>
      <color indexed="55"/>
      <name val="Helvetica-Narrow"/>
      <family val="2"/>
    </font>
    <font>
      <b/>
      <u/>
      <sz val="10"/>
      <color indexed="56"/>
      <name val="Arial"/>
      <family val="2"/>
    </font>
    <font>
      <b/>
      <sz val="10"/>
      <name val="Arial"/>
      <family val="2"/>
    </font>
    <font>
      <sz val="9"/>
      <color theme="1"/>
      <name val="Arial"/>
      <family val="2"/>
    </font>
    <font>
      <sz val="10"/>
      <name val="Helvetica-Narrow"/>
      <family val="2"/>
    </font>
    <font>
      <b/>
      <sz val="16"/>
      <color indexed="9"/>
      <name val="Arial"/>
      <family val="2"/>
    </font>
    <font>
      <sz val="12"/>
      <color indexed="9"/>
      <name val="Arial"/>
      <family val="2"/>
    </font>
    <font>
      <b/>
      <sz val="10"/>
      <color theme="1"/>
      <name val="Arial"/>
      <family val="2"/>
    </font>
    <font>
      <sz val="14"/>
      <color indexed="9"/>
      <name val="Arial"/>
      <family val="2"/>
    </font>
    <font>
      <sz val="10"/>
      <color rgb="FFFF0000"/>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u/>
      <sz val="10"/>
      <color indexed="12"/>
      <name val="Arial"/>
      <family val="2"/>
    </font>
    <font>
      <b/>
      <sz val="12"/>
      <color indexed="9"/>
      <name val="Arial"/>
      <family val="2"/>
    </font>
    <font>
      <sz val="7.5"/>
      <color rgb="FF808080"/>
      <name val="Arial"/>
      <family val="2"/>
    </font>
    <font>
      <sz val="8"/>
      <name val="Arial"/>
      <family val="2"/>
    </font>
    <font>
      <sz val="10"/>
      <color indexed="22"/>
      <name val="Arial"/>
      <family val="2"/>
    </font>
    <font>
      <b/>
      <sz val="16"/>
      <name val="Helvetica-Narrow"/>
      <family val="2"/>
    </font>
    <font>
      <sz val="10"/>
      <color indexed="22"/>
      <name val="Helvetica-Narrow"/>
      <family val="2"/>
    </font>
    <font>
      <b/>
      <sz val="10"/>
      <name val="Helvetica-Narrow"/>
    </font>
    <font>
      <b/>
      <sz val="10"/>
      <name val="Helvetica-Narrow"/>
      <family val="2"/>
    </font>
    <font>
      <sz val="10"/>
      <color indexed="16"/>
      <name val="Arial"/>
      <family val="2"/>
    </font>
    <font>
      <u/>
      <sz val="10"/>
      <color theme="1"/>
      <name val="Arial"/>
      <family val="2"/>
    </font>
    <font>
      <u/>
      <sz val="10"/>
      <color theme="10"/>
      <name val="Arial"/>
      <family val="2"/>
    </font>
    <font>
      <sz val="22"/>
      <color theme="1"/>
      <name val="Calibri"/>
      <family val="2"/>
      <scheme val="minor"/>
    </font>
    <font>
      <sz val="11"/>
      <color theme="0" tint="-0.499984740745262"/>
      <name val="Calibri"/>
      <family val="2"/>
      <scheme val="minor"/>
    </font>
    <font>
      <b/>
      <sz val="22"/>
      <color theme="0"/>
      <name val="Calibri"/>
      <family val="2"/>
      <scheme val="minor"/>
    </font>
    <font>
      <b/>
      <sz val="11"/>
      <color rgb="FF313D72"/>
      <name val="Calibri"/>
      <family val="2"/>
      <scheme val="minor"/>
    </font>
    <font>
      <b/>
      <sz val="16"/>
      <color rgb="FF25346A"/>
      <name val="Arial"/>
      <family val="2"/>
    </font>
    <font>
      <b/>
      <sz val="8"/>
      <color indexed="81"/>
      <name val="Tahoma"/>
      <family val="2"/>
    </font>
    <font>
      <b/>
      <sz val="12"/>
      <name val="Arial"/>
      <family val="2"/>
    </font>
    <font>
      <sz val="8"/>
      <color indexed="81"/>
      <name val="Tahoma"/>
      <family val="2"/>
    </font>
    <font>
      <b/>
      <sz val="10"/>
      <color rgb="FFFF0000"/>
      <name val="Arial"/>
      <family val="2"/>
    </font>
    <font>
      <sz val="10"/>
      <color rgb="FF00B050"/>
      <name val="Arial"/>
      <family val="2"/>
    </font>
    <font>
      <b/>
      <sz val="12"/>
      <color indexed="8"/>
      <name val="Arial"/>
      <family val="2"/>
    </font>
    <font>
      <sz val="10"/>
      <color indexed="59"/>
      <name val="Arial"/>
      <family val="2"/>
    </font>
    <font>
      <b/>
      <sz val="16"/>
      <color indexed="12"/>
      <name val="Arial"/>
      <family val="2"/>
    </font>
    <font>
      <sz val="9"/>
      <name val="Arial"/>
      <family val="2"/>
    </font>
    <font>
      <sz val="10"/>
      <color theme="0" tint="-0.34998626667073579"/>
      <name val="Helvetica-Narrow"/>
      <family val="2"/>
    </font>
    <font>
      <sz val="10"/>
      <name val="Helvetica-Narrow"/>
    </font>
    <font>
      <sz val="10"/>
      <color theme="4" tint="-0.24994659260841701"/>
      <name val="Arial"/>
      <family val="2"/>
    </font>
    <font>
      <b/>
      <sz val="10"/>
      <color theme="1" tint="0.499984740745262"/>
      <name val="Arial"/>
      <family val="2"/>
    </font>
    <font>
      <i/>
      <sz val="10"/>
      <color theme="1"/>
      <name val="Arial"/>
      <family val="2"/>
    </font>
    <font>
      <i/>
      <sz val="10"/>
      <name val="Arial"/>
      <family val="2"/>
    </font>
    <font>
      <sz val="10"/>
      <color indexed="10"/>
      <name val="Arial"/>
      <family val="2"/>
    </font>
    <font>
      <sz val="12"/>
      <name val="Arial"/>
      <family val="2"/>
    </font>
    <font>
      <b/>
      <sz val="10"/>
      <color theme="0"/>
      <name val="Arial"/>
      <family val="2"/>
    </font>
    <font>
      <i/>
      <sz val="10"/>
      <name val="Helvetica-Narrow"/>
    </font>
    <font>
      <sz val="10"/>
      <color theme="1"/>
      <name val="Helvetica-Narrow"/>
      <family val="2"/>
    </font>
    <font>
      <sz val="11"/>
      <color theme="0"/>
      <name val="Arial"/>
      <family val="2"/>
    </font>
    <font>
      <b/>
      <sz val="20"/>
      <color rgb="FFFF0000"/>
      <name val="Calibri"/>
      <family val="2"/>
      <scheme val="minor"/>
    </font>
    <font>
      <sz val="20"/>
      <color theme="0" tint="-0.499984740745262"/>
      <name val="Calibri"/>
      <family val="2"/>
      <scheme val="minor"/>
    </font>
    <font>
      <b/>
      <sz val="12"/>
      <color rgb="FFFF0000"/>
      <name val="Arial"/>
      <family val="2"/>
    </font>
    <font>
      <sz val="8"/>
      <color theme="1"/>
      <name val="Arial"/>
      <family val="2"/>
    </font>
    <font>
      <i/>
      <sz val="10"/>
      <color theme="1"/>
      <name val="Calibri"/>
      <family val="2"/>
      <scheme val="minor"/>
    </font>
    <font>
      <i/>
      <sz val="10"/>
      <color rgb="FF0070C0"/>
      <name val="Arial"/>
      <family val="2"/>
    </font>
    <font>
      <b/>
      <sz val="12"/>
      <color theme="1"/>
      <name val="Arial"/>
      <family val="2"/>
    </font>
    <font>
      <sz val="12"/>
      <color theme="1"/>
      <name val="Arial"/>
      <family val="2"/>
    </font>
    <font>
      <b/>
      <sz val="10"/>
      <color rgb="FF000080"/>
      <name val="Arial"/>
      <family val="2"/>
    </font>
    <font>
      <sz val="9"/>
      <name val="Helvetica-Narrow"/>
      <family val="2"/>
    </font>
    <font>
      <sz val="9"/>
      <color rgb="FF00B050"/>
      <name val="Arial"/>
      <family val="2"/>
    </font>
    <font>
      <sz val="10"/>
      <color theme="0" tint="-4.9989318521683403E-2"/>
      <name val="Arial"/>
      <family val="2"/>
    </font>
    <font>
      <i/>
      <sz val="9"/>
      <color theme="1"/>
      <name val="Arial"/>
      <family val="2"/>
    </font>
    <font>
      <b/>
      <sz val="9"/>
      <name val="Arial"/>
      <family val="2"/>
    </font>
    <font>
      <b/>
      <sz val="9"/>
      <color theme="1"/>
      <name val="Arial"/>
      <family val="2"/>
    </font>
    <font>
      <sz val="10"/>
      <color indexed="21"/>
      <name val="Helvetica-Narrow"/>
      <family val="2"/>
    </font>
    <font>
      <sz val="9"/>
      <color rgb="FFFF0000"/>
      <name val="Arial"/>
      <family val="2"/>
    </font>
    <font>
      <sz val="8"/>
      <color indexed="81"/>
      <name val="Segoe UI"/>
      <family val="2"/>
    </font>
    <font>
      <b/>
      <sz val="8"/>
      <color indexed="81"/>
      <name val="Segoe UI"/>
      <family val="2"/>
    </font>
    <font>
      <sz val="10"/>
      <color rgb="FFFF0000"/>
      <name val="Helvetica-Narrow"/>
      <family val="2"/>
    </font>
    <font>
      <sz val="10"/>
      <name val="Calibri"/>
      <family val="2"/>
    </font>
    <font>
      <u/>
      <sz val="10"/>
      <color theme="11"/>
      <name val="Arial"/>
      <family val="2"/>
    </font>
    <font>
      <i/>
      <sz val="10"/>
      <color theme="4" tint="-0.24994659260841701"/>
      <name val="Arial"/>
      <family val="2"/>
    </font>
    <font>
      <sz val="18"/>
      <color rgb="FFFF0000"/>
      <name val="Arial"/>
      <family val="2"/>
    </font>
    <font>
      <sz val="10"/>
      <color theme="1"/>
      <name val="Airal"/>
    </font>
    <font>
      <sz val="11"/>
      <color theme="1"/>
      <name val="Airal"/>
    </font>
    <font>
      <b/>
      <sz val="20"/>
      <color theme="1"/>
      <name val="Arial"/>
      <family val="2"/>
    </font>
    <font>
      <sz val="14"/>
      <color theme="1"/>
      <name val="Arial"/>
      <family val="2"/>
    </font>
    <font>
      <sz val="22"/>
      <color theme="1"/>
      <name val="Arial"/>
      <family val="2"/>
    </font>
    <font>
      <b/>
      <sz val="22"/>
      <color theme="0" tint="-0.34998626667073579"/>
      <name val="Calibri"/>
      <family val="2"/>
      <scheme val="minor"/>
    </font>
    <font>
      <b/>
      <sz val="10"/>
      <color rgb="FFFF0000"/>
      <name val="Helvetica-Narrow"/>
    </font>
    <font>
      <b/>
      <sz val="20"/>
      <name val="Arial"/>
      <family val="2"/>
    </font>
    <font>
      <sz val="12"/>
      <color rgb="FFFF0000"/>
      <name val="Arial"/>
      <family val="2"/>
    </font>
    <font>
      <b/>
      <u/>
      <sz val="12"/>
      <color indexed="56"/>
      <name val="Arial"/>
      <family val="2"/>
    </font>
    <font>
      <b/>
      <sz val="20"/>
      <color indexed="9"/>
      <name val="Arial"/>
      <family val="2"/>
    </font>
    <font>
      <b/>
      <sz val="18"/>
      <color theme="0"/>
      <name val="Arial"/>
      <family val="2"/>
    </font>
    <font>
      <sz val="14"/>
      <color rgb="FFFFC000"/>
      <name val="Wingdings"/>
      <charset val="2"/>
    </font>
    <font>
      <sz val="14"/>
      <color rgb="FF92D050"/>
      <name val="Wingdings"/>
      <charset val="2"/>
    </font>
    <font>
      <sz val="14"/>
      <color rgb="FFFF0000"/>
      <name val="Wingdings"/>
      <charset val="2"/>
    </font>
    <font>
      <sz val="20"/>
      <color rgb="FFFF0000"/>
      <name val="Wingdings"/>
      <charset val="2"/>
    </font>
    <font>
      <sz val="20"/>
      <color rgb="FF92D050"/>
      <name val="Wingdings"/>
      <charset val="2"/>
    </font>
  </fonts>
  <fills count="62">
    <fill>
      <patternFill patternType="none"/>
    </fill>
    <fill>
      <patternFill patternType="gray125"/>
    </fill>
    <fill>
      <patternFill patternType="solid">
        <fgColor theme="0" tint="-0.14996795556505021"/>
        <bgColor indexed="64"/>
      </patternFill>
    </fill>
    <fill>
      <patternFill patternType="solid">
        <fgColor rgb="FFFFFFCC"/>
        <bgColor indexed="64"/>
      </patternFill>
    </fill>
    <fill>
      <patternFill patternType="mediumGray">
        <fgColor theme="1" tint="0.34998626667073579"/>
        <bgColor indexed="65"/>
      </patternFill>
    </fill>
    <fill>
      <patternFill patternType="lightUp">
        <fgColor theme="0" tint="-0.24994659260841701"/>
        <bgColor indexed="65"/>
      </patternFill>
    </fill>
    <fill>
      <patternFill patternType="lightUp">
        <fgColor indexed="23"/>
        <bgColor indexed="9"/>
      </patternFill>
    </fill>
    <fill>
      <patternFill patternType="solid">
        <fgColor indexed="9"/>
        <bgColor indexed="64"/>
      </patternFill>
    </fill>
    <fill>
      <patternFill patternType="solid">
        <fgColor theme="0"/>
        <bgColor indexed="64"/>
      </patternFill>
    </fill>
    <fill>
      <patternFill patternType="lightVertical">
        <fgColor theme="6" tint="0.39994506668294322"/>
        <bgColor indexed="9"/>
      </patternFill>
    </fill>
    <fill>
      <patternFill patternType="lightVertical">
        <fgColor rgb="FFFFC000"/>
        <bgColor indexed="9"/>
      </patternFill>
    </fill>
    <fill>
      <patternFill patternType="lightVertical">
        <fgColor rgb="FFC00000"/>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6337778862885"/>
        <bgColor indexed="64"/>
      </patternFill>
    </fill>
    <fill>
      <patternFill patternType="solid">
        <fgColor theme="0" tint="-0.249977111117893"/>
        <bgColor indexed="64"/>
      </patternFill>
    </fill>
    <fill>
      <patternFill patternType="solid">
        <fgColor rgb="FF313D72"/>
        <bgColor indexed="64"/>
      </patternFill>
    </fill>
    <fill>
      <patternFill patternType="solid">
        <fgColor rgb="FF25346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indexed="1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rgb="FFC00000"/>
        <bgColor indexed="64"/>
      </patternFill>
    </fill>
    <fill>
      <patternFill patternType="solid">
        <fgColor rgb="FF00B050"/>
        <bgColor indexed="64"/>
      </patternFill>
    </fill>
    <fill>
      <patternFill patternType="solid">
        <fgColor rgb="FFEAEAEA"/>
        <bgColor indexed="64"/>
      </patternFill>
    </fill>
  </fills>
  <borders count="162">
    <border>
      <left/>
      <right/>
      <top/>
      <bottom/>
      <diagonal/>
    </border>
    <border>
      <left/>
      <right/>
      <top/>
      <bottom style="medium">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dashed">
        <color theme="1" tint="0.34998626667073579"/>
      </top>
      <bottom/>
      <diagonal/>
    </border>
    <border>
      <left style="thin">
        <color auto="1"/>
      </left>
      <right style="thin">
        <color auto="1"/>
      </right>
      <top style="thin">
        <color auto="1"/>
      </top>
      <bottom style="thin">
        <color auto="1"/>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top style="thin">
        <color theme="1" tint="0.34998626667073579"/>
      </top>
      <bottom style="double">
        <color theme="1"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hair">
        <color auto="1"/>
      </left>
      <right style="hair">
        <color auto="1"/>
      </right>
      <top style="hair">
        <color auto="1"/>
      </top>
      <bottom style="hair">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auto="1"/>
      </bottom>
      <diagonal/>
    </border>
    <border>
      <left style="thin">
        <color rgb="FFC00000"/>
      </left>
      <right style="thin">
        <color rgb="FFC00000"/>
      </right>
      <top style="thin">
        <color rgb="FFC00000"/>
      </top>
      <bottom style="thin">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theme="1"/>
      </left>
      <right/>
      <top style="thin">
        <color theme="0"/>
      </top>
      <bottom style="thin">
        <color theme="0"/>
      </bottom>
      <diagonal/>
    </border>
    <border>
      <left/>
      <right/>
      <top style="thin">
        <color theme="0"/>
      </top>
      <bottom style="thin">
        <color theme="0"/>
      </bottom>
      <diagonal/>
    </border>
    <border>
      <left/>
      <right style="double">
        <color theme="1"/>
      </right>
      <top style="thin">
        <color theme="0"/>
      </top>
      <bottom style="thin">
        <color theme="0"/>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thin">
        <color indexed="64"/>
      </top>
      <bottom style="double">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1" tint="0.34998626667073579"/>
      </bottom>
      <diagonal/>
    </border>
    <border>
      <left/>
      <right style="thin">
        <color theme="0" tint="-0.499984740745262"/>
      </right>
      <top style="thin">
        <color theme="0" tint="-0.499984740745262"/>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theme="1" tint="0.34998626667073579"/>
      </right>
      <top style="thin">
        <color theme="1" tint="0.34998626667073579"/>
      </top>
      <bottom/>
      <diagonal/>
    </border>
    <border>
      <left style="hair">
        <color theme="1" tint="0.34998626667073579"/>
      </left>
      <right/>
      <top style="thin">
        <color theme="1" tint="0.34998626667073579"/>
      </top>
      <bottom/>
      <diagonal/>
    </border>
    <border>
      <left/>
      <right style="hair">
        <color theme="1" tint="0.34998626667073579"/>
      </right>
      <top/>
      <bottom/>
      <diagonal/>
    </border>
    <border>
      <left style="hair">
        <color theme="1" tint="0.34998626667073579"/>
      </left>
      <right/>
      <top/>
      <bottom/>
      <diagonal/>
    </border>
    <border>
      <left/>
      <right style="hair">
        <color theme="1" tint="0.34998626667073579"/>
      </right>
      <top style="thin">
        <color theme="1" tint="0.34998626667073579"/>
      </top>
      <bottom style="thin">
        <color theme="1" tint="0.34998626667073579"/>
      </bottom>
      <diagonal/>
    </border>
    <border>
      <left style="hair">
        <color theme="1" tint="0.34998626667073579"/>
      </left>
      <right/>
      <top style="thin">
        <color theme="1" tint="0.34998626667073579"/>
      </top>
      <bottom style="thin">
        <color theme="1" tint="0.34998626667073579"/>
      </bottom>
      <diagonal/>
    </border>
    <border>
      <left/>
      <right style="hair">
        <color theme="1" tint="0.34998626667073579"/>
      </right>
      <top style="thin">
        <color theme="1" tint="0.34998626667073579"/>
      </top>
      <bottom style="double">
        <color theme="1" tint="0.34998626667073579"/>
      </bottom>
      <diagonal/>
    </border>
    <border>
      <left style="hair">
        <color theme="1" tint="0.34998626667073579"/>
      </left>
      <right/>
      <top style="thin">
        <color theme="1" tint="0.34998626667073579"/>
      </top>
      <bottom style="double">
        <color theme="1" tint="0.34998626667073579"/>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double">
        <color theme="1" tint="0.34998626667073579"/>
      </bottom>
      <diagonal/>
    </border>
    <border>
      <left/>
      <right style="hair">
        <color theme="1" tint="0.34998626667073579"/>
      </right>
      <top style="dashed">
        <color theme="1" tint="0.34998626667073579"/>
      </top>
      <bottom/>
      <diagonal/>
    </border>
    <border>
      <left style="hair">
        <color theme="1" tint="0.34998626667073579"/>
      </left>
      <right/>
      <top style="dashed">
        <color theme="1" tint="0.34998626667073579"/>
      </top>
      <bottom/>
      <diagonal/>
    </border>
    <border>
      <left style="hair">
        <color theme="1" tint="0.34998626667073579"/>
      </left>
      <right style="hair">
        <color theme="1" tint="0.34998626667073579"/>
      </right>
      <top style="dashed">
        <color theme="1" tint="0.34998626667073579"/>
      </top>
      <bottom/>
      <diagonal/>
    </border>
    <border>
      <left style="thin">
        <color auto="1"/>
      </left>
      <right/>
      <top/>
      <bottom/>
      <diagonal/>
    </border>
    <border>
      <left/>
      <right/>
      <top style="medium">
        <color auto="1"/>
      </top>
      <bottom/>
      <diagonal/>
    </border>
    <border>
      <left/>
      <right style="dotted">
        <color indexed="64"/>
      </right>
      <top style="thin">
        <color indexed="64"/>
      </top>
      <bottom/>
      <diagonal/>
    </border>
    <border>
      <left/>
      <right/>
      <top style="thin">
        <color indexed="64"/>
      </top>
      <bottom/>
      <diagonal/>
    </border>
    <border>
      <left/>
      <right style="dotted">
        <color indexed="64"/>
      </right>
      <top/>
      <bottom/>
      <diagonal/>
    </border>
    <border>
      <left/>
      <right style="dotted">
        <color indexed="64"/>
      </right>
      <top style="thin">
        <color indexed="64"/>
      </top>
      <bottom style="double">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C00000"/>
      </right>
      <top style="thin">
        <color rgb="FFC00000"/>
      </top>
      <bottom style="thin">
        <color rgb="FFC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25346A"/>
      </left>
      <right/>
      <top style="medium">
        <color rgb="FF25346A"/>
      </top>
      <bottom/>
      <diagonal/>
    </border>
    <border>
      <left/>
      <right/>
      <top style="medium">
        <color rgb="FF25346A"/>
      </top>
      <bottom/>
      <diagonal/>
    </border>
    <border>
      <left/>
      <right style="medium">
        <color rgb="FF25346A"/>
      </right>
      <top style="medium">
        <color rgb="FF25346A"/>
      </top>
      <bottom/>
      <diagonal/>
    </border>
    <border>
      <left style="medium">
        <color rgb="FF25346A"/>
      </left>
      <right/>
      <top/>
      <bottom/>
      <diagonal/>
    </border>
    <border>
      <left/>
      <right style="medium">
        <color rgb="FF25346A"/>
      </right>
      <top/>
      <bottom/>
      <diagonal/>
    </border>
    <border>
      <left style="medium">
        <color rgb="FF25346A"/>
      </left>
      <right/>
      <top/>
      <bottom style="medium">
        <color rgb="FF25346A"/>
      </bottom>
      <diagonal/>
    </border>
    <border>
      <left/>
      <right/>
      <top/>
      <bottom style="medium">
        <color rgb="FF25346A"/>
      </bottom>
      <diagonal/>
    </border>
    <border>
      <left/>
      <right style="medium">
        <color rgb="FF25346A"/>
      </right>
      <top/>
      <bottom style="medium">
        <color rgb="FF25346A"/>
      </bottom>
      <diagonal/>
    </border>
    <border>
      <left style="medium">
        <color rgb="FF25346A"/>
      </left>
      <right/>
      <top style="medium">
        <color rgb="FF25346A"/>
      </top>
      <bottom style="medium">
        <color rgb="FF25346A"/>
      </bottom>
      <diagonal/>
    </border>
    <border>
      <left/>
      <right/>
      <top style="medium">
        <color rgb="FF25346A"/>
      </top>
      <bottom style="medium">
        <color rgb="FF25346A"/>
      </bottom>
      <diagonal/>
    </border>
    <border>
      <left/>
      <right style="medium">
        <color rgb="FF25346A"/>
      </right>
      <top style="medium">
        <color rgb="FF25346A"/>
      </top>
      <bottom style="medium">
        <color rgb="FF25346A"/>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style="double">
        <color indexed="64"/>
      </top>
      <bottom style="thin">
        <color theme="1" tint="0.34998626667073579"/>
      </bottom>
      <diagonal/>
    </border>
    <border>
      <left style="thin">
        <color indexed="55"/>
      </left>
      <right style="thin">
        <color indexed="55"/>
      </right>
      <top style="thin">
        <color indexed="55"/>
      </top>
      <bottom style="thin">
        <color indexed="55"/>
      </bottom>
      <diagonal/>
    </border>
    <border>
      <left/>
      <right style="dotted">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indexed="55"/>
      </left>
      <right/>
      <top style="thin">
        <color indexed="55"/>
      </top>
      <bottom style="thin">
        <color indexed="55"/>
      </bottom>
      <diagonal/>
    </border>
    <border>
      <left/>
      <right style="medium">
        <color auto="1"/>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dotted">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hair">
        <color theme="1" tint="0.34998626667073579"/>
      </right>
      <top/>
      <bottom style="thin">
        <color auto="1"/>
      </bottom>
      <diagonal/>
    </border>
    <border>
      <left style="hair">
        <color theme="1" tint="0.34998626667073579"/>
      </left>
      <right/>
      <top/>
      <bottom style="thin">
        <color auto="1"/>
      </bottom>
      <diagonal/>
    </border>
    <border>
      <left style="hair">
        <color theme="1" tint="0.34998626667073579"/>
      </left>
      <right style="hair">
        <color theme="1" tint="0.34998626667073579"/>
      </right>
      <top/>
      <bottom style="thin">
        <color auto="1"/>
      </bottom>
      <diagonal/>
    </border>
    <border>
      <left/>
      <right style="hair">
        <color theme="1" tint="0.34998626667073579"/>
      </right>
      <top style="thin">
        <color auto="1"/>
      </top>
      <bottom/>
      <diagonal/>
    </border>
    <border>
      <left style="hair">
        <color theme="1" tint="0.34998626667073579"/>
      </left>
      <right/>
      <top style="thin">
        <color auto="1"/>
      </top>
      <bottom/>
      <diagonal/>
    </border>
    <border>
      <left style="hair">
        <color theme="1" tint="0.34998626667073579"/>
      </left>
      <right style="hair">
        <color theme="1" tint="0.34998626667073579"/>
      </right>
      <top style="thin">
        <color auto="1"/>
      </top>
      <bottom/>
      <diagonal/>
    </border>
    <border>
      <left/>
      <right style="hair">
        <color theme="1" tint="0.34998626667073579"/>
      </right>
      <top style="thin">
        <color indexed="64"/>
      </top>
      <bottom style="double">
        <color indexed="64"/>
      </bottom>
      <diagonal/>
    </border>
    <border>
      <left style="hair">
        <color theme="1" tint="0.34998626667073579"/>
      </left>
      <right/>
      <top style="thin">
        <color indexed="64"/>
      </top>
      <bottom style="double">
        <color indexed="64"/>
      </bottom>
      <diagonal/>
    </border>
    <border>
      <left style="hair">
        <color theme="1" tint="0.34998626667073579"/>
      </left>
      <right style="hair">
        <color theme="1" tint="0.34998626667073579"/>
      </right>
      <top style="thin">
        <color indexed="64"/>
      </top>
      <bottom style="double">
        <color indexed="64"/>
      </bottom>
      <diagonal/>
    </border>
    <border>
      <left style="thin">
        <color theme="0" tint="-0.499984740745262"/>
      </left>
      <right style="thin">
        <color theme="0" tint="-0.499984740745262"/>
      </right>
      <top/>
      <bottom style="thin">
        <color theme="0" tint="-0.499984740745262"/>
      </bottom>
      <diagonal/>
    </border>
    <border>
      <left style="thin">
        <color auto="1"/>
      </left>
      <right style="thin">
        <color auto="1"/>
      </right>
      <top/>
      <bottom style="thin">
        <color auto="1"/>
      </bottom>
      <diagonal/>
    </border>
    <border>
      <left style="thin">
        <color theme="0" tint="-0.24994659260841701"/>
      </left>
      <right/>
      <top style="thin">
        <color auto="1"/>
      </top>
      <bottom style="thin">
        <color theme="0" tint="-0.24994659260841701"/>
      </bottom>
      <diagonal/>
    </border>
    <border>
      <left/>
      <right/>
      <top style="thin">
        <color auto="1"/>
      </top>
      <bottom style="thin">
        <color theme="0" tint="-0.24994659260841701"/>
      </bottom>
      <diagonal/>
    </border>
    <border>
      <left/>
      <right style="medium">
        <color auto="1"/>
      </right>
      <top style="thin">
        <color auto="1"/>
      </top>
      <bottom style="thin">
        <color theme="0" tint="-0.2499465926084170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rgb="FFFF0000"/>
      </left>
      <right style="thin">
        <color rgb="FFFF0000"/>
      </right>
      <top style="thin">
        <color rgb="FFFF0000"/>
      </top>
      <bottom style="thin">
        <color rgb="FFFF0000"/>
      </bottom>
      <diagonal/>
    </border>
    <border>
      <left style="thick">
        <color theme="0" tint="-4.9989318521683403E-2"/>
      </left>
      <right/>
      <top style="thick">
        <color theme="0" tint="-4.9989318521683403E-2"/>
      </top>
      <bottom style="thick">
        <color theme="0" tint="-4.9989318521683403E-2"/>
      </bottom>
      <diagonal/>
    </border>
    <border>
      <left/>
      <right/>
      <top style="thick">
        <color theme="0" tint="-4.9989318521683403E-2"/>
      </top>
      <bottom style="thick">
        <color theme="0" tint="-4.9989318521683403E-2"/>
      </bottom>
      <diagonal/>
    </border>
    <border>
      <left/>
      <right style="thick">
        <color theme="0" tint="-4.9989318521683403E-2"/>
      </right>
      <top style="thick">
        <color theme="0" tint="-4.9989318521683403E-2"/>
      </top>
      <bottom style="thick">
        <color theme="0" tint="-4.9989318521683403E-2"/>
      </bottom>
      <diagonal/>
    </border>
    <border>
      <left style="thick">
        <color theme="0" tint="-4.9989318521683403E-2"/>
      </left>
      <right/>
      <top style="thick">
        <color theme="0" tint="-4.9989318521683403E-2"/>
      </top>
      <bottom/>
      <diagonal/>
    </border>
    <border>
      <left style="thin">
        <color indexed="64"/>
      </left>
      <right style="thin">
        <color indexed="64"/>
      </right>
      <top style="thin">
        <color indexed="64"/>
      </top>
      <bottom style="thin">
        <color indexed="64"/>
      </bottom>
      <diagonal/>
    </border>
    <border>
      <left style="thick">
        <color theme="0"/>
      </left>
      <right/>
      <top style="thick">
        <color theme="0" tint="-4.9989318521683403E-2"/>
      </top>
      <bottom style="thin">
        <color auto="1"/>
      </bottom>
      <diagonal/>
    </border>
    <border>
      <left/>
      <right/>
      <top style="thick">
        <color theme="0" tint="-4.9989318521683403E-2"/>
      </top>
      <bottom style="thin">
        <color auto="1"/>
      </bottom>
      <diagonal/>
    </border>
    <border>
      <left/>
      <right style="thick">
        <color theme="0" tint="-4.9989318521683403E-2"/>
      </right>
      <top style="thick">
        <color theme="0" tint="-4.9989318521683403E-2"/>
      </top>
      <bottom style="thin">
        <color auto="1"/>
      </bottom>
      <diagonal/>
    </border>
    <border>
      <left style="thick">
        <color theme="0" tint="-4.9989318521683403E-2"/>
      </left>
      <right/>
      <top/>
      <bottom/>
      <diagonal/>
    </border>
    <border>
      <left style="thick">
        <color theme="0"/>
      </left>
      <right/>
      <top/>
      <bottom/>
      <diagonal/>
    </border>
    <border>
      <left/>
      <right style="thick">
        <color theme="0" tint="-4.9989318521683403E-2"/>
      </right>
      <top/>
      <bottom/>
      <diagonal/>
    </border>
    <border>
      <left style="thick">
        <color theme="0"/>
      </left>
      <right/>
      <top style="thick">
        <color theme="0"/>
      </top>
      <bottom style="thin">
        <color auto="1"/>
      </bottom>
      <diagonal/>
    </border>
    <border>
      <left/>
      <right/>
      <top style="thick">
        <color theme="0"/>
      </top>
      <bottom style="thin">
        <color auto="1"/>
      </bottom>
      <diagonal/>
    </border>
    <border>
      <left/>
      <right style="thick">
        <color theme="0" tint="-4.9989318521683403E-2"/>
      </right>
      <top style="thick">
        <color theme="0"/>
      </top>
      <bottom style="thin">
        <color auto="1"/>
      </bottom>
      <diagonal/>
    </border>
    <border>
      <left style="thick">
        <color theme="0" tint="-4.9989318521683403E-2"/>
      </left>
      <right/>
      <top/>
      <bottom style="thick">
        <color theme="0" tint="-4.9989318521683403E-2"/>
      </bottom>
      <diagonal/>
    </border>
    <border>
      <left style="thick">
        <color theme="0"/>
      </left>
      <right/>
      <top/>
      <bottom style="thick">
        <color theme="0" tint="-4.9989318521683403E-2"/>
      </bottom>
      <diagonal/>
    </border>
    <border>
      <left/>
      <right/>
      <top/>
      <bottom style="thick">
        <color theme="0" tint="-4.9989318521683403E-2"/>
      </bottom>
      <diagonal/>
    </border>
    <border>
      <left/>
      <right style="thick">
        <color theme="0" tint="-4.9989318521683403E-2"/>
      </right>
      <top/>
      <bottom style="thick">
        <color theme="0" tint="-4.9989318521683403E-2"/>
      </bottom>
      <diagonal/>
    </border>
  </borders>
  <cellStyleXfs count="98">
    <xf numFmtId="0" fontId="0" fillId="0" borderId="0">
      <alignment vertical="center"/>
    </xf>
    <xf numFmtId="0" fontId="2" fillId="0" borderId="1" applyNumberFormat="0">
      <alignment vertical="center"/>
    </xf>
    <xf numFmtId="0" fontId="58" fillId="0" borderId="0" applyNumberFormat="0" applyFill="0" applyBorder="0">
      <alignment vertical="center"/>
    </xf>
    <xf numFmtId="0" fontId="3" fillId="0" borderId="0" applyNumberFormat="0" applyFill="0" applyBorder="0">
      <alignment vertical="center"/>
    </xf>
    <xf numFmtId="0" fontId="4" fillId="2" borderId="2" applyNumberFormat="0">
      <alignment vertical="center"/>
    </xf>
    <xf numFmtId="0" fontId="5" fillId="2" borderId="2" applyNumberFormat="0" applyProtection="0">
      <alignment vertical="center"/>
    </xf>
    <xf numFmtId="0" fontId="4" fillId="0" borderId="0" applyNumberFormat="0" applyFill="0" applyBorder="0">
      <alignment vertical="center"/>
    </xf>
    <xf numFmtId="0" fontId="7" fillId="0" borderId="0" applyNumberFormat="0" applyFill="0" applyBorder="0">
      <alignment vertical="center"/>
    </xf>
    <xf numFmtId="0" fontId="5" fillId="0" borderId="3" applyNumberFormat="0" applyFont="0" applyFill="0" applyProtection="0">
      <alignment vertical="center"/>
    </xf>
    <xf numFmtId="0" fontId="8" fillId="51" borderId="4" applyNumberFormat="0">
      <alignment horizontal="centerContinuous" vertical="center" wrapText="1"/>
    </xf>
    <xf numFmtId="0" fontId="5" fillId="0" borderId="5" applyNumberFormat="0" applyFont="0" applyFill="0" applyAlignment="0" applyProtection="0"/>
    <xf numFmtId="0" fontId="5" fillId="0" borderId="6" applyNumberFormat="0" applyFont="0" applyFill="0" applyAlignment="0" applyProtection="0"/>
    <xf numFmtId="0" fontId="5" fillId="0" borderId="7" applyNumberFormat="0" applyFont="0" applyFill="0" applyAlignment="0" applyProtection="0"/>
    <xf numFmtId="0" fontId="5" fillId="0" borderId="2" applyNumberFormat="0">
      <alignment vertical="center"/>
    </xf>
    <xf numFmtId="171" fontId="5" fillId="0" borderId="0" applyFont="0" applyFill="0" applyBorder="0" applyProtection="0">
      <alignment vertical="center"/>
    </xf>
    <xf numFmtId="0" fontId="9" fillId="2" borderId="2" applyNumberFormat="0">
      <alignment vertical="center"/>
    </xf>
    <xf numFmtId="0" fontId="5" fillId="3" borderId="2" applyNumberFormat="0">
      <alignment vertical="center"/>
    </xf>
    <xf numFmtId="0" fontId="5" fillId="4" borderId="2" applyNumberFormat="0" applyFont="0" applyAlignment="0"/>
    <xf numFmtId="169" fontId="10" fillId="5" borderId="8">
      <alignment vertical="center"/>
    </xf>
    <xf numFmtId="170" fontId="63" fillId="0" borderId="2">
      <alignment horizontal="center"/>
    </xf>
    <xf numFmtId="0" fontId="21" fillId="10" borderId="12">
      <alignment horizontal="center" vertical="center"/>
    </xf>
    <xf numFmtId="0" fontId="70" fillId="3" borderId="11" applyNumberFormat="0" applyAlignment="0">
      <alignment vertical="center"/>
    </xf>
    <xf numFmtId="0" fontId="19" fillId="51" borderId="0">
      <alignment vertical="center"/>
    </xf>
    <xf numFmtId="0" fontId="22" fillId="51" borderId="0">
      <alignment vertical="center"/>
    </xf>
    <xf numFmtId="0" fontId="20" fillId="51" borderId="0">
      <alignment vertical="center"/>
    </xf>
    <xf numFmtId="0" fontId="21" fillId="9" borderId="12">
      <alignment horizontal="center" vertical="center"/>
    </xf>
    <xf numFmtId="0" fontId="21" fillId="11" borderId="12">
      <alignment horizontal="center" vertical="center"/>
    </xf>
    <xf numFmtId="0" fontId="70" fillId="46" borderId="12" applyNumberFormat="0" applyProtection="0">
      <alignment vertical="center"/>
    </xf>
    <xf numFmtId="164" fontId="24"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5" fillId="0" borderId="0" applyNumberFormat="0" applyFill="0" applyBorder="0" applyAlignment="0" applyProtection="0"/>
    <xf numFmtId="0" fontId="26" fillId="0" borderId="13"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2" fillId="15" borderId="16" applyNumberFormat="0" applyAlignment="0" applyProtection="0"/>
    <xf numFmtId="0" fontId="33" fillId="16" borderId="17" applyNumberFormat="0" applyAlignment="0" applyProtection="0"/>
    <xf numFmtId="0" fontId="34" fillId="16" borderId="16" applyNumberFormat="0" applyAlignment="0" applyProtection="0"/>
    <xf numFmtId="0" fontId="35" fillId="0" borderId="18" applyNumberFormat="0" applyFill="0" applyAlignment="0" applyProtection="0"/>
    <xf numFmtId="0" fontId="36" fillId="17" borderId="19" applyNumberFormat="0" applyAlignment="0" applyProtection="0"/>
    <xf numFmtId="0" fontId="37" fillId="0" borderId="0" applyNumberFormat="0" applyFill="0" applyBorder="0" applyAlignment="0" applyProtection="0"/>
    <xf numFmtId="0" fontId="24" fillId="18" borderId="20" applyNumberFormat="0" applyFont="0" applyAlignment="0" applyProtection="0"/>
    <xf numFmtId="0" fontId="38" fillId="0" borderId="0" applyNumberFormat="0" applyFill="0" applyBorder="0" applyAlignment="0" applyProtection="0"/>
    <xf numFmtId="0" fontId="39" fillId="0" borderId="21" applyNumberFormat="0" applyFill="0" applyAlignment="0" applyProtection="0"/>
    <xf numFmtId="0" fontId="4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40" fillId="42" borderId="0" applyNumberFormat="0" applyBorder="0" applyAlignment="0" applyProtection="0"/>
    <xf numFmtId="172" fontId="14" fillId="0" borderId="10">
      <alignment horizontal="center"/>
      <protection locked="0"/>
    </xf>
    <xf numFmtId="0" fontId="41" fillId="45" borderId="0" applyNumberFormat="0" applyProtection="0">
      <alignment horizontal="left"/>
    </xf>
    <xf numFmtId="173" fontId="18" fillId="0" borderId="0" applyFill="0" applyBorder="0" applyAlignment="0" applyProtection="0"/>
    <xf numFmtId="0" fontId="41" fillId="45" borderId="0" applyNumberFormat="0" applyProtection="0">
      <alignment horizontal="left"/>
    </xf>
    <xf numFmtId="175" fontId="18" fillId="0" borderId="0" applyFont="0" applyFill="0" applyBorder="0" applyAlignment="0" applyProtection="0"/>
    <xf numFmtId="168" fontId="24" fillId="0" borderId="0" applyFont="0" applyFill="0" applyBorder="0" applyProtection="0">
      <alignment vertical="center"/>
    </xf>
    <xf numFmtId="168" fontId="5" fillId="0" borderId="0" applyFont="0" applyFill="0" applyBorder="0" applyAlignment="0" applyProtection="0"/>
    <xf numFmtId="181" fontId="51" fillId="48" borderId="32">
      <alignment vertical="center"/>
    </xf>
    <xf numFmtId="200" fontId="5" fillId="8" borderId="0" applyFont="0" applyFill="0" applyBorder="0" applyProtection="0">
      <alignment horizontal="center" vertical="center"/>
    </xf>
    <xf numFmtId="0" fontId="53" fillId="0" borderId="0" applyNumberFormat="0" applyFill="0" applyBorder="0" applyAlignment="0" applyProtection="0"/>
    <xf numFmtId="184" fontId="4" fillId="52" borderId="2">
      <alignment horizontal="center"/>
    </xf>
    <xf numFmtId="164" fontId="5" fillId="0" borderId="0" applyFont="0" applyFill="0" applyBorder="0" applyAlignment="0" applyProtection="0"/>
    <xf numFmtId="0" fontId="95" fillId="53" borderId="0" applyBorder="0">
      <alignment vertical="center"/>
    </xf>
    <xf numFmtId="196" fontId="14" fillId="0" borderId="104">
      <alignment horizontal="center"/>
    </xf>
    <xf numFmtId="0" fontId="70" fillId="46" borderId="12" applyNumberFormat="0" applyProtection="0">
      <alignment vertical="center"/>
    </xf>
    <xf numFmtId="0" fontId="15" fillId="0" borderId="0" applyNumberFormat="0">
      <alignment vertical="center"/>
    </xf>
    <xf numFmtId="199" fontId="5" fillId="8" borderId="0" applyFont="0" applyFill="0" applyBorder="0" applyProtection="0">
      <alignment horizontal="center" vertical="center"/>
    </xf>
    <xf numFmtId="0" fontId="101" fillId="0" borderId="0" applyNumberFormat="0" applyFill="0" applyBorder="0" applyAlignment="0" applyProtection="0">
      <alignment vertical="center"/>
    </xf>
    <xf numFmtId="0" fontId="3" fillId="0" borderId="0" applyNumberFormat="0" applyFill="0" applyBorder="0" applyAlignment="0"/>
    <xf numFmtId="0" fontId="5" fillId="4" borderId="2" applyNumberFormat="0" applyFont="0" applyAlignment="0"/>
    <xf numFmtId="0" fontId="53" fillId="0" borderId="0" applyNumberFormat="0" applyFill="0" applyBorder="0" applyAlignment="0" applyProtection="0">
      <alignment vertical="center"/>
    </xf>
    <xf numFmtId="0" fontId="19" fillId="51" borderId="0"/>
    <xf numFmtId="0" fontId="58" fillId="0" borderId="0" applyNumberFormat="0" applyFill="0" applyBorder="0" applyAlignment="0"/>
    <xf numFmtId="0" fontId="8" fillId="51" borderId="148" applyNumberFormat="0">
      <alignment horizontal="centerContinuous" vertical="center" wrapText="1"/>
    </xf>
  </cellStyleXfs>
  <cellXfs count="1157">
    <xf numFmtId="0" fontId="0" fillId="0" borderId="0" xfId="0">
      <alignment vertical="center"/>
    </xf>
    <xf numFmtId="0" fontId="2" fillId="0" borderId="1" xfId="1">
      <alignment vertical="center"/>
    </xf>
    <xf numFmtId="0" fontId="58" fillId="0" borderId="0" xfId="2">
      <alignment vertical="center"/>
    </xf>
    <xf numFmtId="0" fontId="3" fillId="0" borderId="0" xfId="3">
      <alignment vertical="center"/>
    </xf>
    <xf numFmtId="0" fontId="0" fillId="0" borderId="0" xfId="0" applyAlignment="1">
      <alignment horizontal="right"/>
    </xf>
    <xf numFmtId="0" fontId="4" fillId="2" borderId="2" xfId="4" applyAlignment="1">
      <alignment horizontal="right"/>
    </xf>
    <xf numFmtId="168" fontId="4" fillId="2" borderId="2" xfId="4" applyNumberFormat="1" applyAlignment="1">
      <alignment horizontal="right"/>
    </xf>
    <xf numFmtId="0" fontId="5" fillId="2" borderId="2" xfId="5">
      <alignment vertical="center"/>
    </xf>
    <xf numFmtId="0" fontId="4" fillId="0" borderId="0" xfId="6">
      <alignment vertical="center"/>
    </xf>
    <xf numFmtId="0" fontId="7" fillId="0" borderId="0" xfId="7">
      <alignment vertical="center"/>
    </xf>
    <xf numFmtId="0" fontId="0" fillId="0" borderId="3" xfId="8" applyFont="1">
      <alignment vertical="center"/>
    </xf>
    <xf numFmtId="0" fontId="8" fillId="51" borderId="4" xfId="9">
      <alignment horizontal="centerContinuous" vertical="center" wrapText="1"/>
    </xf>
    <xf numFmtId="0" fontId="0" fillId="0" borderId="5" xfId="10" applyFont="1"/>
    <xf numFmtId="0" fontId="0" fillId="0" borderId="6" xfId="11" applyFont="1"/>
    <xf numFmtId="0" fontId="0" fillId="0" borderId="7" xfId="12" applyFont="1"/>
    <xf numFmtId="0" fontId="5" fillId="0" borderId="2" xfId="13">
      <alignment vertical="center"/>
    </xf>
    <xf numFmtId="171" fontId="0" fillId="0" borderId="0" xfId="14" applyFont="1">
      <alignment vertical="center"/>
    </xf>
    <xf numFmtId="0" fontId="9" fillId="2" borderId="2" xfId="15">
      <alignment vertical="center"/>
    </xf>
    <xf numFmtId="0" fontId="0" fillId="3" borderId="2" xfId="16" applyFont="1">
      <alignment vertical="center"/>
    </xf>
    <xf numFmtId="0" fontId="4" fillId="2" borderId="2" xfId="4">
      <alignment vertical="center"/>
    </xf>
    <xf numFmtId="0" fontId="0" fillId="0" borderId="0" xfId="0">
      <alignment vertical="center"/>
    </xf>
    <xf numFmtId="0" fontId="0" fillId="4" borderId="2" xfId="17" applyFont="1"/>
    <xf numFmtId="169" fontId="10" fillId="5" borderId="8" xfId="18">
      <alignment vertical="center"/>
    </xf>
    <xf numFmtId="0" fontId="21" fillId="10" borderId="12" xfId="20">
      <alignment horizontal="center" vertical="center"/>
    </xf>
    <xf numFmtId="0" fontId="5" fillId="0" borderId="0" xfId="0" applyFont="1">
      <alignment vertical="center"/>
    </xf>
    <xf numFmtId="0" fontId="11" fillId="0" borderId="0" xfId="6" applyFont="1">
      <alignment vertical="center"/>
    </xf>
    <xf numFmtId="0" fontId="4" fillId="2" borderId="2" xfId="4" applyAlignment="1">
      <alignment horizontal="center"/>
    </xf>
    <xf numFmtId="2" fontId="4" fillId="2" borderId="2" xfId="4" applyNumberFormat="1" applyAlignment="1">
      <alignment horizontal="center"/>
    </xf>
    <xf numFmtId="2" fontId="12" fillId="2" borderId="2" xfId="4" applyNumberFormat="1" applyFont="1" applyAlignment="1">
      <alignment horizontal="center"/>
    </xf>
    <xf numFmtId="169" fontId="10" fillId="6" borderId="9" xfId="18" applyFill="1" applyBorder="1">
      <alignment vertical="center"/>
    </xf>
    <xf numFmtId="169" fontId="10" fillId="6" borderId="8" xfId="18" applyFill="1">
      <alignment vertical="center"/>
    </xf>
    <xf numFmtId="0" fontId="13" fillId="0" borderId="0" xfId="0" applyFont="1" applyAlignment="1">
      <alignment horizontal="center" vertical="center"/>
    </xf>
    <xf numFmtId="0" fontId="0" fillId="0" borderId="0" xfId="0" quotePrefix="1" applyAlignment="1">
      <alignment horizontal="center"/>
    </xf>
    <xf numFmtId="0" fontId="0" fillId="0" borderId="0" xfId="0" applyAlignment="1">
      <alignment horizontal="center"/>
    </xf>
    <xf numFmtId="0" fontId="15" fillId="0" borderId="0" xfId="75" applyFont="1" applyFill="1" applyAlignment="1">
      <alignment vertical="center"/>
    </xf>
    <xf numFmtId="0" fontId="17" fillId="3" borderId="11" xfId="21" applyFont="1" applyAlignment="1">
      <alignment horizontal="center" vertical="center"/>
    </xf>
    <xf numFmtId="0" fontId="18" fillId="8" borderId="0" xfId="0" applyFont="1" applyFill="1">
      <alignment vertical="center"/>
    </xf>
    <xf numFmtId="0" fontId="0" fillId="0" borderId="0" xfId="0">
      <alignment vertical="center"/>
    </xf>
    <xf numFmtId="0" fontId="2" fillId="0" borderId="1" xfId="1" applyAlignment="1">
      <alignment horizontal="left"/>
    </xf>
    <xf numFmtId="0" fontId="0" fillId="0" borderId="0" xfId="0">
      <alignment vertical="center"/>
    </xf>
    <xf numFmtId="0" fontId="18" fillId="0" borderId="0" xfId="0" applyFont="1">
      <alignment vertical="center"/>
    </xf>
    <xf numFmtId="0" fontId="19" fillId="51" borderId="0" xfId="22">
      <alignment vertical="center"/>
    </xf>
    <xf numFmtId="0" fontId="22" fillId="51" borderId="0" xfId="23">
      <alignment vertical="center"/>
    </xf>
    <xf numFmtId="0" fontId="20" fillId="51" borderId="0" xfId="24">
      <alignment vertical="center"/>
    </xf>
    <xf numFmtId="0" fontId="21" fillId="9" borderId="12" xfId="25">
      <alignment horizontal="center" vertical="center"/>
    </xf>
    <xf numFmtId="0" fontId="21" fillId="11" borderId="12" xfId="26">
      <alignment horizontal="center" vertical="center"/>
    </xf>
    <xf numFmtId="0" fontId="70" fillId="46" borderId="12" xfId="27">
      <alignment vertical="center"/>
    </xf>
    <xf numFmtId="0" fontId="0" fillId="0" borderId="0" xfId="0">
      <alignment vertical="center"/>
    </xf>
    <xf numFmtId="0" fontId="0" fillId="0" borderId="0" xfId="0" applyFill="1" applyBorder="1">
      <alignment vertical="center"/>
    </xf>
    <xf numFmtId="0" fontId="0" fillId="43" borderId="0" xfId="0" applyNumberFormat="1" applyFill="1" applyAlignment="1"/>
    <xf numFmtId="0" fontId="0" fillId="43" borderId="0" xfId="0" applyNumberFormat="1" applyFill="1" applyBorder="1" applyAlignment="1"/>
    <xf numFmtId="0" fontId="0" fillId="44" borderId="0" xfId="0" applyNumberFormat="1" applyFill="1" applyBorder="1" applyAlignment="1"/>
    <xf numFmtId="0" fontId="5" fillId="7" borderId="22" xfId="0" applyNumberFormat="1" applyFont="1" applyFill="1" applyBorder="1" applyAlignment="1"/>
    <xf numFmtId="0" fontId="5" fillId="7" borderId="23" xfId="0" applyNumberFormat="1" applyFont="1" applyFill="1" applyBorder="1" applyAlignment="1"/>
    <xf numFmtId="0" fontId="5" fillId="7" borderId="24" xfId="0" applyNumberFormat="1" applyFont="1" applyFill="1" applyBorder="1" applyAlignment="1"/>
    <xf numFmtId="0" fontId="5" fillId="7" borderId="25" xfId="0" applyNumberFormat="1" applyFont="1" applyFill="1" applyBorder="1" applyAlignment="1"/>
    <xf numFmtId="0" fontId="5" fillId="7" borderId="26" xfId="0" applyNumberFormat="1" applyFont="1" applyFill="1" applyBorder="1" applyAlignment="1"/>
    <xf numFmtId="0" fontId="42" fillId="44" borderId="0" xfId="0" applyFont="1" applyFill="1" applyBorder="1" applyAlignment="1" applyProtection="1"/>
    <xf numFmtId="0" fontId="5" fillId="7" borderId="0" xfId="0" applyNumberFormat="1" applyFont="1" applyFill="1" applyBorder="1" applyAlignment="1"/>
    <xf numFmtId="0" fontId="16" fillId="7" borderId="0" xfId="0" applyNumberFormat="1" applyFont="1" applyFill="1" applyBorder="1" applyAlignment="1"/>
    <xf numFmtId="0" fontId="5" fillId="8" borderId="0" xfId="0" applyNumberFormat="1" applyFont="1" applyFill="1" applyBorder="1" applyAlignment="1"/>
    <xf numFmtId="0" fontId="0" fillId="8" borderId="0" xfId="0" applyFill="1" applyBorder="1">
      <alignment vertical="center"/>
    </xf>
    <xf numFmtId="0" fontId="0" fillId="8" borderId="0" xfId="0" applyFill="1" applyBorder="1" applyAlignment="1">
      <alignment horizontal="right"/>
    </xf>
    <xf numFmtId="0" fontId="5" fillId="7" borderId="27" xfId="0" applyNumberFormat="1" applyFont="1" applyFill="1" applyBorder="1" applyAlignment="1"/>
    <xf numFmtId="0" fontId="46" fillId="43" borderId="0" xfId="0" applyNumberFormat="1" applyFont="1" applyFill="1" applyAlignment="1"/>
    <xf numFmtId="0" fontId="8" fillId="51" borderId="30" xfId="9" applyBorder="1">
      <alignment horizontal="centerContinuous" vertical="center" wrapText="1"/>
    </xf>
    <xf numFmtId="0" fontId="21" fillId="0" borderId="0" xfId="0" applyFont="1">
      <alignment vertical="center"/>
    </xf>
    <xf numFmtId="0" fontId="18" fillId="7" borderId="0" xfId="0" applyFont="1" applyFill="1" applyBorder="1" applyAlignment="1">
      <alignment horizontal="right"/>
    </xf>
    <xf numFmtId="0" fontId="5" fillId="0" borderId="0" xfId="0" applyFont="1" applyAlignment="1"/>
    <xf numFmtId="0" fontId="5" fillId="0" borderId="2" xfId="13" applyAlignment="1">
      <alignment horizontal="center"/>
    </xf>
    <xf numFmtId="168" fontId="5" fillId="0" borderId="2" xfId="13" applyNumberFormat="1">
      <alignment vertical="center"/>
    </xf>
    <xf numFmtId="168" fontId="5" fillId="2" borderId="2" xfId="5" applyNumberFormat="1">
      <alignment vertical="center"/>
    </xf>
    <xf numFmtId="0" fontId="0" fillId="0" borderId="0" xfId="0">
      <alignment vertical="center"/>
    </xf>
    <xf numFmtId="176" fontId="4" fillId="0" borderId="0" xfId="6" applyNumberFormat="1" applyAlignment="1">
      <alignment horizontal="left"/>
    </xf>
    <xf numFmtId="176" fontId="4" fillId="0" borderId="0" xfId="6" applyNumberFormat="1">
      <alignment vertical="center"/>
    </xf>
    <xf numFmtId="0" fontId="49" fillId="0" borderId="0" xfId="0" applyFont="1">
      <alignment vertical="center"/>
    </xf>
    <xf numFmtId="0" fontId="0" fillId="0" borderId="0" xfId="0">
      <alignment vertical="center"/>
    </xf>
    <xf numFmtId="0" fontId="0" fillId="0" borderId="0" xfId="0">
      <alignment vertical="center"/>
    </xf>
    <xf numFmtId="0" fontId="0" fillId="0" borderId="0" xfId="0" quotePrefix="1">
      <alignment vertical="center"/>
    </xf>
    <xf numFmtId="168" fontId="0" fillId="0" borderId="0" xfId="79" applyFont="1">
      <alignment vertical="center"/>
    </xf>
    <xf numFmtId="168" fontId="0" fillId="8" borderId="0" xfId="0" applyNumberFormat="1" applyFill="1">
      <alignment vertical="center"/>
    </xf>
    <xf numFmtId="175" fontId="0" fillId="0" borderId="0" xfId="78" applyFont="1"/>
    <xf numFmtId="0" fontId="0" fillId="0" borderId="0" xfId="0">
      <alignment vertical="center"/>
    </xf>
    <xf numFmtId="164" fontId="0" fillId="4" borderId="2" xfId="17" applyNumberFormat="1" applyFont="1"/>
    <xf numFmtId="177" fontId="9" fillId="2" borderId="2" xfId="15" applyNumberFormat="1">
      <alignment vertical="center"/>
    </xf>
    <xf numFmtId="168" fontId="0" fillId="0" borderId="0" xfId="0" applyNumberFormat="1">
      <alignment vertical="center"/>
    </xf>
    <xf numFmtId="0" fontId="5" fillId="0" borderId="0" xfId="0" applyFont="1" applyFill="1" applyBorder="1">
      <alignment vertical="center"/>
    </xf>
    <xf numFmtId="0" fontId="0" fillId="0" borderId="0" xfId="0">
      <alignment vertical="center"/>
    </xf>
    <xf numFmtId="0" fontId="0" fillId="0" borderId="0" xfId="0">
      <alignment vertical="center"/>
    </xf>
    <xf numFmtId="181" fontId="51" fillId="48" borderId="32" xfId="81">
      <alignment vertical="center"/>
    </xf>
    <xf numFmtId="171" fontId="8" fillId="51" borderId="4" xfId="9" applyNumberFormat="1">
      <alignment horizontal="centerContinuous" vertical="center" wrapText="1"/>
    </xf>
    <xf numFmtId="0" fontId="0" fillId="0" borderId="0" xfId="0" applyBorder="1">
      <alignment vertical="center"/>
    </xf>
    <xf numFmtId="0" fontId="5" fillId="0" borderId="0" xfId="0" applyFont="1" applyBorder="1">
      <alignment vertical="center"/>
    </xf>
    <xf numFmtId="0" fontId="0" fillId="49" borderId="0" xfId="0" applyFill="1">
      <alignment vertical="center"/>
    </xf>
    <xf numFmtId="0" fontId="0" fillId="8" borderId="33" xfId="0" applyFill="1" applyBorder="1">
      <alignment vertical="center"/>
    </xf>
    <xf numFmtId="0" fontId="0" fillId="8" borderId="34" xfId="0" applyFill="1" applyBorder="1">
      <alignment vertical="center"/>
    </xf>
    <xf numFmtId="0" fontId="0" fillId="8" borderId="35" xfId="0" applyFill="1" applyBorder="1">
      <alignment vertical="center"/>
    </xf>
    <xf numFmtId="0" fontId="0" fillId="8" borderId="36" xfId="0" applyFill="1" applyBorder="1">
      <alignment vertical="center"/>
    </xf>
    <xf numFmtId="0" fontId="0" fillId="8" borderId="37" xfId="0" applyFill="1" applyBorder="1">
      <alignment vertical="center"/>
    </xf>
    <xf numFmtId="0" fontId="54" fillId="8" borderId="0" xfId="0" applyFont="1" applyFill="1" applyBorder="1">
      <alignment vertical="center"/>
    </xf>
    <xf numFmtId="0" fontId="0" fillId="50" borderId="38" xfId="0" applyFill="1" applyBorder="1">
      <alignment vertical="center"/>
    </xf>
    <xf numFmtId="0" fontId="0" fillId="50" borderId="39" xfId="0" applyFill="1" applyBorder="1">
      <alignment vertical="center"/>
    </xf>
    <xf numFmtId="0" fontId="0" fillId="50" borderId="40" xfId="0" applyFill="1" applyBorder="1">
      <alignment vertical="center"/>
    </xf>
    <xf numFmtId="0" fontId="55" fillId="0" borderId="0" xfId="0" applyFont="1" applyBorder="1">
      <alignment vertical="center"/>
    </xf>
    <xf numFmtId="0" fontId="56" fillId="50" borderId="39" xfId="0" applyFont="1" applyFill="1" applyBorder="1">
      <alignment vertical="center"/>
    </xf>
    <xf numFmtId="0" fontId="39" fillId="50" borderId="39" xfId="0" applyFont="1" applyFill="1" applyBorder="1">
      <alignment vertical="center"/>
    </xf>
    <xf numFmtId="0" fontId="0" fillId="8" borderId="36" xfId="0" applyFont="1" applyFill="1" applyBorder="1">
      <alignment vertical="center"/>
    </xf>
    <xf numFmtId="0" fontId="57" fillId="0" borderId="0" xfId="0" applyFont="1" applyBorder="1">
      <alignment vertical="center"/>
    </xf>
    <xf numFmtId="0" fontId="0" fillId="0" borderId="0" xfId="0" applyFont="1" applyBorder="1">
      <alignment vertical="center"/>
    </xf>
    <xf numFmtId="0" fontId="0" fillId="0" borderId="0" xfId="0" applyFont="1">
      <alignment vertical="center"/>
    </xf>
    <xf numFmtId="0" fontId="55" fillId="0" borderId="0" xfId="0" applyFont="1" applyBorder="1" applyAlignment="1">
      <alignment horizontal="right"/>
    </xf>
    <xf numFmtId="0" fontId="0" fillId="8" borderId="41" xfId="0" applyFill="1" applyBorder="1">
      <alignment vertical="center"/>
    </xf>
    <xf numFmtId="0" fontId="0" fillId="8" borderId="42" xfId="0" applyFill="1" applyBorder="1">
      <alignment vertical="center"/>
    </xf>
    <xf numFmtId="0" fontId="0" fillId="8" borderId="43" xfId="0" applyFill="1" applyBorder="1">
      <alignment vertical="center"/>
    </xf>
    <xf numFmtId="173" fontId="9" fillId="2" borderId="2" xfId="78" applyNumberFormat="1" applyFont="1" applyFill="1" applyBorder="1"/>
    <xf numFmtId="0" fontId="0" fillId="0" borderId="0" xfId="0">
      <alignment vertical="center"/>
    </xf>
    <xf numFmtId="0" fontId="0" fillId="0" borderId="0" xfId="0">
      <alignment vertical="center"/>
    </xf>
    <xf numFmtId="0" fontId="0" fillId="0" borderId="0" xfId="0">
      <alignment vertical="center"/>
    </xf>
    <xf numFmtId="10" fontId="5" fillId="0" borderId="2" xfId="13" applyNumberFormat="1">
      <alignment vertical="center"/>
    </xf>
    <xf numFmtId="0" fontId="48" fillId="0" borderId="0" xfId="0" applyFont="1">
      <alignment vertical="center"/>
    </xf>
    <xf numFmtId="0" fontId="16" fillId="0" borderId="0" xfId="0" applyFont="1">
      <alignment vertical="center"/>
    </xf>
    <xf numFmtId="168" fontId="0" fillId="0" borderId="0" xfId="0" applyNumberFormat="1" applyBorder="1">
      <alignment vertical="center"/>
    </xf>
    <xf numFmtId="181" fontId="65" fillId="4" borderId="2" xfId="17" applyNumberFormat="1" applyFont="1"/>
    <xf numFmtId="0" fontId="67" fillId="0" borderId="0" xfId="0" applyFont="1">
      <alignment vertical="center"/>
    </xf>
    <xf numFmtId="0" fontId="18" fillId="4" borderId="2" xfId="17" applyFont="1"/>
    <xf numFmtId="0" fontId="0" fillId="8" borderId="0" xfId="0" applyFill="1">
      <alignment vertical="center"/>
    </xf>
    <xf numFmtId="181" fontId="8" fillId="51" borderId="4" xfId="9" applyNumberFormat="1">
      <alignment horizontal="centerContinuous" vertical="center" wrapText="1"/>
    </xf>
    <xf numFmtId="0" fontId="18" fillId="47" borderId="0" xfId="0" applyFont="1" applyFill="1">
      <alignment vertical="center"/>
    </xf>
    <xf numFmtId="0" fontId="0" fillId="0" borderId="0" xfId="0">
      <alignment vertical="center"/>
    </xf>
    <xf numFmtId="168" fontId="18" fillId="0" borderId="0" xfId="79" applyNumberFormat="1" applyFont="1">
      <alignment vertical="center"/>
    </xf>
    <xf numFmtId="0" fontId="72" fillId="0" borderId="0" xfId="0" applyFont="1">
      <alignment vertical="center"/>
    </xf>
    <xf numFmtId="0" fontId="3" fillId="3" borderId="0" xfId="3" applyFill="1">
      <alignment vertical="center"/>
    </xf>
    <xf numFmtId="0" fontId="0" fillId="3" borderId="0" xfId="0" applyFill="1">
      <alignment vertical="center"/>
    </xf>
    <xf numFmtId="0" fontId="21" fillId="3" borderId="0" xfId="0" applyFont="1" applyFill="1">
      <alignment vertical="center"/>
    </xf>
    <xf numFmtId="176" fontId="4" fillId="0" borderId="0" xfId="6" applyNumberFormat="1" applyAlignment="1">
      <alignment horizontal="center"/>
    </xf>
    <xf numFmtId="0" fontId="0" fillId="0" borderId="26" xfId="0" applyBorder="1">
      <alignment vertical="center"/>
    </xf>
    <xf numFmtId="0" fontId="0" fillId="0" borderId="28" xfId="0" applyBorder="1">
      <alignment vertical="center"/>
    </xf>
    <xf numFmtId="0" fontId="0" fillId="0" borderId="29" xfId="0" applyBorder="1">
      <alignment vertical="center"/>
    </xf>
    <xf numFmtId="168" fontId="0" fillId="0" borderId="0" xfId="0" applyNumberFormat="1">
      <alignment vertical="center"/>
    </xf>
    <xf numFmtId="168" fontId="0" fillId="0" borderId="0" xfId="79" applyNumberFormat="1" applyFont="1">
      <alignment vertical="center"/>
    </xf>
    <xf numFmtId="168" fontId="0" fillId="46" borderId="0" xfId="0" applyNumberFormat="1" applyFill="1">
      <alignment vertical="center"/>
    </xf>
    <xf numFmtId="168" fontId="0" fillId="8" borderId="0" xfId="79" applyNumberFormat="1" applyFont="1" applyFill="1">
      <alignment vertical="center"/>
    </xf>
    <xf numFmtId="168" fontId="21" fillId="3" borderId="6" xfId="11" applyNumberFormat="1" applyFont="1" applyFill="1"/>
    <xf numFmtId="168" fontId="0" fillId="8" borderId="7" xfId="12" applyNumberFormat="1" applyFont="1" applyFill="1"/>
    <xf numFmtId="168" fontId="9" fillId="2" borderId="2" xfId="15" applyNumberFormat="1">
      <alignment vertical="center"/>
    </xf>
    <xf numFmtId="0" fontId="75" fillId="0" borderId="1" xfId="1" applyFont="1" applyAlignment="1">
      <alignment horizontal="left"/>
    </xf>
    <xf numFmtId="0" fontId="2" fillId="8" borderId="1" xfId="1" applyFill="1" applyAlignment="1">
      <alignment horizontal="left"/>
    </xf>
    <xf numFmtId="168" fontId="0" fillId="3" borderId="3" xfId="8" applyNumberFormat="1" applyFont="1" applyFill="1">
      <alignment vertical="center"/>
    </xf>
    <xf numFmtId="168" fontId="21" fillId="3" borderId="3" xfId="8" applyNumberFormat="1" applyFont="1" applyFill="1">
      <alignment vertical="center"/>
    </xf>
    <xf numFmtId="0" fontId="0" fillId="46" borderId="0" xfId="0" applyFill="1">
      <alignment vertical="center"/>
    </xf>
    <xf numFmtId="188" fontId="0" fillId="0" borderId="0" xfId="0" applyNumberFormat="1">
      <alignment vertical="center"/>
    </xf>
    <xf numFmtId="0" fontId="5" fillId="0" borderId="0" xfId="0" applyFont="1" applyAlignment="1">
      <alignment horizontal="right"/>
    </xf>
    <xf numFmtId="183" fontId="76" fillId="51" borderId="4" xfId="9" applyNumberFormat="1" applyFont="1" applyAlignment="1">
      <alignment horizontal="center" vertical="center" wrapText="1"/>
    </xf>
    <xf numFmtId="183" fontId="76" fillId="51" borderId="52" xfId="9" applyNumberFormat="1" applyFont="1" applyBorder="1" applyAlignment="1">
      <alignment horizontal="center" vertical="center" wrapText="1"/>
    </xf>
    <xf numFmtId="0" fontId="0" fillId="0" borderId="54" xfId="0" applyBorder="1">
      <alignment vertical="center"/>
    </xf>
    <xf numFmtId="0" fontId="0" fillId="0" borderId="55" xfId="0" applyBorder="1">
      <alignment vertical="center"/>
    </xf>
    <xf numFmtId="168" fontId="0" fillId="0" borderId="56" xfId="79" applyNumberFormat="1" applyFont="1" applyBorder="1">
      <alignment vertical="center"/>
    </xf>
    <xf numFmtId="168" fontId="0" fillId="0" borderId="57" xfId="79" applyNumberFormat="1" applyFont="1" applyBorder="1">
      <alignment vertical="center"/>
    </xf>
    <xf numFmtId="168" fontId="21" fillId="3" borderId="58" xfId="11" applyNumberFormat="1" applyFont="1" applyFill="1" applyBorder="1"/>
    <xf numFmtId="168" fontId="21" fillId="3" borderId="59" xfId="11" applyNumberFormat="1" applyFont="1" applyFill="1" applyBorder="1"/>
    <xf numFmtId="0" fontId="0" fillId="0" borderId="56" xfId="0" applyBorder="1">
      <alignment vertical="center"/>
    </xf>
    <xf numFmtId="0" fontId="0" fillId="0" borderId="57" xfId="0" applyBorder="1">
      <alignment vertical="center"/>
    </xf>
    <xf numFmtId="168" fontId="0" fillId="8" borderId="56" xfId="79" applyNumberFormat="1" applyFont="1" applyFill="1" applyBorder="1">
      <alignment vertical="center"/>
    </xf>
    <xf numFmtId="168" fontId="0" fillId="8" borderId="57" xfId="79" applyNumberFormat="1" applyFont="1" applyFill="1" applyBorder="1">
      <alignment vertical="center"/>
    </xf>
    <xf numFmtId="0" fontId="0" fillId="0" borderId="62" xfId="0" applyBorder="1">
      <alignment vertical="center"/>
    </xf>
    <xf numFmtId="168" fontId="0" fillId="0" borderId="63" xfId="79" applyNumberFormat="1" applyFont="1" applyBorder="1">
      <alignment vertical="center"/>
    </xf>
    <xf numFmtId="168" fontId="21" fillId="3" borderId="64" xfId="11" applyNumberFormat="1" applyFont="1" applyFill="1" applyBorder="1"/>
    <xf numFmtId="0" fontId="0" fillId="0" borderId="63" xfId="0" applyBorder="1">
      <alignment vertical="center"/>
    </xf>
    <xf numFmtId="168" fontId="0" fillId="8" borderId="63" xfId="79" applyNumberFormat="1" applyFont="1" applyFill="1" applyBorder="1">
      <alignment vertical="center"/>
    </xf>
    <xf numFmtId="0" fontId="21" fillId="46" borderId="0" xfId="0" applyFont="1" applyFill="1" applyAlignment="1">
      <alignment horizontal="center" vertical="center"/>
    </xf>
    <xf numFmtId="0" fontId="76" fillId="51" borderId="51" xfId="9" applyFont="1" applyBorder="1" applyAlignment="1">
      <alignment horizontal="centerContinuous" vertical="center" wrapText="1"/>
    </xf>
    <xf numFmtId="0" fontId="76" fillId="51" borderId="53" xfId="9" applyFont="1" applyBorder="1" applyAlignment="1">
      <alignment horizontal="centerContinuous" vertical="center" wrapText="1"/>
    </xf>
    <xf numFmtId="0" fontId="0" fillId="46" borderId="0" xfId="0" applyFont="1" applyFill="1" applyAlignment="1">
      <alignment horizontal="center" vertical="center"/>
    </xf>
    <xf numFmtId="168" fontId="21" fillId="3" borderId="66" xfId="8" applyNumberFormat="1" applyFont="1" applyFill="1" applyBorder="1">
      <alignment vertical="center"/>
    </xf>
    <xf numFmtId="168" fontId="21" fillId="3" borderId="67" xfId="8" applyNumberFormat="1" applyFont="1" applyFill="1" applyBorder="1">
      <alignment vertical="center"/>
    </xf>
    <xf numFmtId="168" fontId="0" fillId="0" borderId="56" xfId="0" applyNumberFormat="1" applyBorder="1">
      <alignment vertical="center"/>
    </xf>
    <xf numFmtId="168" fontId="0" fillId="0" borderId="57" xfId="0" applyNumberFormat="1" applyBorder="1">
      <alignment vertical="center"/>
    </xf>
    <xf numFmtId="168" fontId="21" fillId="3" borderId="68" xfId="8" applyNumberFormat="1" applyFont="1" applyFill="1" applyBorder="1">
      <alignment vertical="center"/>
    </xf>
    <xf numFmtId="168" fontId="0" fillId="0" borderId="63" xfId="0" applyNumberFormat="1" applyBorder="1">
      <alignment vertical="center"/>
    </xf>
    <xf numFmtId="189" fontId="0" fillId="0" borderId="0" xfId="0" applyNumberFormat="1">
      <alignment vertical="center"/>
    </xf>
    <xf numFmtId="0" fontId="0" fillId="54" borderId="0" xfId="0" applyFill="1">
      <alignment vertical="center"/>
    </xf>
    <xf numFmtId="0" fontId="18" fillId="0" borderId="0" xfId="0" applyFont="1" applyAlignment="1">
      <alignment vertical="center"/>
    </xf>
    <xf numFmtId="0" fontId="3" fillId="0" borderId="0" xfId="3" applyAlignment="1">
      <alignment vertical="center"/>
    </xf>
    <xf numFmtId="0" fontId="0" fillId="0" borderId="0" xfId="0" applyAlignment="1">
      <alignment horizontal="right" vertical="center"/>
    </xf>
    <xf numFmtId="0" fontId="18" fillId="7" borderId="0" xfId="0" applyFont="1" applyFill="1" applyBorder="1" applyAlignment="1">
      <alignment vertical="center"/>
    </xf>
    <xf numFmtId="0" fontId="5" fillId="8" borderId="0" xfId="0" applyFont="1" applyFill="1" applyBorder="1" applyAlignment="1">
      <alignment horizontal="right" vertical="center"/>
    </xf>
    <xf numFmtId="0" fontId="18" fillId="54" borderId="0" xfId="0" applyFont="1" applyFill="1" applyAlignment="1">
      <alignment vertical="center"/>
    </xf>
    <xf numFmtId="0" fontId="0" fillId="54" borderId="0" xfId="0" applyFill="1" applyAlignment="1">
      <alignment vertical="center"/>
    </xf>
    <xf numFmtId="0" fontId="0" fillId="8" borderId="0" xfId="0" applyFill="1" applyAlignment="1">
      <alignment vertical="center"/>
    </xf>
    <xf numFmtId="0" fontId="19" fillId="51" borderId="0" xfId="22" applyAlignment="1">
      <alignment vertical="center"/>
    </xf>
    <xf numFmtId="0" fontId="58" fillId="0" borderId="0" xfId="2" applyAlignment="1">
      <alignment vertical="center"/>
    </xf>
    <xf numFmtId="0" fontId="72" fillId="0" borderId="0" xfId="0" applyFont="1" applyAlignment="1">
      <alignment vertical="center"/>
    </xf>
    <xf numFmtId="0" fontId="0" fillId="0" borderId="0" xfId="0" applyFont="1" applyAlignment="1">
      <alignment vertical="center"/>
    </xf>
    <xf numFmtId="0" fontId="5" fillId="8" borderId="0" xfId="0" applyFont="1" applyFill="1" applyBorder="1" applyAlignment="1">
      <alignment vertical="center"/>
    </xf>
    <xf numFmtId="0" fontId="0" fillId="8" borderId="0" xfId="0" applyFont="1" applyFill="1" applyBorder="1" applyAlignment="1">
      <alignment vertical="center"/>
    </xf>
    <xf numFmtId="0" fontId="21" fillId="54" borderId="0" xfId="0" applyFont="1" applyFill="1" applyAlignment="1">
      <alignment vertical="center"/>
    </xf>
    <xf numFmtId="168" fontId="0" fillId="0" borderId="0" xfId="79" applyNumberFormat="1" applyFont="1" applyAlignment="1">
      <alignment vertical="center"/>
    </xf>
    <xf numFmtId="0" fontId="21" fillId="3" borderId="44" xfId="0" applyFont="1" applyFill="1" applyBorder="1" applyAlignment="1">
      <alignment vertical="center"/>
    </xf>
    <xf numFmtId="0" fontId="0" fillId="3" borderId="44" xfId="0" applyFill="1" applyBorder="1" applyAlignment="1">
      <alignment vertical="center"/>
    </xf>
    <xf numFmtId="0" fontId="0" fillId="0" borderId="0" xfId="0">
      <alignment vertical="center"/>
    </xf>
    <xf numFmtId="0" fontId="0" fillId="0" borderId="1" xfId="0" applyBorder="1">
      <alignment vertical="center"/>
    </xf>
    <xf numFmtId="0" fontId="0" fillId="0" borderId="75" xfId="0" applyBorder="1" applyAlignment="1">
      <alignment vertical="center"/>
    </xf>
    <xf numFmtId="0" fontId="0" fillId="0" borderId="71" xfId="0" applyBorder="1" applyAlignment="1">
      <alignment vertical="center"/>
    </xf>
    <xf numFmtId="0" fontId="81" fillId="8" borderId="0" xfId="0" applyFont="1" applyFill="1" applyBorder="1">
      <alignment vertical="center"/>
    </xf>
    <xf numFmtId="0" fontId="0" fillId="0" borderId="78" xfId="0" applyBorder="1">
      <alignment vertical="center"/>
    </xf>
    <xf numFmtId="0" fontId="58" fillId="0" borderId="70" xfId="2" applyBorder="1">
      <alignment vertical="center"/>
    </xf>
    <xf numFmtId="0" fontId="0" fillId="0" borderId="70" xfId="0" applyBorder="1">
      <alignment vertical="center"/>
    </xf>
    <xf numFmtId="0" fontId="0" fillId="0" borderId="79" xfId="0" applyBorder="1">
      <alignment vertical="center"/>
    </xf>
    <xf numFmtId="0" fontId="0" fillId="0" borderId="80" xfId="0" applyBorder="1">
      <alignment vertical="center"/>
    </xf>
    <xf numFmtId="0" fontId="0" fillId="0" borderId="81" xfId="0" applyBorder="1">
      <alignment vertical="center"/>
    </xf>
    <xf numFmtId="181" fontId="51" fillId="48" borderId="82" xfId="81" applyBorder="1" applyAlignment="1">
      <alignment horizontal="right"/>
    </xf>
    <xf numFmtId="0" fontId="3" fillId="0" borderId="0" xfId="3" applyBorder="1">
      <alignment vertical="center"/>
    </xf>
    <xf numFmtId="168" fontId="5" fillId="0" borderId="2" xfId="13" applyNumberFormat="1" applyBorder="1">
      <alignment vertical="center"/>
    </xf>
    <xf numFmtId="0" fontId="0" fillId="8" borderId="81" xfId="0" applyFill="1" applyBorder="1">
      <alignment vertical="center"/>
    </xf>
    <xf numFmtId="0" fontId="0" fillId="0" borderId="83" xfId="0" applyBorder="1">
      <alignment vertical="center"/>
    </xf>
    <xf numFmtId="0" fontId="0" fillId="0" borderId="84" xfId="0" applyBorder="1">
      <alignment vertical="center"/>
    </xf>
    <xf numFmtId="0" fontId="5" fillId="7" borderId="69" xfId="0" applyNumberFormat="1" applyFont="1" applyFill="1" applyBorder="1" applyAlignment="1"/>
    <xf numFmtId="0" fontId="5" fillId="7" borderId="85" xfId="0" applyNumberFormat="1" applyFont="1" applyFill="1" applyBorder="1" applyAlignment="1"/>
    <xf numFmtId="0" fontId="5" fillId="7" borderId="86" xfId="0" applyNumberFormat="1" applyFont="1" applyFill="1" applyBorder="1" applyAlignment="1"/>
    <xf numFmtId="0" fontId="5" fillId="7" borderId="87" xfId="0" applyNumberFormat="1" applyFont="1" applyFill="1" applyBorder="1" applyAlignment="1"/>
    <xf numFmtId="0" fontId="5" fillId="7" borderId="88" xfId="0" applyNumberFormat="1" applyFont="1" applyFill="1" applyBorder="1" applyAlignment="1"/>
    <xf numFmtId="0" fontId="5" fillId="7" borderId="89" xfId="0" applyNumberFormat="1" applyFont="1" applyFill="1" applyBorder="1" applyAlignment="1"/>
    <xf numFmtId="0" fontId="5" fillId="7" borderId="90" xfId="0" applyNumberFormat="1" applyFont="1" applyFill="1" applyBorder="1" applyAlignment="1"/>
    <xf numFmtId="0" fontId="5" fillId="7" borderId="91" xfId="0" applyNumberFormat="1" applyFont="1" applyFill="1" applyBorder="1" applyAlignment="1"/>
    <xf numFmtId="0" fontId="5" fillId="7" borderId="92" xfId="0" applyNumberFormat="1" applyFont="1" applyFill="1" applyBorder="1" applyAlignment="1"/>
    <xf numFmtId="0" fontId="62" fillId="54" borderId="0" xfId="0" applyFont="1" applyFill="1">
      <alignment vertical="center"/>
    </xf>
    <xf numFmtId="0" fontId="42" fillId="44" borderId="0" xfId="0" applyFont="1" applyFill="1" applyBorder="1" applyAlignment="1" applyProtection="1"/>
    <xf numFmtId="0" fontId="0" fillId="0" borderId="0" xfId="0" applyAlignment="1" applyProtection="1">
      <alignment vertical="center"/>
    </xf>
    <xf numFmtId="0" fontId="19" fillId="51" borderId="0" xfId="22" applyProtection="1">
      <alignment vertical="center"/>
      <protection hidden="1"/>
    </xf>
    <xf numFmtId="0" fontId="0" fillId="0" borderId="0" xfId="0" applyProtection="1">
      <alignment vertical="center"/>
      <protection hidden="1"/>
    </xf>
    <xf numFmtId="168" fontId="18" fillId="8" borderId="0" xfId="79" applyNumberFormat="1" applyFont="1" applyFill="1">
      <alignment vertical="center"/>
    </xf>
    <xf numFmtId="0" fontId="0" fillId="0" borderId="98" xfId="0" applyBorder="1">
      <alignment vertical="center"/>
    </xf>
    <xf numFmtId="0" fontId="0" fillId="0" borderId="99" xfId="0" applyBorder="1">
      <alignment vertical="center"/>
    </xf>
    <xf numFmtId="0" fontId="0" fillId="0" borderId="0" xfId="0" quotePrefix="1" applyBorder="1">
      <alignment vertical="center"/>
    </xf>
    <xf numFmtId="0" fontId="23" fillId="0" borderId="0" xfId="0" applyFont="1" applyProtection="1">
      <alignment vertical="center"/>
      <protection hidden="1"/>
    </xf>
    <xf numFmtId="0" fontId="0" fillId="47" borderId="0" xfId="0" applyFill="1">
      <alignment vertical="center"/>
    </xf>
    <xf numFmtId="168" fontId="5" fillId="2" borderId="2" xfId="5" applyNumberFormat="1" applyAlignment="1">
      <alignment vertical="center"/>
    </xf>
    <xf numFmtId="168" fontId="0" fillId="8" borderId="0" xfId="79" applyNumberFormat="1" applyFont="1" applyFill="1" applyAlignment="1">
      <alignment vertical="center"/>
    </xf>
    <xf numFmtId="0" fontId="84" fillId="0" borderId="0" xfId="0" applyFont="1">
      <alignment vertical="center"/>
    </xf>
    <xf numFmtId="0" fontId="84" fillId="0" borderId="0" xfId="0" applyFont="1" applyAlignment="1">
      <alignment horizontal="right"/>
    </xf>
    <xf numFmtId="191" fontId="0" fillId="0" borderId="0" xfId="0" applyNumberFormat="1">
      <alignment vertical="center"/>
    </xf>
    <xf numFmtId="175" fontId="5" fillId="0" borderId="2" xfId="78" applyFont="1" applyBorder="1"/>
    <xf numFmtId="0" fontId="23" fillId="8" borderId="0" xfId="0" quotePrefix="1" applyNumberFormat="1" applyFont="1" applyFill="1" applyBorder="1" applyAlignment="1"/>
    <xf numFmtId="0" fontId="0" fillId="43" borderId="0" xfId="0" quotePrefix="1" applyNumberFormat="1" applyFill="1" applyBorder="1" applyAlignment="1"/>
    <xf numFmtId="0" fontId="21" fillId="43" borderId="0" xfId="0" quotePrefix="1" applyNumberFormat="1" applyFont="1" applyFill="1" applyBorder="1" applyAlignment="1"/>
    <xf numFmtId="0" fontId="0" fillId="0" borderId="0" xfId="0" applyAlignment="1">
      <alignment vertical="center"/>
    </xf>
    <xf numFmtId="0" fontId="19" fillId="51" borderId="0" xfId="22" applyAlignment="1">
      <alignment horizontal="right" vertical="center"/>
    </xf>
    <xf numFmtId="0" fontId="0" fillId="0" borderId="0" xfId="0" applyAlignment="1">
      <alignment vertical="center"/>
    </xf>
    <xf numFmtId="0" fontId="83" fillId="0" borderId="0" xfId="0" applyFont="1" applyAlignment="1">
      <alignment vertical="center"/>
    </xf>
    <xf numFmtId="0" fontId="18" fillId="8" borderId="0" xfId="0" applyFont="1" applyFill="1" applyAlignment="1">
      <alignment vertical="center"/>
    </xf>
    <xf numFmtId="0" fontId="47" fillId="7"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8" fontId="0" fillId="0" borderId="0" xfId="0" applyNumberFormat="1">
      <alignment vertical="center"/>
    </xf>
    <xf numFmtId="0" fontId="89" fillId="0" borderId="0" xfId="0" applyFont="1" applyAlignment="1">
      <alignment vertical="center"/>
    </xf>
    <xf numFmtId="0" fontId="17" fillId="0" borderId="0" xfId="0" applyFont="1" applyAlignment="1">
      <alignment vertical="center"/>
    </xf>
    <xf numFmtId="177" fontId="18" fillId="0" borderId="0" xfId="76" applyNumberFormat="1"/>
    <xf numFmtId="0" fontId="0" fillId="0" borderId="0" xfId="0" applyAlignment="1">
      <alignment vertical="center"/>
    </xf>
    <xf numFmtId="0" fontId="72" fillId="8" borderId="0" xfId="0" applyFont="1" applyFill="1">
      <alignment vertical="center"/>
    </xf>
    <xf numFmtId="0" fontId="5" fillId="0" borderId="0" xfId="3" applyFont="1" applyAlignment="1">
      <alignment vertical="center"/>
    </xf>
    <xf numFmtId="0" fontId="24" fillId="0" borderId="0" xfId="0" applyFont="1" applyAlignment="1">
      <alignment vertical="center"/>
    </xf>
    <xf numFmtId="0" fontId="0" fillId="0" borderId="0" xfId="0" applyFont="1" applyAlignment="1">
      <alignment horizontal="right" vertical="center"/>
    </xf>
    <xf numFmtId="0" fontId="49" fillId="8" borderId="0" xfId="0" applyFont="1" applyFill="1">
      <alignment vertical="center"/>
    </xf>
    <xf numFmtId="168" fontId="70" fillId="46" borderId="12" xfId="27" applyNumberFormat="1" applyProtection="1">
      <alignment vertical="center"/>
      <protection locked="0"/>
    </xf>
    <xf numFmtId="181" fontId="70" fillId="46" borderId="12" xfId="27" applyNumberFormat="1" applyProtection="1">
      <alignment vertical="center"/>
      <protection locked="0"/>
    </xf>
    <xf numFmtId="175" fontId="70" fillId="46" borderId="12" xfId="27" applyNumberFormat="1" applyProtection="1">
      <alignment vertical="center"/>
      <protection locked="0"/>
    </xf>
    <xf numFmtId="177" fontId="70" fillId="46" borderId="12" xfId="27" applyNumberFormat="1" applyProtection="1">
      <alignment vertical="center"/>
      <protection locked="0"/>
    </xf>
    <xf numFmtId="173" fontId="70" fillId="46" borderId="12" xfId="27" applyNumberFormat="1" applyProtection="1">
      <alignment vertical="center"/>
      <protection locked="0"/>
    </xf>
    <xf numFmtId="0" fontId="3" fillId="47" borderId="0" xfId="3" applyFill="1">
      <alignment vertical="center"/>
    </xf>
    <xf numFmtId="0" fontId="0" fillId="47" borderId="0" xfId="0" applyFill="1" applyAlignment="1">
      <alignment horizontal="right"/>
    </xf>
    <xf numFmtId="0" fontId="4" fillId="47" borderId="0" xfId="6" applyFill="1">
      <alignment vertical="center"/>
    </xf>
    <xf numFmtId="176" fontId="4" fillId="47" borderId="0" xfId="6" applyNumberFormat="1" applyFill="1" applyAlignment="1">
      <alignment horizontal="left"/>
    </xf>
    <xf numFmtId="0" fontId="0" fillId="47" borderId="0" xfId="0" applyFill="1" applyBorder="1">
      <alignment vertical="center"/>
    </xf>
    <xf numFmtId="0" fontId="23" fillId="47" borderId="0" xfId="0" applyFont="1" applyFill="1" applyAlignment="1">
      <alignment horizontal="left"/>
    </xf>
    <xf numFmtId="0" fontId="58" fillId="47" borderId="0" xfId="2" applyFill="1">
      <alignment vertical="center"/>
    </xf>
    <xf numFmtId="0" fontId="14" fillId="47" borderId="0" xfId="0" applyFont="1" applyFill="1" applyBorder="1">
      <alignment vertical="center"/>
    </xf>
    <xf numFmtId="0" fontId="18" fillId="47" borderId="0" xfId="0" applyFont="1" applyFill="1" applyBorder="1">
      <alignment vertical="center"/>
    </xf>
    <xf numFmtId="0" fontId="18" fillId="47" borderId="0" xfId="0" applyFont="1" applyFill="1" applyBorder="1" applyAlignment="1"/>
    <xf numFmtId="0" fontId="41" fillId="47" borderId="0" xfId="0" applyFont="1" applyFill="1" applyBorder="1" applyAlignment="1">
      <alignment horizontal="left"/>
    </xf>
    <xf numFmtId="0" fontId="14" fillId="47" borderId="0" xfId="0" applyFont="1" applyFill="1" applyBorder="1" applyAlignment="1"/>
    <xf numFmtId="0" fontId="47" fillId="47" borderId="0" xfId="0" applyFont="1" applyFill="1" applyBorder="1" applyAlignment="1"/>
    <xf numFmtId="0" fontId="18" fillId="47" borderId="0" xfId="0" applyFont="1" applyFill="1" applyBorder="1" applyAlignment="1">
      <alignment horizontal="right"/>
    </xf>
    <xf numFmtId="0" fontId="0" fillId="47" borderId="0" xfId="0" applyFill="1">
      <alignment vertical="center"/>
    </xf>
    <xf numFmtId="0" fontId="2" fillId="54" borderId="1" xfId="1" applyFill="1" applyAlignment="1">
      <alignment horizontal="left"/>
    </xf>
    <xf numFmtId="0" fontId="2" fillId="54" borderId="1" xfId="1" applyFill="1">
      <alignment vertical="center"/>
    </xf>
    <xf numFmtId="0" fontId="18" fillId="54" borderId="0" xfId="0" applyFont="1" applyFill="1">
      <alignment vertical="center"/>
    </xf>
    <xf numFmtId="0" fontId="3" fillId="54" borderId="0" xfId="3" applyFill="1">
      <alignment vertical="center"/>
    </xf>
    <xf numFmtId="0" fontId="15" fillId="54" borderId="0" xfId="75" applyFont="1" applyFill="1" applyAlignment="1">
      <alignment vertical="center"/>
    </xf>
    <xf numFmtId="0" fontId="0" fillId="54" borderId="0" xfId="0" applyFill="1">
      <alignment vertical="center"/>
    </xf>
    <xf numFmtId="0" fontId="14" fillId="54" borderId="0" xfId="0" applyFont="1" applyFill="1" applyBorder="1">
      <alignment vertical="center"/>
    </xf>
    <xf numFmtId="0" fontId="5" fillId="54" borderId="0" xfId="0" applyFont="1" applyFill="1" applyAlignment="1"/>
    <xf numFmtId="0" fontId="77" fillId="54" borderId="0" xfId="0" applyFont="1" applyFill="1" applyAlignment="1"/>
    <xf numFmtId="0" fontId="47" fillId="54" borderId="0" xfId="0" applyFont="1" applyFill="1" applyBorder="1" applyAlignment="1"/>
    <xf numFmtId="0" fontId="58" fillId="54" borderId="0" xfId="2" applyFill="1">
      <alignment vertical="center"/>
    </xf>
    <xf numFmtId="0" fontId="71" fillId="54" borderId="0" xfId="6" applyFont="1" applyFill="1">
      <alignment vertical="center"/>
    </xf>
    <xf numFmtId="0" fontId="23" fillId="54" borderId="0" xfId="0" applyFont="1" applyFill="1">
      <alignment vertical="center"/>
    </xf>
    <xf numFmtId="0" fontId="66" fillId="54" borderId="0" xfId="0" applyFont="1" applyFill="1">
      <alignment vertical="center"/>
    </xf>
    <xf numFmtId="14" fontId="0" fillId="54" borderId="0" xfId="0" applyNumberFormat="1" applyFill="1">
      <alignment vertical="center"/>
    </xf>
    <xf numFmtId="181" fontId="0" fillId="54" borderId="0" xfId="0" applyNumberFormat="1" applyFill="1">
      <alignment vertical="center"/>
    </xf>
    <xf numFmtId="0" fontId="4" fillId="54" borderId="0" xfId="6" applyFill="1">
      <alignment vertical="center"/>
    </xf>
    <xf numFmtId="176" fontId="48" fillId="54" borderId="0" xfId="0" applyNumberFormat="1" applyFont="1" applyFill="1">
      <alignment vertical="center"/>
    </xf>
    <xf numFmtId="0" fontId="5" fillId="54" borderId="0" xfId="0" applyFont="1" applyFill="1">
      <alignment vertical="center"/>
    </xf>
    <xf numFmtId="0" fontId="5" fillId="54" borderId="0" xfId="0" applyFont="1" applyFill="1" applyProtection="1">
      <alignment vertical="center"/>
    </xf>
    <xf numFmtId="0" fontId="3" fillId="54" borderId="0" xfId="3" applyFill="1" applyAlignment="1">
      <alignment horizontal="right"/>
    </xf>
    <xf numFmtId="181" fontId="24" fillId="54" borderId="0" xfId="0" applyNumberFormat="1" applyFont="1" applyFill="1">
      <alignment vertical="center"/>
    </xf>
    <xf numFmtId="0" fontId="0" fillId="54" borderId="0" xfId="0" applyFill="1" applyAlignment="1">
      <alignment horizontal="center"/>
    </xf>
    <xf numFmtId="14" fontId="0" fillId="54" borderId="0" xfId="0" quotePrefix="1" applyNumberFormat="1" applyFill="1">
      <alignment vertical="center"/>
    </xf>
    <xf numFmtId="0" fontId="0" fillId="54" borderId="0" xfId="0" quotePrefix="1" applyFill="1">
      <alignment vertical="center"/>
    </xf>
    <xf numFmtId="176" fontId="4" fillId="54" borderId="0" xfId="6" applyNumberFormat="1" applyFill="1" applyAlignment="1">
      <alignment horizontal="left"/>
    </xf>
    <xf numFmtId="187" fontId="18" fillId="54" borderId="0" xfId="0" applyNumberFormat="1" applyFont="1" applyFill="1" applyBorder="1">
      <alignment vertical="center"/>
    </xf>
    <xf numFmtId="0" fontId="4" fillId="54" borderId="0" xfId="6" applyFill="1" applyBorder="1" applyAlignment="1">
      <alignment horizontal="center"/>
    </xf>
    <xf numFmtId="173" fontId="18" fillId="54" borderId="0" xfId="76" applyFill="1" applyBorder="1" applyProtection="1"/>
    <xf numFmtId="0" fontId="7" fillId="54" borderId="0" xfId="7" applyFill="1">
      <alignment vertical="center"/>
    </xf>
    <xf numFmtId="0" fontId="0" fillId="54" borderId="0" xfId="0" applyFill="1" applyProtection="1">
      <alignment vertical="center"/>
    </xf>
    <xf numFmtId="176" fontId="0" fillId="54" borderId="0" xfId="0" applyNumberFormat="1" applyFill="1" applyAlignment="1" applyProtection="1">
      <alignment horizontal="left"/>
    </xf>
    <xf numFmtId="0" fontId="78" fillId="54" borderId="0" xfId="0" applyFont="1" applyFill="1">
      <alignment vertical="center"/>
    </xf>
    <xf numFmtId="0" fontId="2" fillId="47" borderId="1" xfId="1" applyFill="1" applyAlignment="1">
      <alignment horizontal="left"/>
    </xf>
    <xf numFmtId="0" fontId="72" fillId="47" borderId="0" xfId="0" applyFont="1" applyFill="1">
      <alignment vertical="center"/>
    </xf>
    <xf numFmtId="168" fontId="0" fillId="8" borderId="0" xfId="79" applyFont="1" applyFill="1">
      <alignment vertical="center"/>
    </xf>
    <xf numFmtId="168" fontId="0" fillId="47" borderId="0" xfId="0" applyNumberFormat="1" applyFill="1">
      <alignment vertical="center"/>
    </xf>
    <xf numFmtId="0" fontId="64" fillId="47" borderId="0" xfId="0" applyFont="1" applyFill="1">
      <alignment vertical="center"/>
    </xf>
    <xf numFmtId="168" fontId="18" fillId="47" borderId="0" xfId="0" applyNumberFormat="1" applyFont="1" applyFill="1">
      <alignment vertical="center"/>
    </xf>
    <xf numFmtId="0" fontId="69" fillId="47" borderId="0" xfId="0" applyFont="1" applyFill="1">
      <alignment vertical="center"/>
    </xf>
    <xf numFmtId="0" fontId="75" fillId="47" borderId="1" xfId="1" applyFont="1" applyFill="1" applyAlignment="1">
      <alignment horizontal="left"/>
    </xf>
    <xf numFmtId="0" fontId="48" fillId="47" borderId="0" xfId="0" applyFont="1" applyFill="1">
      <alignment vertical="center"/>
    </xf>
    <xf numFmtId="0" fontId="2" fillId="47" borderId="1" xfId="1" applyFill="1">
      <alignment vertical="center"/>
    </xf>
    <xf numFmtId="0" fontId="82" fillId="47" borderId="0" xfId="0" applyFont="1" applyFill="1">
      <alignment vertical="center"/>
    </xf>
    <xf numFmtId="0" fontId="0" fillId="47" borderId="0" xfId="0" applyFill="1" applyProtection="1">
      <alignment vertical="center"/>
      <protection hidden="1"/>
    </xf>
    <xf numFmtId="0" fontId="4" fillId="47" borderId="0" xfId="6" applyFill="1" applyProtection="1">
      <alignment vertical="center"/>
      <protection hidden="1"/>
    </xf>
    <xf numFmtId="169" fontId="0" fillId="47" borderId="0" xfId="0" applyNumberFormat="1" applyFill="1" applyProtection="1">
      <alignment vertical="center"/>
      <protection hidden="1"/>
    </xf>
    <xf numFmtId="0" fontId="4" fillId="47" borderId="0" xfId="6" applyFill="1" applyBorder="1">
      <alignment vertical="center"/>
    </xf>
    <xf numFmtId="180" fontId="0" fillId="47" borderId="0" xfId="0" applyNumberFormat="1" applyFill="1" applyBorder="1">
      <alignment vertical="center"/>
    </xf>
    <xf numFmtId="0" fontId="67" fillId="47" borderId="0" xfId="0" applyFont="1" applyFill="1">
      <alignment vertical="center"/>
    </xf>
    <xf numFmtId="0" fontId="0" fillId="8" borderId="0" xfId="0" applyFill="1">
      <alignment vertical="center"/>
    </xf>
    <xf numFmtId="0" fontId="0" fillId="54" borderId="0" xfId="0" applyFill="1" applyProtection="1">
      <alignment vertical="center"/>
      <protection hidden="1"/>
    </xf>
    <xf numFmtId="0" fontId="18" fillId="54" borderId="0" xfId="0" applyFont="1" applyFill="1" applyBorder="1">
      <alignment vertical="center"/>
    </xf>
    <xf numFmtId="0" fontId="58" fillId="54" borderId="0" xfId="2" applyFill="1" applyProtection="1">
      <alignment vertical="center"/>
      <protection hidden="1"/>
    </xf>
    <xf numFmtId="0" fontId="18" fillId="54" borderId="0" xfId="0" applyFont="1" applyFill="1" applyBorder="1" applyAlignment="1"/>
    <xf numFmtId="0" fontId="23" fillId="54" borderId="0" xfId="0" applyFont="1" applyFill="1" applyProtection="1">
      <alignment vertical="center"/>
      <protection hidden="1"/>
    </xf>
    <xf numFmtId="0" fontId="18" fillId="54" borderId="0" xfId="0" applyFont="1" applyFill="1" applyBorder="1" applyAlignment="1" applyProtection="1">
      <alignment horizontal="right"/>
      <protection hidden="1"/>
    </xf>
    <xf numFmtId="0" fontId="41" fillId="54" borderId="0" xfId="0" applyFont="1" applyFill="1" applyBorder="1" applyAlignment="1">
      <alignment horizontal="left"/>
    </xf>
    <xf numFmtId="0" fontId="14" fillId="54" borderId="0" xfId="0" applyFont="1" applyFill="1" applyBorder="1" applyAlignment="1"/>
    <xf numFmtId="0" fontId="92" fillId="0" borderId="0" xfId="0" applyFont="1" applyAlignment="1">
      <alignment vertical="center"/>
    </xf>
    <xf numFmtId="0" fontId="19" fillId="51" borderId="0" xfId="22" applyBorder="1">
      <alignment vertical="center"/>
    </xf>
    <xf numFmtId="168" fontId="18" fillId="8" borderId="0" xfId="79" applyFont="1" applyFill="1">
      <alignment vertical="center"/>
    </xf>
    <xf numFmtId="173" fontId="0" fillId="0" borderId="0" xfId="0" applyNumberFormat="1">
      <alignment vertical="center"/>
    </xf>
    <xf numFmtId="193" fontId="8" fillId="51" borderId="106" xfId="9" applyNumberFormat="1" applyBorder="1" applyAlignment="1">
      <alignment horizontal="centerContinuous" vertical="center" wrapText="1"/>
    </xf>
    <xf numFmtId="193" fontId="8" fillId="51" borderId="107" xfId="9" applyNumberFormat="1" applyBorder="1" applyAlignment="1">
      <alignment horizontal="centerContinuous" vertical="center" wrapText="1"/>
    </xf>
    <xf numFmtId="193" fontId="8" fillId="51" borderId="108" xfId="9" applyNumberFormat="1" applyBorder="1" applyAlignment="1">
      <alignment horizontal="centerContinuous" vertical="center" wrapText="1"/>
    </xf>
    <xf numFmtId="193" fontId="8" fillId="51" borderId="109" xfId="9" applyNumberFormat="1" applyBorder="1" applyAlignment="1">
      <alignment horizontal="centerContinuous" vertical="center"/>
    </xf>
    <xf numFmtId="193" fontId="8" fillId="51" borderId="110" xfId="9" applyNumberFormat="1" applyBorder="1" applyAlignment="1">
      <alignment horizontal="centerContinuous" vertical="center"/>
    </xf>
    <xf numFmtId="193" fontId="8" fillId="51" borderId="111" xfId="9" applyNumberFormat="1" applyBorder="1" applyAlignment="1">
      <alignment horizontal="centerContinuous" vertical="center"/>
    </xf>
    <xf numFmtId="193" fontId="8" fillId="51" borderId="112" xfId="9" applyNumberFormat="1" applyBorder="1" applyAlignment="1">
      <alignment horizontal="centerContinuous" vertical="center" wrapText="1"/>
    </xf>
    <xf numFmtId="0" fontId="8" fillId="51" borderId="106" xfId="9" applyBorder="1" applyAlignment="1">
      <alignment horizontal="centerContinuous" vertical="center"/>
    </xf>
    <xf numFmtId="0" fontId="8" fillId="51" borderId="110" xfId="9" applyBorder="1" applyAlignment="1">
      <alignment horizontal="centerContinuous" vertical="center"/>
    </xf>
    <xf numFmtId="168" fontId="79" fillId="51" borderId="69" xfId="9" applyNumberFormat="1" applyFont="1" applyBorder="1" applyAlignment="1">
      <alignment horizontal="centerContinuous" vertical="center"/>
    </xf>
    <xf numFmtId="168" fontId="79" fillId="51" borderId="0" xfId="9" applyNumberFormat="1" applyFont="1" applyBorder="1" applyAlignment="1">
      <alignment horizontal="centerContinuous" vertical="center"/>
    </xf>
    <xf numFmtId="0" fontId="0" fillId="0" borderId="80" xfId="0" applyBorder="1" applyAlignment="1">
      <alignment horizontal="center"/>
    </xf>
    <xf numFmtId="0" fontId="0" fillId="8" borderId="0" xfId="0" applyFill="1" applyBorder="1" applyAlignment="1">
      <alignment horizontal="center"/>
    </xf>
    <xf numFmtId="0" fontId="0" fillId="0" borderId="97" xfId="0" applyBorder="1">
      <alignment vertical="center"/>
    </xf>
    <xf numFmtId="0" fontId="3" fillId="0" borderId="98" xfId="3" applyBorder="1">
      <alignment vertical="center"/>
    </xf>
    <xf numFmtId="0" fontId="0" fillId="8" borderId="69" xfId="0" applyFill="1" applyBorder="1" applyAlignment="1">
      <alignment horizontal="center"/>
    </xf>
    <xf numFmtId="0" fontId="0" fillId="8" borderId="27" xfId="0" applyFill="1" applyBorder="1">
      <alignment vertical="center"/>
    </xf>
    <xf numFmtId="0" fontId="0" fillId="8" borderId="28" xfId="0" applyFill="1" applyBorder="1">
      <alignment vertical="center"/>
    </xf>
    <xf numFmtId="0" fontId="0" fillId="8" borderId="28" xfId="0" applyFill="1" applyBorder="1" applyAlignment="1">
      <alignment horizontal="right"/>
    </xf>
    <xf numFmtId="3" fontId="0" fillId="54" borderId="0" xfId="0" applyNumberFormat="1" applyFill="1">
      <alignment vertical="center"/>
    </xf>
    <xf numFmtId="0" fontId="0" fillId="0" borderId="0" xfId="0" applyAlignment="1">
      <alignment vertical="center"/>
    </xf>
    <xf numFmtId="0" fontId="2" fillId="54" borderId="1" xfId="1" quotePrefix="1" applyFill="1">
      <alignment vertical="center"/>
    </xf>
    <xf numFmtId="168" fontId="18" fillId="7" borderId="0" xfId="0" applyNumberFormat="1" applyFont="1" applyFill="1" applyBorder="1" applyAlignment="1">
      <alignment horizontal="right"/>
    </xf>
    <xf numFmtId="0" fontId="0" fillId="8" borderId="56" xfId="0" applyFill="1" applyBorder="1">
      <alignment vertical="center"/>
    </xf>
    <xf numFmtId="200" fontId="0" fillId="54" borderId="0" xfId="82" applyFont="1" applyFill="1" applyAlignment="1"/>
    <xf numFmtId="195" fontId="0" fillId="0" borderId="0" xfId="0" applyNumberFormat="1">
      <alignment vertical="center"/>
    </xf>
    <xf numFmtId="200" fontId="0" fillId="0" borderId="0" xfId="82" applyFont="1" applyFill="1" applyAlignment="1"/>
    <xf numFmtId="2" fontId="0" fillId="54" borderId="0" xfId="0" applyNumberFormat="1" applyFill="1">
      <alignment vertical="center"/>
    </xf>
    <xf numFmtId="0" fontId="0" fillId="0" borderId="0" xfId="0" applyAlignment="1">
      <alignment vertical="center"/>
    </xf>
    <xf numFmtId="0" fontId="0" fillId="0" borderId="0" xfId="0" applyAlignment="1">
      <alignment vertical="center"/>
    </xf>
    <xf numFmtId="0" fontId="24" fillId="54" borderId="0" xfId="0" applyFont="1" applyFill="1" applyAlignment="1">
      <alignment vertical="center"/>
    </xf>
    <xf numFmtId="0" fontId="0" fillId="54" borderId="0" xfId="0" applyFill="1" applyBorder="1" applyAlignment="1">
      <alignment vertical="center"/>
    </xf>
    <xf numFmtId="0" fontId="58" fillId="54" borderId="0" xfId="2" applyFill="1" applyAlignment="1">
      <alignment vertical="center"/>
    </xf>
    <xf numFmtId="0" fontId="3" fillId="8" borderId="0" xfId="3" applyFill="1">
      <alignment vertical="center"/>
    </xf>
    <xf numFmtId="0" fontId="0" fillId="0" borderId="0" xfId="0" applyBorder="1" applyAlignment="1">
      <alignment vertical="center"/>
    </xf>
    <xf numFmtId="168" fontId="0" fillId="46" borderId="0" xfId="0" applyNumberFormat="1" applyFill="1" applyAlignment="1">
      <alignment vertical="center"/>
    </xf>
    <xf numFmtId="168" fontId="0" fillId="0" borderId="0" xfId="79" applyNumberFormat="1" applyFont="1" applyBorder="1" applyAlignment="1">
      <alignment vertical="center"/>
    </xf>
    <xf numFmtId="168" fontId="0" fillId="0" borderId="56" xfId="79" applyNumberFormat="1" applyFont="1" applyBorder="1" applyAlignment="1">
      <alignment vertical="center"/>
    </xf>
    <xf numFmtId="168" fontId="0" fillId="0" borderId="57" xfId="79" applyNumberFormat="1" applyFont="1" applyBorder="1" applyAlignment="1">
      <alignment vertical="center"/>
    </xf>
    <xf numFmtId="0" fontId="3" fillId="3" borderId="0" xfId="3" applyFill="1" applyAlignment="1">
      <alignment vertical="center"/>
    </xf>
    <xf numFmtId="0" fontId="0" fillId="3" borderId="0" xfId="0" applyFill="1" applyAlignment="1">
      <alignment vertical="center"/>
    </xf>
    <xf numFmtId="168" fontId="21" fillId="3" borderId="6" xfId="11" applyNumberFormat="1" applyFont="1" applyFill="1" applyAlignment="1">
      <alignment vertical="center"/>
    </xf>
    <xf numFmtId="0" fontId="0" fillId="0" borderId="56" xfId="0" applyBorder="1" applyAlignment="1">
      <alignment vertical="center"/>
    </xf>
    <xf numFmtId="0" fontId="0" fillId="0" borderId="57" xfId="0" applyBorder="1" applyAlignment="1">
      <alignment vertical="center"/>
    </xf>
    <xf numFmtId="0" fontId="5" fillId="7" borderId="89" xfId="0" applyNumberFormat="1" applyFont="1" applyFill="1" applyBorder="1" applyAlignment="1">
      <alignment vertical="center"/>
    </xf>
    <xf numFmtId="0" fontId="5" fillId="7" borderId="91" xfId="0" applyNumberFormat="1" applyFont="1" applyFill="1" applyBorder="1" applyAlignment="1">
      <alignment vertical="center"/>
    </xf>
    <xf numFmtId="0" fontId="5" fillId="7" borderId="92" xfId="0" applyNumberFormat="1" applyFont="1" applyFill="1" applyBorder="1" applyAlignment="1">
      <alignment vertical="center"/>
    </xf>
    <xf numFmtId="0" fontId="8" fillId="51" borderId="110" xfId="9" applyBorder="1" applyAlignment="1">
      <alignment horizontal="centerContinuous" vertical="center" wrapText="1"/>
    </xf>
    <xf numFmtId="0" fontId="8" fillId="51" borderId="116" xfId="9" applyBorder="1" applyAlignment="1">
      <alignment horizontal="centerContinuous" vertical="center" wrapText="1"/>
    </xf>
    <xf numFmtId="173" fontId="5" fillId="0" borderId="2" xfId="13" applyNumberFormat="1">
      <alignment vertical="center"/>
    </xf>
    <xf numFmtId="168" fontId="18" fillId="8" borderId="7" xfId="12" applyNumberFormat="1" applyFont="1" applyFill="1"/>
    <xf numFmtId="0" fontId="8" fillId="51" borderId="116" xfId="9" applyBorder="1">
      <alignment horizontal="centerContinuous" vertical="center" wrapText="1"/>
    </xf>
    <xf numFmtId="0" fontId="4" fillId="8" borderId="0" xfId="6" applyFill="1">
      <alignment vertical="center"/>
    </xf>
    <xf numFmtId="0" fontId="3" fillId="47" borderId="0" xfId="3" quotePrefix="1" applyFill="1" applyBorder="1">
      <alignment vertical="center"/>
    </xf>
    <xf numFmtId="197" fontId="0" fillId="47" borderId="0" xfId="0" applyNumberFormat="1" applyFill="1">
      <alignment vertical="center"/>
    </xf>
    <xf numFmtId="0" fontId="18" fillId="54" borderId="0" xfId="0" applyFont="1" applyFill="1" applyBorder="1" applyAlignment="1" applyProtection="1">
      <protection hidden="1"/>
    </xf>
    <xf numFmtId="0" fontId="0" fillId="0" borderId="0" xfId="0" applyProtection="1">
      <alignment vertical="center"/>
    </xf>
    <xf numFmtId="169" fontId="0" fillId="0" borderId="0" xfId="0" applyNumberFormat="1" applyProtection="1">
      <alignment vertical="center"/>
    </xf>
    <xf numFmtId="0" fontId="0" fillId="8" borderId="0" xfId="0" applyFill="1" applyProtection="1">
      <alignment vertical="center"/>
    </xf>
    <xf numFmtId="169" fontId="0" fillId="8" borderId="0" xfId="0" applyNumberFormat="1" applyFill="1" applyProtection="1">
      <alignment vertical="center"/>
    </xf>
    <xf numFmtId="14" fontId="0" fillId="54" borderId="0" xfId="0" applyNumberFormat="1" applyFill="1" applyProtection="1">
      <alignment vertical="center"/>
    </xf>
    <xf numFmtId="0" fontId="0" fillId="0" borderId="0" xfId="0" applyAlignment="1" applyProtection="1">
      <alignment horizontal="right"/>
    </xf>
    <xf numFmtId="0" fontId="0" fillId="4" borderId="2" xfId="17" applyFont="1" applyProtection="1"/>
    <xf numFmtId="0" fontId="58" fillId="47" borderId="0" xfId="2" applyFill="1" applyAlignment="1">
      <alignment vertical="center"/>
    </xf>
    <xf numFmtId="0" fontId="5" fillId="47" borderId="0" xfId="0" applyNumberFormat="1" applyFont="1" applyFill="1" applyBorder="1" applyAlignment="1" applyProtection="1">
      <alignment horizontal="left" vertical="center"/>
    </xf>
    <xf numFmtId="0" fontId="3" fillId="47" borderId="0" xfId="3" applyFill="1" applyBorder="1">
      <alignment vertical="center"/>
    </xf>
    <xf numFmtId="177" fontId="5" fillId="0" borderId="2" xfId="13" applyNumberFormat="1" applyBorder="1">
      <alignment vertical="center"/>
    </xf>
    <xf numFmtId="1" fontId="8" fillId="51" borderId="116" xfId="9" applyNumberFormat="1" applyBorder="1" applyAlignment="1">
      <alignment horizontal="center" vertical="center" wrapText="1"/>
    </xf>
    <xf numFmtId="168" fontId="60" fillId="54" borderId="2" xfId="13" applyNumberFormat="1" applyFont="1" applyFill="1">
      <alignment vertical="center"/>
    </xf>
    <xf numFmtId="0" fontId="86" fillId="54" borderId="0" xfId="0" applyFont="1" applyFill="1">
      <alignment vertical="center"/>
    </xf>
    <xf numFmtId="0" fontId="64" fillId="47" borderId="0" xfId="0" applyFont="1" applyFill="1" applyAlignment="1">
      <alignment horizontal="right"/>
    </xf>
    <xf numFmtId="0" fontId="21" fillId="8" borderId="0" xfId="0" applyFont="1" applyFill="1">
      <alignment vertical="center"/>
    </xf>
    <xf numFmtId="0" fontId="0" fillId="47" borderId="0" xfId="0" applyFill="1" applyAlignment="1">
      <alignment vertical="center"/>
    </xf>
    <xf numFmtId="0" fontId="72" fillId="43" borderId="0" xfId="0" applyNumberFormat="1" applyFont="1" applyFill="1" applyBorder="1" applyAlignment="1"/>
    <xf numFmtId="0" fontId="18" fillId="47" borderId="0" xfId="0" applyFont="1" applyFill="1" applyAlignment="1">
      <alignment vertical="center"/>
    </xf>
    <xf numFmtId="0" fontId="5" fillId="0" borderId="0" xfId="0" applyFont="1" applyAlignment="1">
      <alignment vertical="center"/>
    </xf>
    <xf numFmtId="0" fontId="4" fillId="0" borderId="0" xfId="6" applyAlignment="1">
      <alignment vertical="center"/>
    </xf>
    <xf numFmtId="168" fontId="0" fillId="8" borderId="0" xfId="0" applyNumberFormat="1" applyFill="1" applyAlignment="1">
      <alignment vertical="center"/>
    </xf>
    <xf numFmtId="169" fontId="9" fillId="2" borderId="2" xfId="15" applyNumberFormat="1" applyAlignment="1">
      <alignment vertical="center"/>
    </xf>
    <xf numFmtId="168" fontId="0" fillId="8" borderId="5" xfId="10" applyNumberFormat="1" applyFont="1" applyFill="1" applyAlignment="1">
      <alignment vertical="center"/>
    </xf>
    <xf numFmtId="1" fontId="76" fillId="51" borderId="116" xfId="9" applyNumberFormat="1" applyFont="1" applyBorder="1" applyAlignment="1">
      <alignment horizontal="center" vertical="center" wrapText="1"/>
    </xf>
    <xf numFmtId="0" fontId="2" fillId="47" borderId="1" xfId="1" applyFill="1" applyAlignment="1">
      <alignment horizontal="left" vertical="center"/>
    </xf>
    <xf numFmtId="0" fontId="48" fillId="47" borderId="0" xfId="0" applyFont="1" applyFill="1" applyAlignment="1">
      <alignment horizontal="left" vertical="center"/>
    </xf>
    <xf numFmtId="0" fontId="15" fillId="47" borderId="0" xfId="75" applyFont="1" applyFill="1" applyAlignment="1">
      <alignment vertical="center"/>
    </xf>
    <xf numFmtId="0" fontId="18" fillId="47" borderId="0" xfId="0" applyFont="1" applyFill="1" applyAlignment="1">
      <alignment horizontal="right" vertical="center"/>
    </xf>
    <xf numFmtId="168" fontId="18" fillId="47" borderId="0" xfId="80" applyNumberFormat="1" applyFont="1" applyFill="1" applyAlignment="1">
      <alignment vertical="center"/>
    </xf>
    <xf numFmtId="0" fontId="8" fillId="51" borderId="4" xfId="9" applyAlignment="1">
      <alignment horizontal="centerContinuous" vertical="center" wrapText="1"/>
    </xf>
    <xf numFmtId="168" fontId="9" fillId="2" borderId="2" xfId="15" applyNumberFormat="1" applyAlignment="1">
      <alignment vertical="center"/>
    </xf>
    <xf numFmtId="0" fontId="5" fillId="47" borderId="0" xfId="0" applyFont="1" applyFill="1" applyAlignment="1">
      <alignment vertical="center"/>
    </xf>
    <xf numFmtId="182" fontId="18" fillId="47" borderId="0" xfId="0" applyNumberFormat="1" applyFont="1" applyFill="1" applyAlignment="1">
      <alignment vertical="center"/>
    </xf>
    <xf numFmtId="182" fontId="18" fillId="47" borderId="0" xfId="0" applyNumberFormat="1" applyFont="1" applyFill="1" applyAlignment="1">
      <alignment vertical="center" wrapText="1"/>
    </xf>
    <xf numFmtId="168" fontId="70" fillId="46" borderId="12" xfId="27" applyNumberFormat="1" applyAlignment="1" applyProtection="1">
      <alignment vertical="center"/>
      <protection locked="0"/>
    </xf>
    <xf numFmtId="168" fontId="18" fillId="47" borderId="0" xfId="0" applyNumberFormat="1" applyFont="1" applyFill="1" applyAlignment="1">
      <alignment vertical="center"/>
    </xf>
    <xf numFmtId="0" fontId="4" fillId="2" borderId="2" xfId="4" applyAlignment="1">
      <alignment horizontal="center" vertical="center"/>
    </xf>
    <xf numFmtId="176" fontId="4" fillId="47" borderId="0" xfId="6" applyNumberFormat="1" applyFill="1" applyAlignment="1">
      <alignment horizontal="left" vertical="center"/>
    </xf>
    <xf numFmtId="168" fontId="0" fillId="47" borderId="0" xfId="0" applyNumberFormat="1" applyFill="1" applyAlignment="1">
      <alignment vertical="center"/>
    </xf>
    <xf numFmtId="0" fontId="3" fillId="47" borderId="0" xfId="3" applyFill="1" applyAlignment="1">
      <alignment vertical="center"/>
    </xf>
    <xf numFmtId="168" fontId="18" fillId="54" borderId="7" xfId="12" applyNumberFormat="1" applyFont="1" applyFill="1" applyAlignment="1">
      <alignment vertical="center"/>
    </xf>
    <xf numFmtId="0" fontId="0" fillId="0" borderId="0" xfId="0" applyAlignment="1">
      <alignment vertical="center"/>
    </xf>
    <xf numFmtId="168" fontId="79" fillId="51" borderId="69" xfId="9" applyNumberFormat="1" applyFont="1" applyBorder="1" applyAlignment="1">
      <alignment horizontal="centerContinuous" vertical="center" wrapText="1"/>
    </xf>
    <xf numFmtId="168" fontId="79" fillId="51" borderId="0" xfId="9" applyNumberFormat="1" applyFont="1" applyBorder="1" applyAlignment="1">
      <alignment horizontal="centerContinuous" vertical="center" wrapText="1"/>
    </xf>
    <xf numFmtId="168" fontId="79" fillId="51" borderId="26" xfId="9" applyNumberFormat="1" applyFont="1" applyBorder="1" applyAlignment="1">
      <alignment horizontal="centerContinuous" vertical="center" wrapText="1"/>
    </xf>
    <xf numFmtId="0" fontId="79" fillId="51" borderId="106" xfId="9" applyFont="1" applyBorder="1" applyAlignment="1">
      <alignment horizontal="centerContinuous" vertical="center" wrapText="1"/>
    </xf>
    <xf numFmtId="0" fontId="79" fillId="51" borderId="107" xfId="9" applyFont="1" applyBorder="1" applyAlignment="1">
      <alignment horizontal="centerContinuous" vertical="center" wrapText="1"/>
    </xf>
    <xf numFmtId="0" fontId="79" fillId="51" borderId="110" xfId="9" applyFont="1" applyBorder="1" applyAlignment="1">
      <alignment horizontal="centerContinuous" vertical="center" wrapText="1"/>
    </xf>
    <xf numFmtId="168" fontId="0" fillId="54" borderId="0" xfId="79" applyNumberFormat="1" applyFont="1" applyFill="1" applyAlignment="1">
      <alignment vertical="center"/>
    </xf>
    <xf numFmtId="0" fontId="0" fillId="0" borderId="0" xfId="0" quotePrefix="1" applyAlignment="1">
      <alignment vertical="center"/>
    </xf>
    <xf numFmtId="0" fontId="72" fillId="8" borderId="0" xfId="0" applyFont="1" applyFill="1" applyAlignment="1">
      <alignment vertical="center"/>
    </xf>
    <xf numFmtId="168" fontId="0" fillId="8" borderId="0" xfId="79" applyNumberFormat="1" applyFont="1" applyFill="1" applyAlignment="1">
      <alignment horizontal="centerContinuous" vertical="center"/>
    </xf>
    <xf numFmtId="0" fontId="0" fillId="8" borderId="0" xfId="0" applyFill="1" applyAlignment="1">
      <alignment horizontal="centerContinuous" vertical="center"/>
    </xf>
    <xf numFmtId="177" fontId="18" fillId="54" borderId="0" xfId="76" applyNumberFormat="1" applyFill="1" applyAlignment="1">
      <alignment horizontal="centerContinuous" vertical="center"/>
    </xf>
    <xf numFmtId="168" fontId="21" fillId="3" borderId="44" xfId="12" applyNumberFormat="1" applyFont="1" applyFill="1" applyBorder="1" applyAlignment="1">
      <alignment horizontal="centerContinuous" vertical="center"/>
    </xf>
    <xf numFmtId="0" fontId="0" fillId="3" borderId="44" xfId="0" applyFill="1" applyBorder="1" applyAlignment="1">
      <alignment horizontal="centerContinuous" vertical="center"/>
    </xf>
    <xf numFmtId="177" fontId="49" fillId="3" borderId="44" xfId="76" applyNumberFormat="1" applyFont="1" applyFill="1" applyBorder="1" applyAlignment="1">
      <alignment horizontal="centerContinuous" vertical="center"/>
    </xf>
    <xf numFmtId="0" fontId="0" fillId="54" borderId="0" xfId="0" quotePrefix="1" applyFill="1" applyAlignment="1">
      <alignment vertical="center"/>
    </xf>
    <xf numFmtId="0" fontId="0" fillId="0" borderId="72" xfId="0" applyBorder="1" applyAlignment="1">
      <alignment vertical="center"/>
    </xf>
    <xf numFmtId="0" fontId="85" fillId="0" borderId="105" xfId="0" applyFont="1" applyBorder="1" applyAlignment="1">
      <alignment horizontal="right" vertical="center"/>
    </xf>
    <xf numFmtId="0" fontId="17" fillId="0" borderId="76" xfId="0" applyFont="1" applyBorder="1" applyAlignment="1">
      <alignment vertical="center"/>
    </xf>
    <xf numFmtId="0" fontId="17" fillId="0" borderId="81" xfId="0" applyFont="1" applyBorder="1" applyAlignment="1">
      <alignment vertical="center"/>
    </xf>
    <xf numFmtId="0" fontId="0" fillId="0" borderId="113" xfId="0" applyBorder="1" applyAlignment="1">
      <alignment vertical="center"/>
    </xf>
    <xf numFmtId="168" fontId="0" fillId="8" borderId="0" xfId="79" applyNumberFormat="1" applyFont="1" applyFill="1" applyBorder="1" applyAlignment="1">
      <alignment horizontal="centerContinuous" vertical="center"/>
    </xf>
    <xf numFmtId="0" fontId="0" fillId="8" borderId="0" xfId="0" applyFill="1" applyBorder="1" applyAlignment="1">
      <alignment horizontal="centerContinuous" vertical="center"/>
    </xf>
    <xf numFmtId="0" fontId="0" fillId="8" borderId="73" xfId="0" applyFill="1" applyBorder="1" applyAlignment="1">
      <alignment horizontal="centerContinuous" vertical="center"/>
    </xf>
    <xf numFmtId="177" fontId="67" fillId="0" borderId="76" xfId="76" applyNumberFormat="1" applyFont="1" applyBorder="1" applyAlignment="1">
      <alignment horizontal="centerContinuous" vertical="center"/>
    </xf>
    <xf numFmtId="0" fontId="17" fillId="0" borderId="81" xfId="0" applyFont="1" applyBorder="1" applyAlignment="1">
      <alignment horizontal="centerContinuous" vertical="center"/>
    </xf>
    <xf numFmtId="168" fontId="0" fillId="8" borderId="80" xfId="79" applyNumberFormat="1" applyFont="1" applyFill="1" applyBorder="1" applyAlignment="1">
      <alignment horizontal="centerContinuous" vertical="center"/>
    </xf>
    <xf numFmtId="168" fontId="0" fillId="0" borderId="0" xfId="79" applyNumberFormat="1" applyFont="1" applyBorder="1" applyAlignment="1">
      <alignment horizontal="centerContinuous" vertical="center"/>
    </xf>
    <xf numFmtId="0" fontId="0" fillId="0" borderId="0" xfId="0" applyBorder="1" applyAlignment="1">
      <alignment horizontal="centerContinuous" vertical="center"/>
    </xf>
    <xf numFmtId="0" fontId="0" fillId="0" borderId="73" xfId="0" applyBorder="1" applyAlignment="1">
      <alignment horizontal="centerContinuous" vertical="center"/>
    </xf>
    <xf numFmtId="168" fontId="0" fillId="0" borderId="80" xfId="79" applyNumberFormat="1" applyFont="1" applyBorder="1" applyAlignment="1">
      <alignment horizontal="centerContinuous" vertical="center"/>
    </xf>
    <xf numFmtId="168" fontId="21" fillId="54" borderId="0" xfId="11" applyNumberFormat="1" applyFont="1" applyFill="1" applyBorder="1" applyAlignment="1">
      <alignment horizontal="centerContinuous" vertical="center"/>
    </xf>
    <xf numFmtId="0" fontId="0" fillId="54" borderId="0" xfId="0" applyFill="1" applyBorder="1" applyAlignment="1">
      <alignment horizontal="centerContinuous" vertical="center"/>
    </xf>
    <xf numFmtId="0" fontId="0" fillId="54" borderId="73" xfId="0" applyFill="1" applyBorder="1" applyAlignment="1">
      <alignment horizontal="centerContinuous" vertical="center"/>
    </xf>
    <xf numFmtId="177" fontId="67" fillId="54" borderId="76" xfId="76" applyNumberFormat="1" applyFont="1" applyFill="1" applyBorder="1" applyAlignment="1">
      <alignment horizontal="centerContinuous" vertical="center"/>
    </xf>
    <xf numFmtId="0" fontId="17" fillId="54" borderId="81" xfId="0" applyFont="1" applyFill="1" applyBorder="1" applyAlignment="1">
      <alignment horizontal="centerContinuous" vertical="center"/>
    </xf>
    <xf numFmtId="168" fontId="21" fillId="54" borderId="80" xfId="11" applyNumberFormat="1" applyFont="1" applyFill="1" applyBorder="1" applyAlignment="1">
      <alignment horizontal="centerContinuous" vertical="center"/>
    </xf>
    <xf numFmtId="177" fontId="93" fillId="54" borderId="76" xfId="76" applyNumberFormat="1" applyFont="1" applyFill="1" applyBorder="1" applyAlignment="1">
      <alignment horizontal="centerContinuous" vertical="center"/>
    </xf>
    <xf numFmtId="0" fontId="0" fillId="3" borderId="74" xfId="0" applyFill="1" applyBorder="1" applyAlignment="1">
      <alignment horizontal="centerContinuous" vertical="center"/>
    </xf>
    <xf numFmtId="177" fontId="93" fillId="3" borderId="77" xfId="76" applyNumberFormat="1" applyFont="1" applyFill="1" applyBorder="1" applyAlignment="1">
      <alignment horizontal="centerContinuous" vertical="center"/>
    </xf>
    <xf numFmtId="0" fontId="94" fillId="3" borderId="114" xfId="0" applyFont="1" applyFill="1" applyBorder="1" applyAlignment="1">
      <alignment horizontal="centerContinuous" vertical="center"/>
    </xf>
    <xf numFmtId="168" fontId="21" fillId="3" borderId="115" xfId="12" applyNumberFormat="1" applyFont="1" applyFill="1" applyBorder="1" applyAlignment="1">
      <alignment horizontal="centerContinuous" vertical="center"/>
    </xf>
    <xf numFmtId="0" fontId="17" fillId="0" borderId="0" xfId="0" applyFont="1" applyFill="1" applyBorder="1" applyAlignment="1">
      <alignment vertical="center"/>
    </xf>
    <xf numFmtId="0" fontId="58" fillId="8" borderId="0" xfId="2" applyFill="1" applyAlignment="1">
      <alignment vertical="center"/>
    </xf>
    <xf numFmtId="192" fontId="21" fillId="8" borderId="106" xfId="79" applyNumberFormat="1" applyFont="1" applyFill="1" applyBorder="1" applyAlignment="1">
      <alignment horizontal="centerContinuous" vertical="center"/>
    </xf>
    <xf numFmtId="192" fontId="21" fillId="0" borderId="110" xfId="0" applyNumberFormat="1" applyFont="1" applyBorder="1" applyAlignment="1">
      <alignment horizontal="centerContinuous" vertical="center"/>
    </xf>
    <xf numFmtId="186" fontId="78" fillId="0" borderId="106" xfId="0" applyNumberFormat="1" applyFont="1" applyBorder="1" applyAlignment="1">
      <alignment horizontal="centerContinuous" vertical="center"/>
    </xf>
    <xf numFmtId="0" fontId="0" fillId="0" borderId="110" xfId="0" applyFont="1" applyBorder="1" applyAlignment="1">
      <alignment horizontal="centerContinuous" vertical="center"/>
    </xf>
    <xf numFmtId="14" fontId="0" fillId="0" borderId="0" xfId="0" applyNumberFormat="1" applyAlignment="1">
      <alignment vertical="center"/>
    </xf>
    <xf numFmtId="0" fontId="5" fillId="0" borderId="0" xfId="0" applyFont="1" applyAlignment="1">
      <alignment horizontal="left" vertical="center"/>
    </xf>
    <xf numFmtId="0" fontId="0" fillId="8" borderId="0" xfId="0" applyFill="1" applyBorder="1" applyAlignment="1">
      <alignment vertical="center"/>
    </xf>
    <xf numFmtId="168" fontId="5" fillId="0" borderId="2" xfId="13" applyNumberFormat="1" applyAlignment="1">
      <alignment vertical="center"/>
    </xf>
    <xf numFmtId="0" fontId="23" fillId="47" borderId="0" xfId="0" applyFont="1" applyFill="1" applyAlignment="1">
      <alignment vertical="center"/>
    </xf>
    <xf numFmtId="0" fontId="23" fillId="8" borderId="0" xfId="0" applyFont="1" applyFill="1" applyAlignment="1">
      <alignment vertical="center"/>
    </xf>
    <xf numFmtId="0" fontId="0" fillId="47" borderId="0" xfId="0" applyFill="1" applyBorder="1" applyAlignment="1">
      <alignment vertical="center"/>
    </xf>
    <xf numFmtId="176" fontId="4" fillId="8" borderId="0" xfId="6" applyNumberFormat="1" applyFill="1" applyBorder="1" applyAlignment="1">
      <alignment horizontal="left" vertical="center"/>
    </xf>
    <xf numFmtId="0" fontId="0" fillId="47" borderId="0" xfId="0" quotePrefix="1" applyFill="1" applyBorder="1" applyAlignment="1">
      <alignment vertical="center"/>
    </xf>
    <xf numFmtId="0" fontId="0" fillId="47" borderId="0" xfId="0" applyFill="1" applyBorder="1" applyAlignment="1">
      <alignment horizontal="center" vertical="center"/>
    </xf>
    <xf numFmtId="0" fontId="70" fillId="46" borderId="45" xfId="27" applyBorder="1" applyAlignment="1" applyProtection="1">
      <alignment vertical="center"/>
      <protection locked="0"/>
    </xf>
    <xf numFmtId="0" fontId="70" fillId="46" borderId="46" xfId="27" applyBorder="1" applyAlignment="1">
      <alignment vertical="center"/>
    </xf>
    <xf numFmtId="173" fontId="70" fillId="46" borderId="12" xfId="27" applyNumberFormat="1" applyAlignment="1" applyProtection="1">
      <alignment vertical="center"/>
      <protection locked="0"/>
    </xf>
    <xf numFmtId="174" fontId="9" fillId="2" borderId="2" xfId="15" applyNumberFormat="1" applyAlignment="1">
      <alignment horizontal="center" vertical="center"/>
    </xf>
    <xf numFmtId="169" fontId="10" fillId="5" borderId="8" xfId="18" applyAlignment="1">
      <alignment vertical="center"/>
    </xf>
    <xf numFmtId="0" fontId="0" fillId="4" borderId="2" xfId="17" applyFont="1" applyAlignment="1">
      <alignment vertical="center"/>
    </xf>
    <xf numFmtId="168" fontId="0" fillId="8" borderId="7" xfId="12" applyNumberFormat="1" applyFont="1" applyFill="1" applyAlignment="1">
      <alignment vertical="center"/>
    </xf>
    <xf numFmtId="169" fontId="10" fillId="6" borderId="8" xfId="18" applyFill="1" applyAlignment="1">
      <alignment vertical="center"/>
    </xf>
    <xf numFmtId="0" fontId="9" fillId="2" borderId="2" xfId="15" applyAlignment="1">
      <alignment horizontal="center" vertical="center"/>
    </xf>
    <xf numFmtId="0" fontId="4" fillId="47" borderId="0" xfId="6" applyFill="1" applyAlignment="1">
      <alignment vertical="center"/>
    </xf>
    <xf numFmtId="0" fontId="0" fillId="47" borderId="0" xfId="0" applyFill="1" applyAlignment="1">
      <alignment horizontal="right" vertical="center"/>
    </xf>
    <xf numFmtId="173" fontId="9" fillId="2" borderId="2" xfId="78" applyNumberFormat="1" applyFont="1" applyFill="1" applyBorder="1" applyAlignment="1">
      <alignment vertical="center"/>
    </xf>
    <xf numFmtId="168" fontId="0" fillId="8" borderId="3" xfId="8" applyNumberFormat="1" applyFont="1" applyFill="1" applyAlignment="1">
      <alignment vertical="center"/>
    </xf>
    <xf numFmtId="0" fontId="0" fillId="47" borderId="0" xfId="0" quotePrefix="1" applyFill="1" applyAlignment="1">
      <alignment vertical="center"/>
    </xf>
    <xf numFmtId="0" fontId="0" fillId="47" borderId="0" xfId="0" applyFill="1" applyAlignment="1">
      <alignment horizontal="center" vertical="center"/>
    </xf>
    <xf numFmtId="2" fontId="0" fillId="47" borderId="0" xfId="0" applyNumberFormat="1" applyFill="1" applyAlignment="1">
      <alignment vertical="center"/>
    </xf>
    <xf numFmtId="200" fontId="24" fillId="0" borderId="0" xfId="82" applyFont="1" applyFill="1" applyAlignment="1">
      <alignment horizontal="centerContinuous" vertical="center"/>
    </xf>
    <xf numFmtId="200" fontId="24" fillId="0" borderId="0" xfId="82" applyFont="1" applyFill="1" applyAlignment="1">
      <alignment vertical="center"/>
    </xf>
    <xf numFmtId="0" fontId="0" fillId="8" borderId="0" xfId="0" applyFill="1" applyAlignment="1">
      <alignment vertical="center"/>
    </xf>
    <xf numFmtId="0" fontId="0" fillId="0" borderId="0" xfId="0" applyAlignment="1">
      <alignment vertical="center"/>
    </xf>
    <xf numFmtId="0" fontId="0" fillId="8" borderId="0" xfId="0" applyFill="1" applyAlignment="1">
      <alignment vertical="center"/>
    </xf>
    <xf numFmtId="0" fontId="0" fillId="54" borderId="0" xfId="0" applyFill="1" applyAlignment="1">
      <alignment vertical="center"/>
    </xf>
    <xf numFmtId="0" fontId="0" fillId="8" borderId="0" xfId="0" applyFill="1" applyAlignment="1">
      <alignment vertical="center"/>
    </xf>
    <xf numFmtId="0" fontId="0" fillId="8" borderId="0" xfId="0" applyFill="1" applyAlignment="1">
      <alignment vertical="center"/>
    </xf>
    <xf numFmtId="0" fontId="0" fillId="54" borderId="0" xfId="0" applyFill="1" applyAlignment="1">
      <alignment vertical="center"/>
    </xf>
    <xf numFmtId="0" fontId="0" fillId="8" borderId="0" xfId="0" applyFill="1" applyAlignment="1">
      <alignment vertical="center"/>
    </xf>
    <xf numFmtId="0" fontId="0" fillId="0" borderId="117" xfId="0" applyBorder="1">
      <alignment vertical="center"/>
    </xf>
    <xf numFmtId="168" fontId="5" fillId="0" borderId="0" xfId="13" applyNumberFormat="1" applyBorder="1">
      <alignment vertical="center"/>
    </xf>
    <xf numFmtId="0" fontId="0" fillId="0" borderId="119" xfId="0" applyBorder="1">
      <alignment vertical="center"/>
    </xf>
    <xf numFmtId="0" fontId="4" fillId="47" borderId="0" xfId="6" quotePrefix="1" applyFill="1">
      <alignment vertical="center"/>
    </xf>
    <xf numFmtId="0" fontId="0" fillId="54" borderId="0" xfId="0" applyFill="1" applyAlignment="1">
      <alignment vertical="center"/>
    </xf>
    <xf numFmtId="0" fontId="0" fillId="54" borderId="0" xfId="0" applyFill="1" applyAlignment="1">
      <alignment vertical="center"/>
    </xf>
    <xf numFmtId="0" fontId="0" fillId="8" borderId="0" xfId="0" applyFill="1"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73" xfId="0" applyBorder="1" applyAlignment="1">
      <alignment horizontal="center" vertical="center" wrapText="1"/>
    </xf>
    <xf numFmtId="168" fontId="0" fillId="0" borderId="0" xfId="79" applyNumberFormat="1" applyFont="1" applyAlignment="1">
      <alignment horizontal="center" vertical="center" wrapText="1"/>
    </xf>
    <xf numFmtId="168" fontId="0" fillId="0" borderId="76" xfId="79" applyNumberFormat="1" applyFont="1" applyBorder="1" applyAlignment="1">
      <alignment horizontal="center" vertical="center" wrapText="1"/>
    </xf>
    <xf numFmtId="168" fontId="0" fillId="0" borderId="76" xfId="79" applyNumberFormat="1" applyFont="1" applyBorder="1" applyAlignment="1">
      <alignment vertical="center"/>
    </xf>
    <xf numFmtId="0" fontId="0" fillId="0" borderId="0" xfId="0" applyBorder="1" applyAlignment="1">
      <alignment vertical="center"/>
    </xf>
    <xf numFmtId="0" fontId="0" fillId="0" borderId="73" xfId="0" applyBorder="1" applyAlignment="1">
      <alignment vertical="center"/>
    </xf>
    <xf numFmtId="168" fontId="0" fillId="0" borderId="0" xfId="79" applyNumberFormat="1" applyFont="1" applyAlignment="1">
      <alignment vertical="center"/>
    </xf>
    <xf numFmtId="0" fontId="0" fillId="0" borderId="0" xfId="0" applyAlignment="1">
      <alignment vertical="center"/>
    </xf>
    <xf numFmtId="0" fontId="0" fillId="3" borderId="44" xfId="0" applyFill="1" applyBorder="1" applyAlignment="1">
      <alignment vertical="center"/>
    </xf>
    <xf numFmtId="168" fontId="0" fillId="0" borderId="34" xfId="79" applyFont="1" applyBorder="1" applyAlignment="1">
      <alignment vertical="center"/>
    </xf>
    <xf numFmtId="168" fontId="0" fillId="0" borderId="0" xfId="79" applyFont="1" applyBorder="1" applyAlignment="1">
      <alignment vertical="center"/>
    </xf>
    <xf numFmtId="0" fontId="0" fillId="8" borderId="0" xfId="0" applyFill="1" applyAlignment="1">
      <alignment vertical="center"/>
    </xf>
    <xf numFmtId="0" fontId="0" fillId="54" borderId="0" xfId="0" applyFill="1" applyAlignment="1">
      <alignment vertical="center"/>
    </xf>
    <xf numFmtId="0" fontId="0" fillId="54" borderId="0" xfId="0" applyFill="1" applyBorder="1" applyAlignment="1">
      <alignment vertical="center"/>
    </xf>
    <xf numFmtId="168" fontId="0" fillId="0" borderId="0" xfId="79" applyNumberFormat="1" applyFont="1" applyAlignment="1"/>
    <xf numFmtId="0" fontId="0" fillId="0" borderId="0" xfId="0" applyAlignment="1"/>
    <xf numFmtId="0" fontId="0" fillId="54" borderId="0" xfId="0" applyFill="1" applyAlignment="1"/>
    <xf numFmtId="0" fontId="21" fillId="54" borderId="0" xfId="0" applyFont="1" applyFill="1" applyAlignment="1"/>
    <xf numFmtId="168" fontId="0" fillId="0" borderId="0" xfId="79" applyNumberFormat="1" applyFont="1" applyAlignment="1">
      <alignment vertical="center"/>
    </xf>
    <xf numFmtId="0" fontId="0" fillId="0" borderId="0" xfId="0" applyAlignment="1">
      <alignment vertical="center"/>
    </xf>
    <xf numFmtId="0" fontId="17" fillId="0" borderId="0" xfId="0" applyFont="1" applyAlignment="1">
      <alignment horizontal="center" vertical="center"/>
    </xf>
    <xf numFmtId="168" fontId="0" fillId="0" borderId="69" xfId="79" applyNumberFormat="1" applyFont="1" applyBorder="1" applyAlignment="1">
      <alignment horizontal="centerContinuous" vertical="center"/>
    </xf>
    <xf numFmtId="0" fontId="0" fillId="0" borderId="0" xfId="0" applyAlignment="1">
      <alignment horizontal="centerContinuous" vertical="center"/>
    </xf>
    <xf numFmtId="0" fontId="79" fillId="51" borderId="4" xfId="9" applyFont="1" applyAlignment="1">
      <alignment horizontal="centerContinuous" vertical="center" wrapText="1"/>
    </xf>
    <xf numFmtId="168" fontId="21" fillId="54" borderId="0" xfId="79" applyNumberFormat="1" applyFont="1" applyFill="1" applyAlignment="1">
      <alignment horizontal="centerContinuous" vertical="center" wrapText="1"/>
    </xf>
    <xf numFmtId="0" fontId="21" fillId="54" borderId="0" xfId="0" applyFont="1" applyFill="1" applyAlignment="1">
      <alignment horizontal="centerContinuous" vertical="center" wrapText="1"/>
    </xf>
    <xf numFmtId="177" fontId="50" fillId="54" borderId="0" xfId="76" applyNumberFormat="1" applyFont="1" applyFill="1" applyAlignment="1">
      <alignment horizontal="centerContinuous" vertical="center" wrapText="1"/>
    </xf>
    <xf numFmtId="168" fontId="0" fillId="0" borderId="0" xfId="79" applyNumberFormat="1" applyFont="1" applyAlignment="1">
      <alignment horizontal="centerContinuous" vertical="center" wrapText="1"/>
    </xf>
    <xf numFmtId="0" fontId="0" fillId="0" borderId="0" xfId="0" applyAlignment="1">
      <alignment horizontal="centerContinuous" vertical="center" wrapText="1"/>
    </xf>
    <xf numFmtId="177" fontId="18" fillId="0" borderId="0" xfId="76" applyNumberFormat="1" applyAlignment="1">
      <alignment horizontal="centerContinuous" vertical="center" wrapText="1"/>
    </xf>
    <xf numFmtId="0" fontId="21" fillId="3" borderId="44" xfId="0" applyFont="1" applyFill="1" applyBorder="1" applyAlignment="1"/>
    <xf numFmtId="0" fontId="0" fillId="3" borderId="44" xfId="0" applyFill="1" applyBorder="1" applyAlignment="1"/>
    <xf numFmtId="168" fontId="21" fillId="3" borderId="44" xfId="79" applyNumberFormat="1" applyFont="1" applyFill="1" applyBorder="1" applyAlignment="1">
      <alignment horizontal="centerContinuous"/>
    </xf>
    <xf numFmtId="0" fontId="0" fillId="3" borderId="44" xfId="0" applyFill="1" applyBorder="1" applyAlignment="1">
      <alignment horizontal="centerContinuous"/>
    </xf>
    <xf numFmtId="177" fontId="49" fillId="3" borderId="44" xfId="76" applyNumberFormat="1" applyFont="1" applyFill="1" applyBorder="1" applyAlignment="1">
      <alignment horizontal="centerContinuous"/>
    </xf>
    <xf numFmtId="190" fontId="50" fillId="54" borderId="118" xfId="0" applyNumberFormat="1" applyFont="1" applyFill="1" applyBorder="1" applyAlignment="1">
      <alignment horizontal="centerContinuous"/>
    </xf>
    <xf numFmtId="0" fontId="21" fillId="54" borderId="120" xfId="0" applyFont="1" applyFill="1" applyBorder="1" applyAlignment="1">
      <alignment horizontal="centerContinuous"/>
    </xf>
    <xf numFmtId="0" fontId="21" fillId="54" borderId="121" xfId="0" applyFont="1" applyFill="1" applyBorder="1" applyAlignment="1">
      <alignment horizontal="centerContinuous"/>
    </xf>
    <xf numFmtId="168" fontId="24" fillId="0" borderId="0" xfId="79" applyNumberFormat="1" applyFont="1" applyAlignment="1"/>
    <xf numFmtId="0" fontId="24" fillId="0" borderId="0" xfId="0" applyFont="1" applyAlignment="1"/>
    <xf numFmtId="168" fontId="0" fillId="0" borderId="103" xfId="79" applyFont="1" applyBorder="1" applyAlignment="1">
      <alignment horizontal="centerContinuous" vertical="center"/>
    </xf>
    <xf numFmtId="0" fontId="8" fillId="51" borderId="106" xfId="9" applyBorder="1" applyAlignment="1">
      <alignment horizontal="centerContinuous" vertical="center" wrapText="1"/>
    </xf>
    <xf numFmtId="0" fontId="85" fillId="0" borderId="100" xfId="0" applyFont="1" applyBorder="1" applyAlignment="1">
      <alignment horizontal="right"/>
    </xf>
    <xf numFmtId="0" fontId="0" fillId="0" borderId="122" xfId="0" applyBorder="1" applyAlignment="1">
      <alignment vertical="center"/>
    </xf>
    <xf numFmtId="0" fontId="0" fillId="0" borderId="105" xfId="0" applyBorder="1" applyAlignment="1">
      <alignment vertical="center"/>
    </xf>
    <xf numFmtId="168" fontId="21" fillId="54" borderId="0" xfId="11" applyNumberFormat="1" applyFont="1" applyFill="1" applyBorder="1" applyAlignment="1">
      <alignment horizontal="centerContinuous" vertical="center" wrapText="1"/>
    </xf>
    <xf numFmtId="0" fontId="0" fillId="54" borderId="0" xfId="0" applyFill="1" applyAlignment="1">
      <alignment horizontal="centerContinuous" vertical="center" wrapText="1"/>
    </xf>
    <xf numFmtId="168" fontId="21" fillId="54" borderId="76" xfId="11" applyNumberFormat="1" applyFont="1" applyFill="1" applyBorder="1" applyAlignment="1">
      <alignment horizontal="centerContinuous" vertical="center" wrapText="1"/>
    </xf>
    <xf numFmtId="0" fontId="0" fillId="54" borderId="73" xfId="0" applyFill="1" applyBorder="1" applyAlignment="1">
      <alignment horizontal="centerContinuous" vertical="center" wrapText="1"/>
    </xf>
    <xf numFmtId="168" fontId="0" fillId="0" borderId="76" xfId="79" applyNumberFormat="1" applyFont="1" applyBorder="1" applyAlignment="1">
      <alignment horizontal="centerContinuous" vertical="center" wrapText="1"/>
    </xf>
    <xf numFmtId="0" fontId="0" fillId="0" borderId="73" xfId="0" applyBorder="1" applyAlignment="1">
      <alignment horizontal="centerContinuous" vertical="center" wrapText="1"/>
    </xf>
    <xf numFmtId="168" fontId="21" fillId="3" borderId="44" xfId="12" applyNumberFormat="1" applyFont="1" applyFill="1" applyBorder="1" applyAlignment="1">
      <alignment horizontal="centerContinuous" vertical="center" wrapText="1"/>
    </xf>
    <xf numFmtId="0" fontId="0" fillId="3" borderId="44" xfId="0" applyFill="1" applyBorder="1" applyAlignment="1">
      <alignment horizontal="centerContinuous" vertical="center" wrapText="1"/>
    </xf>
    <xf numFmtId="168" fontId="21" fillId="3" borderId="77" xfId="12" applyNumberFormat="1" applyFont="1" applyFill="1" applyBorder="1" applyAlignment="1">
      <alignment horizontal="centerContinuous" vertical="center" wrapText="1"/>
    </xf>
    <xf numFmtId="0" fontId="0" fillId="3" borderId="74" xfId="0" applyFill="1" applyBorder="1" applyAlignment="1">
      <alignment horizontal="centerContinuous" vertical="center" wrapText="1"/>
    </xf>
    <xf numFmtId="168" fontId="0" fillId="8" borderId="0" xfId="79" applyNumberFormat="1" applyFont="1" applyFill="1" applyAlignment="1">
      <alignment horizontal="centerContinuous" vertical="center" wrapText="1"/>
    </xf>
    <xf numFmtId="0" fontId="0" fillId="8" borderId="0" xfId="0" applyFill="1" applyAlignment="1">
      <alignment horizontal="centerContinuous" vertical="center" wrapText="1"/>
    </xf>
    <xf numFmtId="168" fontId="0" fillId="8" borderId="76" xfId="79" applyNumberFormat="1" applyFont="1" applyFill="1" applyBorder="1" applyAlignment="1">
      <alignment horizontal="centerContinuous" vertical="center" wrapText="1"/>
    </xf>
    <xf numFmtId="0" fontId="0" fillId="8" borderId="73" xfId="0" applyFill="1" applyBorder="1" applyAlignment="1">
      <alignment horizontal="centerContinuous" vertical="center" wrapText="1"/>
    </xf>
    <xf numFmtId="168" fontId="0" fillId="8" borderId="0" xfId="79" applyFont="1" applyFill="1" applyAlignment="1">
      <alignment horizontal="centerContinuous" vertical="center"/>
    </xf>
    <xf numFmtId="193" fontId="8" fillId="51" borderId="30" xfId="9" applyNumberFormat="1" applyBorder="1" applyAlignment="1">
      <alignment horizontal="centerContinuous" vertical="center" wrapText="1"/>
    </xf>
    <xf numFmtId="0" fontId="0" fillId="54" borderId="0" xfId="0" applyFill="1" applyBorder="1" applyAlignment="1">
      <alignment horizontal="centerContinuous" vertical="center" wrapText="1"/>
    </xf>
    <xf numFmtId="0" fontId="0" fillId="0" borderId="0" xfId="0" applyBorder="1" applyAlignment="1">
      <alignment horizontal="centerContinuous" vertical="center" wrapText="1"/>
    </xf>
    <xf numFmtId="168" fontId="5" fillId="0" borderId="2" xfId="13" applyNumberFormat="1" applyFont="1" applyAlignment="1">
      <alignment horizontal="centerContinuous"/>
    </xf>
    <xf numFmtId="0" fontId="5" fillId="0" borderId="2" xfId="13" applyFont="1" applyAlignment="1">
      <alignment horizontal="centerContinuous"/>
    </xf>
    <xf numFmtId="177" fontId="5" fillId="0" borderId="2" xfId="76" applyNumberFormat="1" applyFont="1" applyBorder="1" applyAlignment="1">
      <alignment horizontal="centerContinuous"/>
    </xf>
    <xf numFmtId="0" fontId="21" fillId="3" borderId="107" xfId="0" applyFont="1" applyFill="1" applyBorder="1" applyAlignment="1">
      <alignment vertical="center"/>
    </xf>
    <xf numFmtId="0" fontId="0" fillId="3" borderId="107" xfId="0" applyFill="1" applyBorder="1" applyAlignment="1">
      <alignment vertical="center"/>
    </xf>
    <xf numFmtId="168" fontId="21" fillId="3" borderId="107" xfId="79" applyNumberFormat="1" applyFont="1" applyFill="1" applyBorder="1" applyAlignment="1">
      <alignment horizontal="centerContinuous" vertical="center" wrapText="1"/>
    </xf>
    <xf numFmtId="0" fontId="21" fillId="3" borderId="107" xfId="0" applyFont="1" applyFill="1" applyBorder="1" applyAlignment="1">
      <alignment horizontal="centerContinuous" vertical="center" wrapText="1"/>
    </xf>
    <xf numFmtId="168" fontId="21" fillId="3" borderId="109" xfId="79" applyNumberFormat="1" applyFont="1" applyFill="1" applyBorder="1" applyAlignment="1">
      <alignment horizontal="centerContinuous" vertical="center" wrapText="1"/>
    </xf>
    <xf numFmtId="0" fontId="21" fillId="3" borderId="108" xfId="0" applyFont="1" applyFill="1" applyBorder="1" applyAlignment="1">
      <alignment horizontal="centerContinuous" vertical="center" wrapText="1"/>
    </xf>
    <xf numFmtId="168" fontId="21" fillId="8" borderId="0" xfId="79" applyNumberFormat="1" applyFont="1" applyFill="1" applyAlignment="1">
      <alignment horizontal="centerContinuous" vertical="center" wrapText="1"/>
    </xf>
    <xf numFmtId="0" fontId="21" fillId="8" borderId="0" xfId="0" applyFont="1" applyFill="1" applyAlignment="1">
      <alignment horizontal="centerContinuous" vertical="center" wrapText="1"/>
    </xf>
    <xf numFmtId="168" fontId="21" fillId="8" borderId="76" xfId="79" applyNumberFormat="1" applyFont="1" applyFill="1" applyBorder="1" applyAlignment="1">
      <alignment horizontal="centerContinuous" vertical="center" wrapText="1"/>
    </xf>
    <xf numFmtId="0" fontId="21" fillId="8" borderId="0" xfId="0" applyFont="1" applyFill="1" applyBorder="1" applyAlignment="1">
      <alignment horizontal="centerContinuous" vertical="center" wrapText="1"/>
    </xf>
    <xf numFmtId="0" fontId="21" fillId="8" borderId="73" xfId="0" applyFont="1" applyFill="1" applyBorder="1" applyAlignment="1">
      <alignment horizontal="centerContinuous" vertical="center" wrapText="1"/>
    </xf>
    <xf numFmtId="176" fontId="4" fillId="0" borderId="0" xfId="6" applyNumberFormat="1" applyAlignment="1">
      <alignment horizontal="left" vertical="center"/>
    </xf>
    <xf numFmtId="0" fontId="70" fillId="46" borderId="12" xfId="27" applyAlignment="1" applyProtection="1">
      <alignment vertical="center"/>
      <protection locked="0"/>
    </xf>
    <xf numFmtId="1" fontId="8" fillId="0" borderId="0" xfId="82" applyNumberFormat="1" applyFont="1" applyFill="1" applyAlignment="1">
      <alignment horizontal="centerContinuous" vertical="center"/>
    </xf>
    <xf numFmtId="177" fontId="67" fillId="0" borderId="76" xfId="76" applyNumberFormat="1" applyFont="1" applyBorder="1" applyAlignment="1">
      <alignment vertical="center"/>
    </xf>
    <xf numFmtId="0" fontId="0" fillId="54" borderId="0" xfId="0" applyFill="1" applyAlignment="1">
      <alignment horizontal="right" vertical="center"/>
    </xf>
    <xf numFmtId="3" fontId="5" fillId="0" borderId="0" xfId="13" applyNumberFormat="1" applyBorder="1">
      <alignment vertical="center"/>
    </xf>
    <xf numFmtId="0" fontId="0" fillId="56" borderId="0" xfId="0" applyFill="1">
      <alignment vertical="center"/>
    </xf>
    <xf numFmtId="0" fontId="95" fillId="53" borderId="2" xfId="86" applyBorder="1">
      <alignment vertical="center"/>
    </xf>
    <xf numFmtId="178" fontId="70" fillId="46" borderId="12" xfId="79" applyNumberFormat="1" applyFont="1" applyFill="1" applyBorder="1" applyAlignment="1">
      <alignment horizontal="center" vertical="center"/>
    </xf>
    <xf numFmtId="179" fontId="99" fillId="8" borderId="31" xfId="0" applyNumberFormat="1" applyFont="1" applyFill="1" applyBorder="1">
      <alignment vertical="center"/>
    </xf>
    <xf numFmtId="168" fontId="70" fillId="46" borderId="12" xfId="88" applyNumberFormat="1" applyProtection="1">
      <alignment vertical="center"/>
      <protection locked="0"/>
    </xf>
    <xf numFmtId="170" fontId="63" fillId="0" borderId="2" xfId="19" applyNumberFormat="1" applyAlignment="1">
      <alignment horizontal="center" vertical="center"/>
    </xf>
    <xf numFmtId="184" fontId="4" fillId="52" borderId="2" xfId="84" applyAlignment="1">
      <alignment horizontal="center" vertical="center"/>
    </xf>
    <xf numFmtId="172" fontId="14" fillId="0" borderId="10" xfId="74" applyAlignment="1" applyProtection="1">
      <alignment horizontal="center" vertical="center"/>
    </xf>
    <xf numFmtId="0" fontId="15" fillId="0" borderId="0" xfId="89">
      <alignment vertical="center"/>
    </xf>
    <xf numFmtId="0" fontId="70" fillId="46" borderId="12" xfId="88" applyProtection="1">
      <alignment vertical="center"/>
      <protection locked="0"/>
    </xf>
    <xf numFmtId="170" fontId="63" fillId="0" borderId="2" xfId="19" applyNumberFormat="1" applyAlignment="1">
      <alignment horizontal="centerContinuous" vertical="center"/>
    </xf>
    <xf numFmtId="0" fontId="0" fillId="0" borderId="0" xfId="0">
      <alignment vertical="center"/>
    </xf>
    <xf numFmtId="169" fontId="10" fillId="5" borderId="8" xfId="18" applyAlignment="1"/>
    <xf numFmtId="198" fontId="4" fillId="2" borderId="2" xfId="4" applyNumberFormat="1" applyAlignment="1">
      <alignment horizontal="center" vertical="center"/>
    </xf>
    <xf numFmtId="0" fontId="4" fillId="0" borderId="0" xfId="6" applyAlignment="1">
      <alignment horizontal="right" vertical="center"/>
    </xf>
    <xf numFmtId="199" fontId="5" fillId="8" borderId="0" xfId="90" applyFont="1" applyFill="1" applyBorder="1">
      <alignment horizontal="center" vertical="center"/>
    </xf>
    <xf numFmtId="200" fontId="9" fillId="2" borderId="2" xfId="82" applyFont="1" applyFill="1" applyBorder="1">
      <alignment horizontal="center" vertical="center"/>
    </xf>
    <xf numFmtId="200" fontId="18" fillId="8" borderId="0" xfId="82" applyFont="1" applyFill="1" applyBorder="1" applyProtection="1">
      <alignment horizontal="center" vertical="center"/>
    </xf>
    <xf numFmtId="200" fontId="18" fillId="7" borderId="0" xfId="82" applyFont="1" applyFill="1" applyBorder="1" applyProtection="1">
      <alignment horizontal="center" vertical="center"/>
    </xf>
    <xf numFmtId="0" fontId="14" fillId="54" borderId="0" xfId="0" applyFont="1" applyFill="1" applyBorder="1" applyAlignment="1">
      <alignment vertical="center"/>
    </xf>
    <xf numFmtId="0" fontId="18" fillId="54" borderId="0" xfId="0" applyFont="1" applyFill="1" applyBorder="1" applyAlignment="1">
      <alignment vertical="center"/>
    </xf>
    <xf numFmtId="169" fontId="5" fillId="54" borderId="2" xfId="5" applyNumberFormat="1" applyFill="1" applyAlignment="1" applyProtection="1">
      <alignment vertical="center"/>
      <protection hidden="1"/>
    </xf>
    <xf numFmtId="169" fontId="10" fillId="6" borderId="8" xfId="18" applyFill="1" applyAlignment="1" applyProtection="1">
      <alignment vertical="center"/>
    </xf>
    <xf numFmtId="200" fontId="9" fillId="54" borderId="2" xfId="82" applyFont="1" applyFill="1" applyBorder="1" applyProtection="1">
      <alignment horizontal="center" vertical="center"/>
      <protection hidden="1"/>
    </xf>
    <xf numFmtId="0" fontId="0" fillId="54" borderId="0" xfId="0" applyFill="1" applyAlignment="1" applyProtection="1">
      <alignment vertical="center"/>
    </xf>
    <xf numFmtId="0" fontId="4" fillId="0" borderId="0" xfId="6" quotePrefix="1" applyAlignment="1">
      <alignment vertical="center"/>
    </xf>
    <xf numFmtId="0" fontId="0" fillId="0" borderId="0" xfId="0" quotePrefix="1" applyAlignment="1" applyProtection="1">
      <alignment vertical="center"/>
    </xf>
    <xf numFmtId="0" fontId="4" fillId="54" borderId="0" xfId="6" applyFill="1" applyAlignment="1">
      <alignment vertical="center"/>
    </xf>
    <xf numFmtId="0" fontId="21" fillId="0" borderId="0" xfId="0" applyFont="1" applyAlignment="1" applyProtection="1">
      <alignment vertical="center"/>
    </xf>
    <xf numFmtId="0" fontId="6" fillId="4" borderId="2" xfId="17" applyFont="1" applyAlignment="1" applyProtection="1">
      <alignment vertical="center"/>
    </xf>
    <xf numFmtId="0" fontId="4" fillId="0" borderId="0" xfId="6" applyAlignment="1" applyProtection="1">
      <alignment vertical="center"/>
    </xf>
    <xf numFmtId="169" fontId="5" fillId="0" borderId="2" xfId="13" applyNumberFormat="1" applyAlignment="1">
      <alignment horizontal="center" vertical="center"/>
    </xf>
    <xf numFmtId="194" fontId="9" fillId="2" borderId="2" xfId="15" applyNumberFormat="1" applyAlignment="1">
      <alignment horizontal="center" vertical="center"/>
    </xf>
    <xf numFmtId="201" fontId="0" fillId="0" borderId="0" xfId="0" applyNumberFormat="1" applyAlignment="1" applyProtection="1">
      <alignment horizontal="center"/>
    </xf>
    <xf numFmtId="201" fontId="0" fillId="47" borderId="0" xfId="0" applyNumberFormat="1" applyFill="1" applyAlignment="1" applyProtection="1">
      <alignment horizontal="center"/>
    </xf>
    <xf numFmtId="0" fontId="4" fillId="0" borderId="0" xfId="6" applyAlignment="1">
      <alignment horizontal="center" vertical="center"/>
    </xf>
    <xf numFmtId="0" fontId="4" fillId="54" borderId="0" xfId="6" applyFill="1" applyAlignment="1">
      <alignment horizontal="center" vertical="center"/>
    </xf>
    <xf numFmtId="0" fontId="72" fillId="0" borderId="0" xfId="0" applyFont="1" applyAlignment="1" applyProtection="1">
      <alignment vertical="center"/>
    </xf>
    <xf numFmtId="202" fontId="0" fillId="0" borderId="0" xfId="0" applyNumberFormat="1" applyProtection="1">
      <alignment vertical="center"/>
    </xf>
    <xf numFmtId="203" fontId="0" fillId="0" borderId="0" xfId="0" applyNumberFormat="1" applyProtection="1">
      <alignment vertical="center"/>
    </xf>
    <xf numFmtId="203" fontId="0" fillId="0" borderId="0" xfId="0" applyNumberFormat="1" applyAlignment="1" applyProtection="1">
      <alignment horizontal="center"/>
    </xf>
    <xf numFmtId="203" fontId="0" fillId="47" borderId="0" xfId="0" applyNumberFormat="1" applyFill="1" applyAlignment="1" applyProtection="1">
      <alignment horizontal="center"/>
    </xf>
    <xf numFmtId="170" fontId="63" fillId="54" borderId="2" xfId="19" applyNumberFormat="1" applyFill="1" applyAlignment="1">
      <alignment horizontal="center" vertical="center"/>
    </xf>
    <xf numFmtId="0" fontId="0" fillId="47" borderId="0" xfId="0" applyFill="1" applyAlignment="1"/>
    <xf numFmtId="0" fontId="18" fillId="47" borderId="0" xfId="0" applyFont="1" applyFill="1" applyBorder="1" applyAlignment="1" applyProtection="1">
      <protection hidden="1"/>
    </xf>
    <xf numFmtId="0" fontId="14" fillId="47" borderId="0" xfId="0" applyFont="1" applyFill="1" applyBorder="1" applyAlignment="1">
      <alignment vertical="center"/>
    </xf>
    <xf numFmtId="0" fontId="18" fillId="47" borderId="0" xfId="0" applyFont="1" applyFill="1" applyBorder="1" applyAlignment="1">
      <alignment vertical="center"/>
    </xf>
    <xf numFmtId="170" fontId="63" fillId="47" borderId="2" xfId="19" applyNumberFormat="1" applyFill="1" applyAlignment="1">
      <alignment horizontal="center" vertical="center"/>
    </xf>
    <xf numFmtId="169" fontId="5" fillId="47" borderId="2" xfId="5" applyNumberFormat="1" applyFill="1" applyAlignment="1" applyProtection="1">
      <alignment vertical="center"/>
      <protection hidden="1"/>
    </xf>
    <xf numFmtId="200" fontId="5" fillId="0" borderId="2" xfId="82" applyFill="1" applyBorder="1" applyAlignment="1">
      <alignment horizontal="right" vertical="center"/>
    </xf>
    <xf numFmtId="0" fontId="8" fillId="51" borderId="123" xfId="9" applyBorder="1">
      <alignment horizontal="centerContinuous" vertical="center" wrapText="1"/>
    </xf>
    <xf numFmtId="168" fontId="0" fillId="0" borderId="7" xfId="12" applyNumberFormat="1" applyFont="1" applyAlignment="1">
      <alignment vertical="center"/>
    </xf>
    <xf numFmtId="205" fontId="9" fillId="2" borderId="2" xfId="15" applyNumberFormat="1">
      <alignment vertical="center"/>
    </xf>
    <xf numFmtId="204" fontId="0" fillId="8" borderId="0" xfId="0" applyNumberFormat="1" applyFill="1" applyBorder="1">
      <alignment vertical="center"/>
    </xf>
    <xf numFmtId="0" fontId="18" fillId="0" borderId="0" xfId="0" applyFont="1" applyAlignment="1">
      <alignment horizontal="right" vertical="center"/>
    </xf>
    <xf numFmtId="0" fontId="0" fillId="54" borderId="0" xfId="0" quotePrefix="1" applyFill="1" applyAlignment="1">
      <alignment horizontal="right" vertical="center"/>
    </xf>
    <xf numFmtId="0" fontId="8" fillId="51" borderId="124" xfId="9" applyBorder="1">
      <alignment horizontal="centerContinuous" vertical="center" wrapText="1"/>
    </xf>
    <xf numFmtId="168" fontId="9" fillId="4" borderId="2" xfId="17" applyNumberFormat="1" applyFont="1" applyAlignment="1">
      <alignment vertical="center"/>
    </xf>
    <xf numFmtId="178" fontId="9" fillId="2" borderId="2" xfId="15" applyNumberFormat="1" applyAlignment="1">
      <alignment horizontal="center" vertical="center"/>
    </xf>
    <xf numFmtId="0" fontId="0" fillId="0" borderId="0" xfId="0">
      <alignment vertical="center"/>
    </xf>
    <xf numFmtId="168" fontId="8" fillId="51" borderId="123" xfId="9" applyNumberFormat="1" applyBorder="1">
      <alignment horizontal="centerContinuous" vertical="center" wrapText="1"/>
    </xf>
    <xf numFmtId="0" fontId="18" fillId="54" borderId="0" xfId="0" applyFont="1" applyFill="1" applyAlignment="1">
      <alignment horizontal="right" vertical="center"/>
    </xf>
    <xf numFmtId="0" fontId="64" fillId="47" borderId="0" xfId="0" applyFont="1" applyFill="1" applyAlignment="1">
      <alignment horizontal="right" vertical="center"/>
    </xf>
    <xf numFmtId="185" fontId="18" fillId="8" borderId="7" xfId="12" applyNumberFormat="1" applyFont="1" applyFill="1" applyAlignment="1">
      <alignment vertical="center"/>
    </xf>
    <xf numFmtId="186" fontId="68" fillId="0" borderId="0" xfId="0" applyNumberFormat="1" applyFont="1" applyAlignment="1">
      <alignment vertical="center"/>
    </xf>
    <xf numFmtId="168" fontId="18" fillId="3" borderId="7" xfId="12" applyNumberFormat="1" applyFont="1" applyFill="1" applyAlignment="1">
      <alignment vertical="center"/>
    </xf>
    <xf numFmtId="168" fontId="18" fillId="53" borderId="7" xfId="12" applyNumberFormat="1" applyFont="1" applyFill="1" applyAlignment="1">
      <alignment vertical="center"/>
    </xf>
    <xf numFmtId="0" fontId="0" fillId="47" borderId="0" xfId="0" applyFill="1" applyAlignment="1">
      <alignment vertical="center" wrapText="1"/>
    </xf>
    <xf numFmtId="206" fontId="9" fillId="2" borderId="2" xfId="15" applyNumberFormat="1" applyAlignment="1">
      <alignment horizontal="center" vertical="center"/>
    </xf>
    <xf numFmtId="204" fontId="0" fillId="8" borderId="6" xfId="11" applyNumberFormat="1" applyFont="1" applyFill="1" applyAlignment="1">
      <alignment vertical="center"/>
    </xf>
    <xf numFmtId="208" fontId="8" fillId="51" borderId="4" xfId="9" applyNumberFormat="1">
      <alignment horizontal="centerContinuous" vertical="center" wrapText="1"/>
    </xf>
    <xf numFmtId="0" fontId="7" fillId="47" borderId="0" xfId="7" applyFill="1">
      <alignment vertical="center"/>
    </xf>
    <xf numFmtId="177" fontId="0" fillId="8" borderId="0" xfId="78" applyNumberFormat="1" applyFont="1" applyFill="1" applyAlignment="1">
      <alignment vertical="center"/>
    </xf>
    <xf numFmtId="3" fontId="0" fillId="8" borderId="0" xfId="0" applyNumberFormat="1" applyFill="1">
      <alignment vertical="center"/>
    </xf>
    <xf numFmtId="168" fontId="0" fillId="0" borderId="0" xfId="79" applyFont="1" applyBorder="1">
      <alignment vertical="center"/>
    </xf>
    <xf numFmtId="168" fontId="0" fillId="0" borderId="0" xfId="0" applyNumberFormat="1" applyFont="1" applyAlignment="1">
      <alignment vertical="center"/>
    </xf>
    <xf numFmtId="168" fontId="0" fillId="8" borderId="0" xfId="79" applyFont="1" applyFill="1" applyBorder="1">
      <alignment vertical="center"/>
    </xf>
    <xf numFmtId="168" fontId="0" fillId="47" borderId="0" xfId="79" applyFont="1" applyFill="1">
      <alignment vertical="center"/>
    </xf>
    <xf numFmtId="168" fontId="0" fillId="3" borderId="7" xfId="12" applyNumberFormat="1" applyFont="1" applyFill="1" applyAlignment="1">
      <alignment vertical="center"/>
    </xf>
    <xf numFmtId="168" fontId="0" fillId="46" borderId="7" xfId="12" applyNumberFormat="1" applyFont="1" applyFill="1" applyAlignment="1">
      <alignment vertical="center"/>
    </xf>
    <xf numFmtId="0" fontId="67" fillId="8" borderId="0" xfId="0" applyFont="1" applyFill="1">
      <alignment vertical="center"/>
    </xf>
    <xf numFmtId="0" fontId="72" fillId="8" borderId="0" xfId="0" applyFont="1" applyFill="1" applyAlignment="1">
      <alignment horizontal="right"/>
    </xf>
    <xf numFmtId="0" fontId="0" fillId="54" borderId="0" xfId="0" applyFill="1" applyAlignment="1">
      <alignment horizontal="centerContinuous" vertical="center"/>
    </xf>
    <xf numFmtId="0" fontId="64" fillId="54" borderId="0" xfId="0" applyFont="1" applyFill="1">
      <alignment vertical="center"/>
    </xf>
    <xf numFmtId="168" fontId="0" fillId="54" borderId="0" xfId="0" applyNumberFormat="1" applyFill="1">
      <alignment vertical="center"/>
    </xf>
    <xf numFmtId="168" fontId="16" fillId="47" borderId="0" xfId="0" applyNumberFormat="1" applyFont="1" applyFill="1" applyAlignment="1">
      <alignment vertical="center"/>
    </xf>
    <xf numFmtId="176" fontId="0" fillId="47" borderId="0" xfId="0" applyNumberFormat="1" applyFill="1" applyAlignment="1">
      <alignment horizontal="left" vertical="center"/>
    </xf>
    <xf numFmtId="0" fontId="73" fillId="47" borderId="0" xfId="0" applyFont="1" applyFill="1" applyAlignment="1">
      <alignment vertical="center"/>
    </xf>
    <xf numFmtId="168" fontId="16" fillId="47" borderId="0" xfId="0" applyNumberFormat="1" applyFont="1" applyFill="1" applyAlignment="1">
      <alignment horizontal="right" vertical="center"/>
    </xf>
    <xf numFmtId="0" fontId="0" fillId="47" borderId="0" xfId="0" applyFill="1" applyAlignment="1">
      <alignment vertical="center"/>
    </xf>
    <xf numFmtId="0" fontId="0" fillId="0" borderId="0" xfId="0" applyAlignment="1">
      <alignment vertical="center"/>
    </xf>
    <xf numFmtId="0" fontId="0" fillId="47" borderId="0" xfId="0" applyFill="1" applyAlignment="1">
      <alignment horizontal="left" vertical="center"/>
    </xf>
    <xf numFmtId="209" fontId="18" fillId="47" borderId="0" xfId="0" applyNumberFormat="1" applyFont="1" applyFill="1" applyAlignment="1">
      <alignment vertical="center"/>
    </xf>
    <xf numFmtId="182" fontId="18" fillId="4" borderId="2" xfId="17" applyNumberFormat="1" applyFont="1" applyAlignment="1">
      <alignment vertical="center"/>
    </xf>
    <xf numFmtId="168" fontId="18" fillId="0" borderId="6" xfId="11" applyNumberFormat="1" applyFont="1" applyAlignment="1">
      <alignment vertical="center"/>
    </xf>
    <xf numFmtId="168" fontId="18" fillId="8" borderId="3" xfId="8" applyNumberFormat="1" applyFont="1" applyFill="1">
      <alignment vertical="center"/>
    </xf>
    <xf numFmtId="168" fontId="18" fillId="0" borderId="3" xfId="8" applyNumberFormat="1" applyFont="1">
      <alignment vertical="center"/>
    </xf>
    <xf numFmtId="205" fontId="70" fillId="46" borderId="12" xfId="88" applyNumberFormat="1" applyProtection="1">
      <alignment vertical="center"/>
      <protection locked="0"/>
    </xf>
    <xf numFmtId="173" fontId="5" fillId="0" borderId="2" xfId="78" applyNumberFormat="1" applyFont="1" applyBorder="1" applyAlignment="1">
      <alignment horizontal="center" vertical="center"/>
    </xf>
    <xf numFmtId="168" fontId="18" fillId="0" borderId="0" xfId="79" applyFont="1">
      <alignment vertical="center"/>
    </xf>
    <xf numFmtId="0" fontId="4" fillId="8" borderId="0" xfId="6" applyFill="1" applyAlignment="1">
      <alignment horizontal="right" vertical="center"/>
    </xf>
    <xf numFmtId="200" fontId="5" fillId="2" borderId="2" xfId="82" applyFill="1" applyBorder="1">
      <alignment horizontal="center" vertical="center"/>
    </xf>
    <xf numFmtId="168" fontId="0" fillId="54" borderId="0" xfId="0" applyNumberFormat="1" applyFill="1" applyAlignment="1">
      <alignment horizontal="right" vertical="center"/>
    </xf>
    <xf numFmtId="168" fontId="16" fillId="54" borderId="2" xfId="13" applyNumberFormat="1" applyFont="1" applyFill="1">
      <alignment vertical="center"/>
    </xf>
    <xf numFmtId="168" fontId="5" fillId="54" borderId="2" xfId="13" applyNumberFormat="1" applyFont="1" applyFill="1">
      <alignment vertical="center"/>
    </xf>
    <xf numFmtId="168" fontId="49" fillId="47" borderId="102" xfId="0" applyNumberFormat="1" applyFont="1" applyFill="1" applyBorder="1">
      <alignment vertical="center"/>
    </xf>
    <xf numFmtId="0" fontId="18" fillId="0" borderId="0" xfId="0" applyFont="1" applyAlignment="1">
      <alignment horizontal="center" vertical="center"/>
    </xf>
    <xf numFmtId="0" fontId="0" fillId="0" borderId="0" xfId="0" applyFont="1" applyAlignment="1">
      <alignment vertical="center"/>
    </xf>
    <xf numFmtId="0" fontId="18" fillId="4" borderId="2" xfId="17" applyFont="1" applyAlignment="1">
      <alignment vertical="center"/>
    </xf>
    <xf numFmtId="207" fontId="14" fillId="0" borderId="0" xfId="0" applyNumberFormat="1" applyFont="1" applyAlignment="1" applyProtection="1">
      <alignment horizontal="center" vertical="center"/>
    </xf>
    <xf numFmtId="168" fontId="21" fillId="54" borderId="5" xfId="10" applyNumberFormat="1" applyFont="1" applyFill="1" applyAlignment="1">
      <alignment vertical="center"/>
    </xf>
    <xf numFmtId="0" fontId="0" fillId="47" borderId="0" xfId="0" applyFill="1" applyAlignment="1">
      <alignment vertical="center"/>
    </xf>
    <xf numFmtId="0" fontId="0" fillId="8" borderId="0" xfId="0" quotePrefix="1" applyFill="1" applyBorder="1" applyAlignment="1">
      <alignment vertical="center"/>
    </xf>
    <xf numFmtId="211" fontId="9" fillId="2" borderId="2" xfId="15" quotePrefix="1" applyNumberFormat="1" applyAlignment="1">
      <alignment horizontal="center" vertical="center"/>
    </xf>
    <xf numFmtId="0" fontId="0" fillId="47" borderId="0" xfId="0" applyFill="1" applyAlignment="1">
      <alignment vertical="center"/>
    </xf>
    <xf numFmtId="0" fontId="0" fillId="0" borderId="0" xfId="0" applyAlignment="1">
      <alignment horizontal="right" vertical="center"/>
    </xf>
    <xf numFmtId="0" fontId="0" fillId="0" borderId="0" xfId="0" applyAlignment="1">
      <alignment vertical="center"/>
    </xf>
    <xf numFmtId="0" fontId="0" fillId="47" borderId="117" xfId="0" applyFill="1" applyBorder="1" applyAlignment="1">
      <alignment vertical="center"/>
    </xf>
    <xf numFmtId="168" fontId="0" fillId="8" borderId="0" xfId="85" applyNumberFormat="1" applyFont="1" applyFill="1" applyBorder="1" applyAlignment="1">
      <alignment vertical="center"/>
    </xf>
    <xf numFmtId="0" fontId="16" fillId="47" borderId="0" xfId="0" applyFont="1" applyFill="1" applyBorder="1" applyAlignment="1">
      <alignment vertical="center"/>
    </xf>
    <xf numFmtId="0" fontId="5" fillId="47" borderId="0" xfId="0" applyFont="1" applyFill="1" applyBorder="1" applyAlignment="1">
      <alignment vertical="center"/>
    </xf>
    <xf numFmtId="168" fontId="0" fillId="47" borderId="0" xfId="85" applyNumberFormat="1" applyFont="1" applyFill="1" applyBorder="1" applyAlignment="1">
      <alignment vertical="center"/>
    </xf>
    <xf numFmtId="168" fontId="21" fillId="8" borderId="7" xfId="12" applyNumberFormat="1" applyFont="1" applyFill="1" applyAlignment="1">
      <alignment vertical="center"/>
    </xf>
    <xf numFmtId="0" fontId="0" fillId="47" borderId="81" xfId="0" applyFill="1" applyBorder="1" applyAlignment="1">
      <alignment vertical="center"/>
    </xf>
    <xf numFmtId="168" fontId="0" fillId="8" borderId="81" xfId="85" applyNumberFormat="1" applyFont="1" applyFill="1" applyBorder="1" applyAlignment="1">
      <alignment vertical="center"/>
    </xf>
    <xf numFmtId="168" fontId="0" fillId="0" borderId="0" xfId="0" applyNumberFormat="1" applyAlignment="1">
      <alignment vertical="center"/>
    </xf>
    <xf numFmtId="168" fontId="24" fillId="8" borderId="7" xfId="79" applyNumberFormat="1" applyFont="1" applyFill="1" applyBorder="1" applyAlignment="1">
      <alignment vertical="center"/>
    </xf>
    <xf numFmtId="197" fontId="0" fillId="47" borderId="0" xfId="0" applyNumberFormat="1" applyFill="1" applyAlignment="1">
      <alignment vertical="center"/>
    </xf>
    <xf numFmtId="2" fontId="0" fillId="47" borderId="0" xfId="0" quotePrefix="1" applyNumberFormat="1" applyFill="1" applyAlignment="1">
      <alignment vertical="center"/>
    </xf>
    <xf numFmtId="0" fontId="0" fillId="8" borderId="0" xfId="0" quotePrefix="1" applyFont="1" applyFill="1" applyBorder="1" applyAlignment="1">
      <alignment vertical="center"/>
    </xf>
    <xf numFmtId="176" fontId="48" fillId="54" borderId="0" xfId="0" applyNumberFormat="1" applyFont="1" applyFill="1" applyAlignment="1">
      <alignment vertical="center"/>
    </xf>
    <xf numFmtId="177" fontId="70" fillId="46" borderId="12" xfId="27" applyNumberFormat="1" applyAlignment="1" applyProtection="1">
      <alignment vertical="center"/>
      <protection locked="0"/>
    </xf>
    <xf numFmtId="0" fontId="7" fillId="0" borderId="0" xfId="7" applyAlignment="1">
      <alignment vertical="center"/>
    </xf>
    <xf numFmtId="192" fontId="5" fillId="0" borderId="2" xfId="13" applyNumberFormat="1" applyAlignment="1">
      <alignment horizontal="center" vertical="center"/>
    </xf>
    <xf numFmtId="200" fontId="70" fillId="46" borderId="12" xfId="27" applyNumberFormat="1" applyAlignment="1" applyProtection="1">
      <alignment horizontal="center" vertical="center"/>
      <protection locked="0"/>
    </xf>
    <xf numFmtId="213" fontId="5" fillId="0" borderId="2" xfId="13" applyNumberFormat="1" applyAlignment="1">
      <alignment horizontal="center" vertical="center"/>
    </xf>
    <xf numFmtId="0" fontId="71" fillId="54" borderId="0" xfId="6" applyFont="1" applyFill="1" applyAlignment="1">
      <alignment vertical="center"/>
    </xf>
    <xf numFmtId="0" fontId="3" fillId="54" borderId="0" xfId="3" applyFill="1" applyAlignment="1">
      <alignment horizontal="right" vertical="center"/>
    </xf>
    <xf numFmtId="200" fontId="0" fillId="0" borderId="104" xfId="82" applyFont="1" applyFill="1" applyBorder="1" applyAlignment="1">
      <alignment horizontal="center" vertical="center"/>
    </xf>
    <xf numFmtId="0" fontId="3" fillId="54" borderId="0" xfId="3" applyFill="1" applyAlignment="1">
      <alignment vertical="center"/>
    </xf>
    <xf numFmtId="0" fontId="70" fillId="46" borderId="47" xfId="27" applyBorder="1" applyAlignment="1" applyProtection="1">
      <alignment vertical="center"/>
      <protection locked="0"/>
    </xf>
    <xf numFmtId="0" fontId="70" fillId="46" borderId="48" xfId="27" applyBorder="1" applyAlignment="1">
      <alignment vertical="center"/>
    </xf>
    <xf numFmtId="0" fontId="4" fillId="2" borderId="49" xfId="4" applyBorder="1" applyAlignment="1">
      <alignment vertical="center"/>
    </xf>
    <xf numFmtId="0" fontId="4" fillId="2" borderId="6" xfId="4" applyBorder="1" applyAlignment="1">
      <alignment vertical="center"/>
    </xf>
    <xf numFmtId="0" fontId="4" fillId="2" borderId="50" xfId="4" applyBorder="1" applyAlignment="1">
      <alignment vertical="center"/>
    </xf>
    <xf numFmtId="0" fontId="4" fillId="54" borderId="0" xfId="6" applyFill="1" applyBorder="1" applyAlignment="1">
      <alignment vertical="center"/>
    </xf>
    <xf numFmtId="0" fontId="91" fillId="54" borderId="0" xfId="0" applyFont="1" applyFill="1" applyAlignment="1" applyProtection="1">
      <alignment horizontal="center" vertical="center"/>
    </xf>
    <xf numFmtId="0" fontId="0" fillId="54" borderId="0" xfId="0" applyFont="1" applyFill="1" applyAlignment="1" applyProtection="1">
      <alignment horizontal="left" vertical="center"/>
    </xf>
    <xf numFmtId="178" fontId="70" fillId="46" borderId="12" xfId="88" applyNumberFormat="1" applyAlignment="1" applyProtection="1">
      <alignment horizontal="center" vertical="center"/>
      <protection locked="0"/>
    </xf>
    <xf numFmtId="0" fontId="18" fillId="0" borderId="0" xfId="0" applyFont="1" applyAlignment="1"/>
    <xf numFmtId="200" fontId="5" fillId="0" borderId="2" xfId="13" applyNumberFormat="1">
      <alignment vertical="center"/>
    </xf>
    <xf numFmtId="205" fontId="5" fillId="0" borderId="2" xfId="13" applyNumberFormat="1">
      <alignment vertical="center"/>
    </xf>
    <xf numFmtId="173" fontId="5" fillId="0" borderId="2" xfId="13" applyNumberFormat="1" applyAlignment="1">
      <alignment horizontal="center" vertical="center"/>
    </xf>
    <xf numFmtId="0" fontId="0" fillId="47" borderId="0" xfId="0" applyFill="1" applyAlignment="1">
      <alignment horizontal="right" vertical="center"/>
    </xf>
    <xf numFmtId="0" fontId="0" fillId="47" borderId="0" xfId="0" applyFill="1" applyAlignment="1">
      <alignment horizontal="centerContinuous" vertical="center"/>
    </xf>
    <xf numFmtId="172" fontId="5" fillId="0" borderId="2" xfId="13" applyNumberFormat="1" applyAlignment="1">
      <alignment horizontal="center" vertical="center"/>
    </xf>
    <xf numFmtId="0" fontId="21" fillId="3" borderId="0" xfId="0" applyFont="1" applyFill="1" applyAlignment="1">
      <alignment vertical="center"/>
    </xf>
    <xf numFmtId="0" fontId="21" fillId="47" borderId="0" xfId="0" applyFont="1" applyFill="1" applyAlignment="1">
      <alignment vertical="center"/>
    </xf>
    <xf numFmtId="0" fontId="21" fillId="47" borderId="0" xfId="0" applyFont="1" applyFill="1" applyAlignment="1">
      <alignment horizontal="right" vertical="center"/>
    </xf>
    <xf numFmtId="200" fontId="9" fillId="2" borderId="2" xfId="82" applyFont="1" applyFill="1" applyBorder="1" applyAlignment="1">
      <alignment horizontal="center" vertical="center"/>
    </xf>
    <xf numFmtId="0" fontId="62" fillId="0" borderId="0" xfId="0" applyFont="1" applyAlignment="1">
      <alignment horizontal="right" vertical="center"/>
    </xf>
    <xf numFmtId="168" fontId="0" fillId="54" borderId="6" xfId="11" applyNumberFormat="1" applyFont="1" applyFill="1" applyAlignment="1">
      <alignment vertical="center"/>
    </xf>
    <xf numFmtId="0" fontId="8" fillId="51" borderId="96" xfId="9" applyBorder="1" applyAlignment="1">
      <alignment horizontal="centerContinuous" vertical="center" wrapText="1"/>
    </xf>
    <xf numFmtId="2" fontId="0" fillId="0" borderId="0" xfId="0" applyNumberFormat="1" applyAlignment="1">
      <alignment vertical="center"/>
    </xf>
    <xf numFmtId="0" fontId="96" fillId="0" borderId="0" xfId="0" applyFont="1" applyAlignment="1">
      <alignment horizontal="right" vertical="center"/>
    </xf>
    <xf numFmtId="0" fontId="0" fillId="47" borderId="0" xfId="0" applyFill="1" applyAlignment="1">
      <alignment vertical="center"/>
    </xf>
    <xf numFmtId="0" fontId="2" fillId="47" borderId="1" xfId="1" applyFill="1" applyAlignment="1">
      <alignment vertical="center"/>
    </xf>
    <xf numFmtId="0" fontId="75" fillId="47" borderId="1" xfId="1" applyFont="1" applyFill="1" applyAlignment="1">
      <alignment horizontal="left" vertical="center"/>
    </xf>
    <xf numFmtId="176" fontId="4" fillId="0" borderId="0" xfId="6" applyNumberFormat="1" applyAlignment="1">
      <alignment horizontal="right" vertical="center"/>
    </xf>
    <xf numFmtId="169" fontId="0" fillId="0" borderId="0" xfId="0" applyNumberFormat="1" applyAlignment="1">
      <alignment vertical="center"/>
    </xf>
    <xf numFmtId="0" fontId="5" fillId="0" borderId="0" xfId="0" applyFont="1" applyFill="1" applyBorder="1" applyAlignment="1">
      <alignment vertical="center"/>
    </xf>
    <xf numFmtId="168" fontId="0" fillId="8" borderId="7" xfId="79" applyNumberFormat="1" applyFont="1" applyFill="1" applyBorder="1" applyAlignment="1">
      <alignment vertical="center"/>
    </xf>
    <xf numFmtId="168" fontId="9" fillId="2" borderId="2" xfId="79" applyNumberFormat="1" applyFont="1" applyFill="1" applyBorder="1" applyAlignment="1">
      <alignment vertical="center"/>
    </xf>
    <xf numFmtId="0" fontId="8" fillId="51" borderId="123" xfId="9" applyBorder="1" applyAlignment="1">
      <alignment horizontal="centerContinuous" vertical="center" wrapText="1"/>
    </xf>
    <xf numFmtId="169" fontId="10" fillId="4" borderId="2" xfId="17" applyNumberFormat="1" applyFont="1" applyAlignment="1">
      <alignment vertical="center"/>
    </xf>
    <xf numFmtId="0" fontId="74" fillId="55" borderId="10" xfId="0" applyFont="1" applyFill="1" applyBorder="1" applyAlignment="1">
      <alignment vertical="center"/>
    </xf>
    <xf numFmtId="177" fontId="9" fillId="2" borderId="2" xfId="15" applyNumberFormat="1" applyAlignment="1">
      <alignment vertical="center"/>
    </xf>
    <xf numFmtId="10" fontId="5" fillId="0" borderId="2" xfId="13" applyNumberFormat="1" applyAlignment="1">
      <alignment vertical="center"/>
    </xf>
    <xf numFmtId="0" fontId="0" fillId="0" borderId="0" xfId="0">
      <alignment vertical="center"/>
    </xf>
    <xf numFmtId="0" fontId="0" fillId="8" borderId="0" xfId="0" applyFill="1">
      <alignment vertical="center"/>
    </xf>
    <xf numFmtId="0" fontId="5" fillId="8" borderId="2" xfId="13" applyFill="1">
      <alignment vertical="center"/>
    </xf>
    <xf numFmtId="168" fontId="18" fillId="0" borderId="0" xfId="0" applyNumberFormat="1" applyFont="1" applyAlignment="1">
      <alignment vertical="center"/>
    </xf>
    <xf numFmtId="169" fontId="9" fillId="2" borderId="2" xfId="15" applyNumberFormat="1">
      <alignment vertical="center"/>
    </xf>
    <xf numFmtId="214" fontId="0" fillId="0" borderId="0" xfId="0" applyNumberFormat="1" applyAlignment="1">
      <alignment horizontal="center" vertical="center"/>
    </xf>
    <xf numFmtId="170" fontId="63" fillId="8" borderId="2" xfId="19" applyNumberFormat="1" applyFill="1" applyAlignment="1">
      <alignment horizontal="center" vertical="center"/>
    </xf>
    <xf numFmtId="0" fontId="3" fillId="57" borderId="0" xfId="3" applyFill="1">
      <alignment vertical="center"/>
    </xf>
    <xf numFmtId="0" fontId="0" fillId="57" borderId="0" xfId="0" applyFill="1">
      <alignment vertical="center"/>
    </xf>
    <xf numFmtId="0" fontId="2" fillId="8" borderId="1" xfId="1" applyFill="1" applyAlignment="1">
      <alignment horizontal="left" vertical="center"/>
    </xf>
    <xf numFmtId="0" fontId="2" fillId="0" borderId="1" xfId="1" applyAlignment="1">
      <alignment horizontal="left" vertical="center"/>
    </xf>
    <xf numFmtId="0" fontId="75" fillId="0" borderId="1" xfId="1" applyFont="1" applyAlignment="1">
      <alignment horizontal="left" vertical="center"/>
    </xf>
    <xf numFmtId="0" fontId="48" fillId="0" borderId="0" xfId="0" applyFont="1" applyAlignment="1">
      <alignment vertical="center"/>
    </xf>
    <xf numFmtId="200" fontId="5" fillId="47" borderId="2" xfId="82" applyFill="1" applyBorder="1" applyAlignment="1">
      <alignment horizontal="center" vertical="center"/>
    </xf>
    <xf numFmtId="200" fontId="5" fillId="46" borderId="2" xfId="82" applyFill="1" applyBorder="1" applyAlignment="1">
      <alignment horizontal="center" vertical="center"/>
    </xf>
    <xf numFmtId="0" fontId="21" fillId="0" borderId="0" xfId="0" applyFont="1" applyAlignment="1">
      <alignment horizontal="center" vertical="center"/>
    </xf>
    <xf numFmtId="0" fontId="0" fillId="46" borderId="0" xfId="0" applyFill="1" applyAlignment="1">
      <alignment vertical="center"/>
    </xf>
    <xf numFmtId="0" fontId="0" fillId="0" borderId="63" xfId="0" applyBorder="1" applyAlignment="1">
      <alignment vertical="center"/>
    </xf>
    <xf numFmtId="168" fontId="0" fillId="8" borderId="56" xfId="79" applyNumberFormat="1" applyFont="1" applyFill="1" applyBorder="1" applyAlignment="1">
      <alignment vertical="center"/>
    </xf>
    <xf numFmtId="168" fontId="0" fillId="0" borderId="63" xfId="79" applyNumberFormat="1" applyFont="1" applyBorder="1" applyAlignment="1">
      <alignment vertical="center"/>
    </xf>
    <xf numFmtId="164" fontId="0" fillId="4" borderId="2" xfId="17" applyNumberFormat="1" applyFont="1" applyAlignment="1">
      <alignment vertical="center"/>
    </xf>
    <xf numFmtId="168" fontId="21" fillId="3" borderId="0" xfId="0" applyNumberFormat="1" applyFont="1" applyFill="1" applyAlignment="1">
      <alignment vertical="center"/>
    </xf>
    <xf numFmtId="168" fontId="21" fillId="3" borderId="56" xfId="0" applyNumberFormat="1" applyFont="1" applyFill="1" applyBorder="1" applyAlignment="1">
      <alignment vertical="center"/>
    </xf>
    <xf numFmtId="168" fontId="21" fillId="3" borderId="57" xfId="0" applyNumberFormat="1" applyFont="1" applyFill="1" applyBorder="1" applyAlignment="1">
      <alignment vertical="center"/>
    </xf>
    <xf numFmtId="168" fontId="21" fillId="3" borderId="63" xfId="0" applyNumberFormat="1" applyFont="1" applyFill="1" applyBorder="1" applyAlignment="1">
      <alignment vertical="center"/>
    </xf>
    <xf numFmtId="168" fontId="24" fillId="0" borderId="125" xfId="79" applyNumberFormat="1" applyFont="1" applyBorder="1" applyAlignment="1">
      <alignment vertical="center"/>
    </xf>
    <xf numFmtId="168" fontId="24" fillId="0" borderId="126" xfId="79" applyNumberFormat="1" applyFont="1" applyBorder="1" applyAlignment="1">
      <alignment vertical="center"/>
    </xf>
    <xf numFmtId="168" fontId="24" fillId="0" borderId="127" xfId="79" applyNumberFormat="1" applyFont="1" applyBorder="1" applyAlignment="1">
      <alignment vertical="center"/>
    </xf>
    <xf numFmtId="168" fontId="0" fillId="46" borderId="125" xfId="0" applyNumberFormat="1" applyFont="1" applyFill="1" applyBorder="1" applyAlignment="1">
      <alignment vertical="center"/>
    </xf>
    <xf numFmtId="168" fontId="24" fillId="8" borderId="126" xfId="79" applyNumberFormat="1" applyFont="1" applyFill="1" applyBorder="1" applyAlignment="1">
      <alignment vertical="center"/>
    </xf>
    <xf numFmtId="168" fontId="24" fillId="0" borderId="128" xfId="79" applyNumberFormat="1" applyFont="1" applyBorder="1" applyAlignment="1">
      <alignment vertical="center"/>
    </xf>
    <xf numFmtId="168" fontId="24" fillId="0" borderId="100" xfId="79" applyNumberFormat="1" applyFont="1" applyBorder="1" applyAlignment="1">
      <alignment vertical="center"/>
    </xf>
    <xf numFmtId="168" fontId="24" fillId="0" borderId="129" xfId="79" applyNumberFormat="1" applyFont="1" applyBorder="1" applyAlignment="1">
      <alignment vertical="center"/>
    </xf>
    <xf numFmtId="168" fontId="24" fillId="0" borderId="130" xfId="79" applyNumberFormat="1" applyFont="1" applyBorder="1" applyAlignment="1">
      <alignment vertical="center"/>
    </xf>
    <xf numFmtId="168" fontId="0" fillId="46" borderId="100" xfId="0" applyNumberFormat="1" applyFont="1" applyFill="1" applyBorder="1" applyAlignment="1">
      <alignment vertical="center"/>
    </xf>
    <xf numFmtId="168" fontId="24" fillId="8" borderId="129" xfId="79" applyNumberFormat="1" applyFont="1" applyFill="1" applyBorder="1" applyAlignment="1">
      <alignment vertical="center"/>
    </xf>
    <xf numFmtId="168" fontId="24" fillId="0" borderId="131" xfId="79" applyNumberFormat="1" applyFont="1" applyBorder="1" applyAlignment="1">
      <alignment vertical="center"/>
    </xf>
    <xf numFmtId="168" fontId="0" fillId="57" borderId="7" xfId="12" applyNumberFormat="1" applyFont="1" applyFill="1"/>
    <xf numFmtId="168" fontId="0" fillId="57" borderId="60" xfId="12" applyNumberFormat="1" applyFont="1" applyFill="1" applyBorder="1"/>
    <xf numFmtId="168" fontId="0" fillId="57" borderId="61" xfId="12" applyNumberFormat="1" applyFont="1" applyFill="1" applyBorder="1"/>
    <xf numFmtId="168" fontId="0" fillId="57" borderId="65" xfId="12" applyNumberFormat="1" applyFont="1" applyFill="1" applyBorder="1"/>
    <xf numFmtId="168" fontId="21" fillId="57" borderId="7" xfId="12" applyNumberFormat="1" applyFont="1" applyFill="1" applyAlignment="1">
      <alignment vertical="center"/>
    </xf>
    <xf numFmtId="0" fontId="3" fillId="57" borderId="0" xfId="3" applyFill="1" applyAlignment="1">
      <alignment vertical="center"/>
    </xf>
    <xf numFmtId="0" fontId="0" fillId="57" borderId="0" xfId="0" applyFill="1" applyAlignment="1">
      <alignment vertical="center"/>
    </xf>
    <xf numFmtId="168" fontId="21" fillId="57" borderId="60" xfId="12" applyNumberFormat="1" applyFont="1" applyFill="1" applyBorder="1" applyAlignment="1">
      <alignment vertical="center"/>
    </xf>
    <xf numFmtId="168" fontId="21" fillId="57" borderId="61" xfId="12" applyNumberFormat="1" applyFont="1" applyFill="1" applyBorder="1" applyAlignment="1">
      <alignment vertical="center"/>
    </xf>
    <xf numFmtId="168" fontId="21" fillId="57" borderId="65" xfId="12" applyNumberFormat="1" applyFont="1" applyFill="1" applyBorder="1" applyAlignment="1">
      <alignment vertical="center"/>
    </xf>
    <xf numFmtId="168" fontId="21" fillId="57" borderId="6" xfId="11" applyNumberFormat="1" applyFont="1" applyFill="1"/>
    <xf numFmtId="168" fontId="21" fillId="57" borderId="58" xfId="11" applyNumberFormat="1" applyFont="1" applyFill="1" applyBorder="1"/>
    <xf numFmtId="168" fontId="21" fillId="57" borderId="59" xfId="11" applyNumberFormat="1" applyFont="1" applyFill="1" applyBorder="1"/>
    <xf numFmtId="168" fontId="21" fillId="57" borderId="64" xfId="11" applyNumberFormat="1" applyFont="1" applyFill="1" applyBorder="1"/>
    <xf numFmtId="177" fontId="0" fillId="0" borderId="0" xfId="78" applyNumberFormat="1" applyFont="1" applyAlignment="1">
      <alignment vertical="center"/>
    </xf>
    <xf numFmtId="177" fontId="0" fillId="0" borderId="56" xfId="78" applyNumberFormat="1" applyFont="1" applyBorder="1" applyAlignment="1">
      <alignment vertical="center"/>
    </xf>
    <xf numFmtId="177" fontId="0" fillId="0" borderId="57" xfId="78" applyNumberFormat="1" applyFont="1" applyBorder="1" applyAlignment="1">
      <alignment vertical="center"/>
    </xf>
    <xf numFmtId="177" fontId="0" fillId="46" borderId="0" xfId="78" applyNumberFormat="1" applyFont="1" applyFill="1" applyAlignment="1">
      <alignment vertical="center"/>
    </xf>
    <xf numFmtId="177" fontId="0" fillId="8" borderId="56" xfId="78" applyNumberFormat="1" applyFont="1" applyFill="1" applyBorder="1" applyAlignment="1">
      <alignment vertical="center"/>
    </xf>
    <xf numFmtId="177" fontId="0" fillId="0" borderId="63" xfId="78" applyNumberFormat="1" applyFont="1" applyBorder="1" applyAlignment="1">
      <alignment vertical="center"/>
    </xf>
    <xf numFmtId="168" fontId="21" fillId="57" borderId="44" xfId="11" applyNumberFormat="1" applyFont="1" applyFill="1" applyBorder="1"/>
    <xf numFmtId="168" fontId="21" fillId="57" borderId="132" xfId="11" applyNumberFormat="1" applyFont="1" applyFill="1" applyBorder="1"/>
    <xf numFmtId="168" fontId="21" fillId="57" borderId="133" xfId="11" applyNumberFormat="1" applyFont="1" applyFill="1" applyBorder="1"/>
    <xf numFmtId="168" fontId="21" fillId="57" borderId="134" xfId="11" applyNumberFormat="1" applyFont="1" applyFill="1" applyBorder="1"/>
    <xf numFmtId="177" fontId="90" fillId="0" borderId="76" xfId="76" applyNumberFormat="1" applyFont="1" applyBorder="1" applyAlignment="1">
      <alignment horizontal="centerContinuous" vertical="center"/>
    </xf>
    <xf numFmtId="0" fontId="0" fillId="47" borderId="0" xfId="0" applyFill="1">
      <alignment vertical="center"/>
    </xf>
    <xf numFmtId="0" fontId="0" fillId="8" borderId="0" xfId="0" applyFont="1" applyFill="1" applyAlignment="1">
      <alignment horizontal="centerContinuous" vertical="center"/>
    </xf>
    <xf numFmtId="177" fontId="78" fillId="54" borderId="0" xfId="76" applyNumberFormat="1" applyFont="1" applyFill="1" applyAlignment="1">
      <alignment horizontal="centerContinuous" vertical="center"/>
    </xf>
    <xf numFmtId="215" fontId="21" fillId="54" borderId="0" xfId="11" applyNumberFormat="1" applyFont="1" applyFill="1" applyBorder="1" applyAlignment="1">
      <alignment horizontal="centerContinuous" vertical="center" wrapText="1"/>
    </xf>
    <xf numFmtId="200" fontId="5" fillId="8" borderId="2" xfId="82" applyFill="1" applyBorder="1">
      <alignment horizontal="center" vertical="center"/>
    </xf>
    <xf numFmtId="0" fontId="21" fillId="57" borderId="44" xfId="0" applyFont="1" applyFill="1" applyBorder="1" applyAlignment="1">
      <alignment vertical="center"/>
    </xf>
    <xf numFmtId="0" fontId="0" fillId="57" borderId="44" xfId="0" applyFill="1" applyBorder="1" applyAlignment="1">
      <alignment vertical="center"/>
    </xf>
    <xf numFmtId="168" fontId="21" fillId="57" borderId="44" xfId="12" applyNumberFormat="1" applyFont="1" applyFill="1" applyBorder="1" applyAlignment="1">
      <alignment horizontal="centerContinuous" vertical="center" wrapText="1"/>
    </xf>
    <xf numFmtId="0" fontId="0" fillId="57" borderId="44" xfId="0" applyFill="1" applyBorder="1" applyAlignment="1">
      <alignment horizontal="centerContinuous" vertical="center" wrapText="1"/>
    </xf>
    <xf numFmtId="168" fontId="21" fillId="57" borderId="77" xfId="12" applyNumberFormat="1" applyFont="1" applyFill="1" applyBorder="1" applyAlignment="1">
      <alignment horizontal="centerContinuous" vertical="center" wrapText="1"/>
    </xf>
    <xf numFmtId="0" fontId="0" fillId="57" borderId="74" xfId="0" applyFill="1" applyBorder="1" applyAlignment="1">
      <alignment horizontal="centerContinuous" vertical="center" wrapText="1"/>
    </xf>
    <xf numFmtId="217" fontId="0" fillId="54" borderId="0" xfId="0" applyNumberFormat="1" applyFill="1" applyAlignment="1">
      <alignment horizontal="centerContinuous" vertical="center"/>
    </xf>
    <xf numFmtId="0" fontId="0" fillId="54" borderId="0" xfId="0" applyFill="1" applyAlignment="1">
      <alignment horizontal="center" vertical="center"/>
    </xf>
    <xf numFmtId="176" fontId="4" fillId="0" borderId="0" xfId="6" applyNumberFormat="1" applyAlignment="1">
      <alignment horizontal="center" vertical="center"/>
    </xf>
    <xf numFmtId="0" fontId="5" fillId="54" borderId="0" xfId="0" applyFont="1" applyFill="1" applyAlignment="1">
      <alignment vertical="center"/>
    </xf>
    <xf numFmtId="0" fontId="0" fillId="54" borderId="0" xfId="0" applyFill="1">
      <alignment vertical="center"/>
    </xf>
    <xf numFmtId="0" fontId="0" fillId="54" borderId="0" xfId="0" applyFill="1" applyAlignment="1">
      <alignment vertical="center"/>
    </xf>
    <xf numFmtId="0" fontId="0" fillId="0" borderId="0" xfId="0">
      <alignment vertical="center"/>
    </xf>
    <xf numFmtId="168" fontId="5" fillId="8" borderId="2" xfId="13" applyNumberFormat="1" applyFill="1" applyAlignment="1">
      <alignment vertical="center"/>
    </xf>
    <xf numFmtId="0" fontId="7" fillId="54" borderId="0" xfId="7" applyFill="1" applyAlignment="1">
      <alignment vertical="center"/>
    </xf>
    <xf numFmtId="173" fontId="69" fillId="54" borderId="0" xfId="76" applyFont="1" applyFill="1" applyBorder="1" applyAlignment="1" applyProtection="1">
      <alignment vertical="center"/>
    </xf>
    <xf numFmtId="0" fontId="5" fillId="54" borderId="0" xfId="0" applyFont="1" applyFill="1" applyAlignment="1" applyProtection="1">
      <alignment vertical="center"/>
    </xf>
    <xf numFmtId="173" fontId="18" fillId="54" borderId="0" xfId="76" applyFill="1" applyBorder="1" applyAlignment="1" applyProtection="1">
      <alignment vertical="center"/>
    </xf>
    <xf numFmtId="173" fontId="49" fillId="54" borderId="0" xfId="76" applyFont="1" applyFill="1" applyBorder="1" applyAlignment="1" applyProtection="1">
      <alignment vertical="center"/>
    </xf>
    <xf numFmtId="173" fontId="69" fillId="54" borderId="0" xfId="76" quotePrefix="1" applyFont="1" applyFill="1" applyBorder="1" applyAlignment="1" applyProtection="1">
      <alignment vertical="center"/>
    </xf>
    <xf numFmtId="197" fontId="5" fillId="54" borderId="2" xfId="13" applyNumberFormat="1" applyFill="1" applyAlignment="1">
      <alignment vertical="center"/>
    </xf>
    <xf numFmtId="3" fontId="18" fillId="7" borderId="0" xfId="0" applyNumberFormat="1" applyFont="1" applyFill="1" applyBorder="1" applyAlignment="1">
      <alignment horizontal="right"/>
    </xf>
    <xf numFmtId="200" fontId="0" fillId="0" borderId="0" xfId="82" applyFont="1" applyFill="1" applyBorder="1">
      <alignment horizontal="center" vertical="center"/>
    </xf>
    <xf numFmtId="0" fontId="21" fillId="0" borderId="0" xfId="0" applyFont="1" applyBorder="1">
      <alignment vertical="center"/>
    </xf>
    <xf numFmtId="0" fontId="8" fillId="0" borderId="0" xfId="0" applyFont="1">
      <alignment vertical="center"/>
    </xf>
    <xf numFmtId="0" fontId="8" fillId="8" borderId="0" xfId="0" applyFont="1" applyFill="1" applyAlignment="1">
      <alignment vertical="center"/>
    </xf>
    <xf numFmtId="168" fontId="5" fillId="8" borderId="2" xfId="13" applyNumberFormat="1" applyFill="1" applyBorder="1">
      <alignment vertical="center"/>
    </xf>
    <xf numFmtId="168" fontId="70" fillId="46" borderId="46" xfId="27" applyNumberFormat="1" applyBorder="1">
      <alignment vertical="center"/>
    </xf>
    <xf numFmtId="0" fontId="8" fillId="51" borderId="136" xfId="9" applyBorder="1">
      <alignment horizontal="centerContinuous" vertical="center" wrapText="1"/>
    </xf>
    <xf numFmtId="0" fontId="72" fillId="54" borderId="0" xfId="0" applyFont="1" applyFill="1" applyAlignment="1">
      <alignment vertical="center"/>
    </xf>
    <xf numFmtId="200" fontId="5" fillId="8" borderId="0" xfId="82" applyFont="1" applyFill="1" applyBorder="1">
      <alignment horizontal="center" vertical="center"/>
    </xf>
    <xf numFmtId="168" fontId="102" fillId="46" borderId="12" xfId="27" applyNumberFormat="1" applyFont="1" applyProtection="1">
      <alignment vertical="center"/>
      <protection locked="0"/>
    </xf>
    <xf numFmtId="0" fontId="70" fillId="46" borderId="12" xfId="88">
      <alignment vertical="center"/>
    </xf>
    <xf numFmtId="3" fontId="70" fillId="46" borderId="12" xfId="88" applyNumberFormat="1" applyAlignment="1" applyProtection="1">
      <alignment horizontal="center" vertical="center"/>
      <protection locked="0"/>
    </xf>
    <xf numFmtId="200" fontId="70" fillId="46" borderId="12" xfId="88" applyNumberFormat="1" applyProtection="1">
      <alignment vertical="center"/>
      <protection locked="0"/>
    </xf>
    <xf numFmtId="212" fontId="70" fillId="46" borderId="12" xfId="88" applyNumberFormat="1" applyProtection="1">
      <alignment vertical="center"/>
      <protection locked="0"/>
    </xf>
    <xf numFmtId="0" fontId="70" fillId="46" borderId="12" xfId="88" applyAlignment="1" applyProtection="1">
      <alignment horizontal="center" vertical="center"/>
      <protection locked="0"/>
    </xf>
    <xf numFmtId="192" fontId="70" fillId="46" borderId="12" xfId="88" applyNumberFormat="1" applyAlignment="1" applyProtection="1">
      <alignment horizontal="center" vertical="center"/>
      <protection locked="0"/>
    </xf>
    <xf numFmtId="210" fontId="70" fillId="46" borderId="12" xfId="88" applyNumberFormat="1" applyProtection="1">
      <alignment vertical="center"/>
      <protection locked="0"/>
    </xf>
    <xf numFmtId="168" fontId="70" fillId="46" borderId="12" xfId="88" applyNumberFormat="1" applyProtection="1">
      <alignment vertical="center"/>
    </xf>
    <xf numFmtId="0" fontId="5" fillId="7" borderId="88" xfId="0" applyNumberFormat="1" applyFont="1" applyFill="1" applyBorder="1" applyAlignment="1">
      <alignment vertical="center"/>
    </xf>
    <xf numFmtId="0" fontId="5" fillId="7" borderId="26" xfId="0" applyNumberFormat="1" applyFont="1" applyFill="1" applyBorder="1" applyAlignment="1">
      <alignment vertical="center"/>
    </xf>
    <xf numFmtId="0" fontId="5" fillId="7" borderId="0" xfId="0" applyNumberFormat="1" applyFont="1" applyFill="1" applyBorder="1" applyAlignment="1">
      <alignment vertical="center"/>
    </xf>
    <xf numFmtId="0" fontId="5" fillId="7" borderId="90" xfId="0" applyNumberFormat="1" applyFont="1" applyFill="1" applyBorder="1" applyAlignment="1">
      <alignment vertical="center"/>
    </xf>
    <xf numFmtId="0" fontId="43" fillId="51" borderId="93" xfId="0" applyNumberFormat="1" applyFont="1" applyFill="1" applyBorder="1" applyAlignment="1">
      <alignment vertical="center"/>
    </xf>
    <xf numFmtId="0" fontId="43" fillId="51" borderId="94" xfId="0" applyNumberFormat="1" applyFont="1" applyFill="1" applyBorder="1" applyAlignment="1">
      <alignment vertical="center"/>
    </xf>
    <xf numFmtId="0" fontId="43" fillId="51" borderId="95" xfId="0" applyNumberFormat="1" applyFont="1" applyFill="1" applyBorder="1" applyAlignment="1">
      <alignment vertical="center"/>
    </xf>
    <xf numFmtId="0" fontId="5" fillId="7" borderId="85" xfId="0" applyNumberFormat="1" applyFont="1" applyFill="1" applyBorder="1" applyAlignment="1">
      <alignment vertical="center"/>
    </xf>
    <xf numFmtId="0" fontId="0" fillId="8" borderId="86" xfId="0" applyFill="1" applyBorder="1" applyAlignment="1">
      <alignment vertical="center"/>
    </xf>
    <xf numFmtId="0" fontId="5" fillId="7" borderId="86" xfId="0" applyNumberFormat="1" applyFont="1" applyFill="1" applyBorder="1" applyAlignment="1">
      <alignment vertical="center"/>
    </xf>
    <xf numFmtId="0" fontId="5" fillId="7" borderId="87" xfId="0" applyNumberFormat="1" applyFont="1" applyFill="1" applyBorder="1" applyAlignment="1">
      <alignment vertical="center"/>
    </xf>
    <xf numFmtId="0" fontId="5" fillId="7" borderId="0" xfId="0" applyNumberFormat="1" applyFont="1" applyFill="1" applyBorder="1" applyAlignment="1">
      <alignment horizontal="left" vertical="center"/>
    </xf>
    <xf numFmtId="0" fontId="44" fillId="0" borderId="91" xfId="0" applyFont="1" applyBorder="1" applyAlignment="1">
      <alignment vertical="center"/>
    </xf>
    <xf numFmtId="0" fontId="5" fillId="51" borderId="94" xfId="0" applyNumberFormat="1" applyFont="1" applyFill="1" applyBorder="1" applyAlignment="1">
      <alignment vertical="center"/>
    </xf>
    <xf numFmtId="0" fontId="5" fillId="51" borderId="94" xfId="0" applyNumberFormat="1" applyFont="1" applyFill="1" applyBorder="1" applyAlignment="1">
      <alignment horizontal="right" vertical="center"/>
    </xf>
    <xf numFmtId="0" fontId="5" fillId="51" borderId="95" xfId="0" applyNumberFormat="1" applyFont="1" applyFill="1" applyBorder="1" applyAlignment="1">
      <alignment vertical="center"/>
    </xf>
    <xf numFmtId="10" fontId="5" fillId="7" borderId="86" xfId="76" applyNumberFormat="1" applyFont="1" applyFill="1" applyBorder="1" applyAlignment="1" applyProtection="1">
      <alignment horizontal="right" vertical="center"/>
    </xf>
    <xf numFmtId="10" fontId="5" fillId="7" borderId="0" xfId="76" applyNumberFormat="1" applyFont="1" applyFill="1" applyBorder="1" applyAlignment="1" applyProtection="1">
      <alignment horizontal="right" vertical="center"/>
    </xf>
    <xf numFmtId="0" fontId="5" fillId="7" borderId="28" xfId="0" applyNumberFormat="1" applyFont="1" applyFill="1" applyBorder="1" applyAlignment="1">
      <alignment vertical="center"/>
    </xf>
    <xf numFmtId="0" fontId="5" fillId="7" borderId="29" xfId="0" applyNumberFormat="1" applyFont="1" applyFill="1" applyBorder="1" applyAlignment="1">
      <alignment vertical="center"/>
    </xf>
    <xf numFmtId="219" fontId="8" fillId="51" borderId="116" xfId="9" applyNumberFormat="1" applyBorder="1" applyAlignment="1">
      <alignment horizontal="centerContinuous" vertical="center" wrapText="1"/>
    </xf>
    <xf numFmtId="169" fontId="10" fillId="6" borderId="137" xfId="18" applyFill="1" applyBorder="1" applyAlignment="1">
      <alignment vertical="center"/>
    </xf>
    <xf numFmtId="169" fontId="10" fillId="6" borderId="138" xfId="18" applyFill="1" applyBorder="1" applyAlignment="1">
      <alignment vertical="center"/>
    </xf>
    <xf numFmtId="169" fontId="10" fillId="6" borderId="139" xfId="18" applyFill="1" applyBorder="1" applyAlignment="1">
      <alignment vertical="center"/>
    </xf>
    <xf numFmtId="0" fontId="8" fillId="51" borderId="140" xfId="9" applyBorder="1" applyAlignment="1">
      <alignment horizontal="centerContinuous" vertical="center" wrapText="1"/>
    </xf>
    <xf numFmtId="219" fontId="8" fillId="51" borderId="141" xfId="9" applyNumberFormat="1" applyBorder="1" applyAlignment="1">
      <alignment horizontal="centerContinuous" vertical="center" wrapText="1"/>
    </xf>
    <xf numFmtId="0" fontId="0" fillId="47" borderId="119" xfId="0" applyFill="1" applyBorder="1" applyAlignment="1">
      <alignment vertical="center"/>
    </xf>
    <xf numFmtId="168" fontId="0" fillId="8" borderId="119" xfId="85" applyNumberFormat="1" applyFont="1" applyFill="1" applyBorder="1" applyAlignment="1">
      <alignment vertical="center"/>
    </xf>
    <xf numFmtId="0" fontId="4" fillId="47" borderId="0" xfId="6" applyFill="1" applyAlignment="1">
      <alignment horizontal="left" vertical="center"/>
    </xf>
    <xf numFmtId="0" fontId="70" fillId="46" borderId="12" xfId="88" applyAlignment="1" applyProtection="1">
      <alignment vertical="center"/>
      <protection locked="0"/>
    </xf>
    <xf numFmtId="168" fontId="5" fillId="0" borderId="2" xfId="79" applyFont="1" applyBorder="1" applyAlignment="1">
      <alignment horizontal="center" vertical="center"/>
    </xf>
    <xf numFmtId="0" fontId="62" fillId="54" borderId="0" xfId="0" applyFont="1" applyFill="1" applyAlignment="1">
      <alignment horizontal="left" vertical="center"/>
    </xf>
    <xf numFmtId="10" fontId="5" fillId="0" borderId="2" xfId="13" applyNumberFormat="1" applyAlignment="1">
      <alignment horizontal="center" vertical="center"/>
    </xf>
    <xf numFmtId="168" fontId="70" fillId="46" borderId="45" xfId="88" applyNumberFormat="1" applyBorder="1" applyProtection="1">
      <alignment vertical="center"/>
      <protection locked="0"/>
    </xf>
    <xf numFmtId="218" fontId="0" fillId="54" borderId="0" xfId="0" applyNumberFormat="1" applyFill="1" applyAlignment="1">
      <alignment horizontal="centerContinuous" vertical="center"/>
    </xf>
    <xf numFmtId="182" fontId="0" fillId="47" borderId="0" xfId="0" applyNumberFormat="1" applyFill="1">
      <alignment vertical="center"/>
    </xf>
    <xf numFmtId="181" fontId="24" fillId="0" borderId="6" xfId="11" applyNumberFormat="1" applyFont="1" applyAlignment="1">
      <alignment vertical="center"/>
    </xf>
    <xf numFmtId="181" fontId="5" fillId="2" borderId="2" xfId="5" applyNumberFormat="1">
      <alignment vertical="center"/>
    </xf>
    <xf numFmtId="0" fontId="16" fillId="8" borderId="0" xfId="0" applyFont="1" applyFill="1">
      <alignment vertical="center"/>
    </xf>
    <xf numFmtId="220" fontId="0" fillId="8" borderId="0" xfId="0" applyNumberFormat="1" applyFill="1" applyAlignment="1">
      <alignment horizontal="left" vertical="center"/>
    </xf>
    <xf numFmtId="181" fontId="0" fillId="47" borderId="0" xfId="0" applyNumberFormat="1" applyFill="1">
      <alignment vertical="center"/>
    </xf>
    <xf numFmtId="181" fontId="5" fillId="4" borderId="2" xfId="17" applyNumberFormat="1" applyAlignment="1">
      <alignment vertical="center"/>
    </xf>
    <xf numFmtId="221" fontId="0" fillId="8" borderId="0" xfId="0" applyNumberFormat="1" applyFill="1" applyAlignment="1">
      <alignment horizontal="left" vertical="center"/>
    </xf>
    <xf numFmtId="192" fontId="9" fillId="2" borderId="2" xfId="15" applyNumberFormat="1" applyAlignment="1">
      <alignment horizontal="center" vertical="center"/>
    </xf>
    <xf numFmtId="222" fontId="0" fillId="8" borderId="0" xfId="0" applyNumberFormat="1" applyFill="1" applyAlignment="1">
      <alignment horizontal="left" vertical="center"/>
    </xf>
    <xf numFmtId="211" fontId="9" fillId="2" borderId="2" xfId="15" applyNumberFormat="1" applyAlignment="1">
      <alignment horizontal="center" vertical="center"/>
    </xf>
    <xf numFmtId="205" fontId="9" fillId="2" borderId="2" xfId="15" applyNumberFormat="1" applyAlignment="1">
      <alignment horizontal="center" vertical="center"/>
    </xf>
    <xf numFmtId="181" fontId="9" fillId="2" borderId="2" xfId="15" applyNumberFormat="1">
      <alignment vertical="center"/>
    </xf>
    <xf numFmtId="168" fontId="24" fillId="0" borderId="6" xfId="11" applyNumberFormat="1" applyFont="1" applyAlignment="1">
      <alignment vertical="center"/>
    </xf>
    <xf numFmtId="181" fontId="0" fillId="8" borderId="0" xfId="79" applyNumberFormat="1" applyFont="1" applyFill="1">
      <alignment vertical="center"/>
    </xf>
    <xf numFmtId="3" fontId="9" fillId="2" borderId="2" xfId="15" applyNumberFormat="1" applyAlignment="1">
      <alignment horizontal="center" vertical="center"/>
    </xf>
    <xf numFmtId="223" fontId="9" fillId="2" borderId="2" xfId="15" applyNumberFormat="1" applyAlignment="1">
      <alignment horizontal="center" vertical="center"/>
    </xf>
    <xf numFmtId="224" fontId="9" fillId="2" borderId="2" xfId="15" applyNumberFormat="1">
      <alignment vertical="center"/>
    </xf>
    <xf numFmtId="168" fontId="9" fillId="4" borderId="2" xfId="93" applyNumberFormat="1" applyFont="1" applyAlignment="1">
      <alignment vertical="center"/>
    </xf>
    <xf numFmtId="168" fontId="9" fillId="2" borderId="2" xfId="15" applyNumberFormat="1" applyAlignment="1">
      <alignment horizontal="center" vertical="center"/>
    </xf>
    <xf numFmtId="225" fontId="0" fillId="0" borderId="0" xfId="0" applyNumberFormat="1" applyAlignment="1">
      <alignment horizontal="left" vertical="center"/>
    </xf>
    <xf numFmtId="0" fontId="91" fillId="5" borderId="8" xfId="18" applyNumberFormat="1" applyFont="1" applyAlignment="1">
      <alignment horizontal="center" vertical="center"/>
    </xf>
    <xf numFmtId="182" fontId="0" fillId="8" borderId="0" xfId="0" applyNumberFormat="1" applyFill="1" applyAlignment="1">
      <alignment vertical="center"/>
    </xf>
    <xf numFmtId="0" fontId="74" fillId="55" borderId="142" xfId="0" applyFont="1" applyFill="1" applyBorder="1" applyAlignment="1"/>
    <xf numFmtId="181" fontId="18" fillId="8" borderId="0" xfId="79" applyNumberFormat="1" applyFont="1" applyFill="1">
      <alignment vertical="center"/>
    </xf>
    <xf numFmtId="168" fontId="91" fillId="5" borderId="8" xfId="18" applyNumberFormat="1" applyFont="1" applyAlignment="1">
      <alignment horizontal="center" vertical="center"/>
    </xf>
    <xf numFmtId="173" fontId="18" fillId="47" borderId="0" xfId="76" applyFill="1" applyAlignment="1">
      <alignment vertical="center"/>
    </xf>
    <xf numFmtId="216" fontId="0" fillId="47" borderId="0" xfId="0" applyNumberFormat="1" applyFill="1">
      <alignment vertical="center"/>
    </xf>
    <xf numFmtId="168" fontId="70" fillId="46" borderId="12" xfId="88" applyNumberFormat="1" applyAlignment="1" applyProtection="1">
      <alignment horizontal="center" vertical="center"/>
      <protection locked="0"/>
    </xf>
    <xf numFmtId="0" fontId="49" fillId="54" borderId="0" xfId="0" applyFont="1" applyFill="1" applyAlignment="1">
      <alignment vertical="center"/>
    </xf>
    <xf numFmtId="0" fontId="5" fillId="54" borderId="2" xfId="13" applyFill="1" applyAlignment="1">
      <alignment horizontal="center" vertical="center"/>
    </xf>
    <xf numFmtId="0" fontId="18" fillId="0" borderId="0" xfId="0" applyFont="1" applyAlignment="1">
      <alignment vertical="center" wrapText="1"/>
    </xf>
    <xf numFmtId="0" fontId="23" fillId="54" borderId="0" xfId="0" applyFont="1" applyFill="1" applyAlignment="1">
      <alignment horizontal="left" vertical="center"/>
    </xf>
    <xf numFmtId="0" fontId="0" fillId="54" borderId="0" xfId="0" applyFont="1" applyFill="1" applyAlignment="1">
      <alignment vertical="center"/>
    </xf>
    <xf numFmtId="0" fontId="105" fillId="54" borderId="0" xfId="0" applyFont="1" applyFill="1" applyAlignment="1">
      <alignment vertical="center"/>
    </xf>
    <xf numFmtId="176" fontId="4" fillId="0" borderId="0" xfId="6" applyNumberFormat="1" applyAlignment="1">
      <alignment vertical="center"/>
    </xf>
    <xf numFmtId="205" fontId="5" fillId="0" borderId="2" xfId="13" applyNumberFormat="1" applyAlignment="1">
      <alignment vertical="center"/>
    </xf>
    <xf numFmtId="176" fontId="4" fillId="54" borderId="0" xfId="6" applyNumberFormat="1" applyFill="1" applyAlignment="1">
      <alignment vertical="center"/>
    </xf>
    <xf numFmtId="182" fontId="18" fillId="8" borderId="0" xfId="79" applyNumberFormat="1" applyFont="1" applyFill="1">
      <alignment vertical="center"/>
    </xf>
    <xf numFmtId="181" fontId="18" fillId="8" borderId="0" xfId="79" applyNumberFormat="1" applyFont="1" applyFill="1" applyAlignment="1">
      <alignment vertical="center"/>
    </xf>
    <xf numFmtId="181" fontId="18" fillId="0" borderId="6" xfId="11" applyNumberFormat="1" applyFont="1" applyAlignment="1">
      <alignment vertical="center"/>
    </xf>
    <xf numFmtId="168" fontId="18" fillId="8" borderId="0" xfId="79" applyNumberFormat="1" applyFont="1" applyFill="1" applyAlignment="1">
      <alignment vertical="center"/>
    </xf>
    <xf numFmtId="164" fontId="18" fillId="47" borderId="0" xfId="0" quotePrefix="1" applyNumberFormat="1" applyFont="1" applyFill="1" applyAlignment="1">
      <alignment vertical="center"/>
    </xf>
    <xf numFmtId="168" fontId="18" fillId="8" borderId="6" xfId="11" applyNumberFormat="1" applyFont="1" applyFill="1" applyAlignment="1">
      <alignment vertical="center"/>
    </xf>
    <xf numFmtId="0" fontId="49" fillId="54" borderId="0" xfId="0" applyFont="1" applyFill="1" applyAlignment="1">
      <alignment horizontal="right" vertical="center"/>
    </xf>
    <xf numFmtId="0" fontId="64" fillId="47" borderId="0" xfId="0" applyFont="1" applyFill="1" applyAlignment="1">
      <alignment vertical="center"/>
    </xf>
    <xf numFmtId="168" fontId="18" fillId="47" borderId="0" xfId="79" applyNumberFormat="1" applyFont="1" applyFill="1" applyAlignment="1">
      <alignment vertical="center"/>
    </xf>
    <xf numFmtId="168" fontId="0" fillId="8" borderId="6" xfId="11" applyNumberFormat="1" applyFont="1" applyFill="1" applyAlignment="1">
      <alignment vertical="center"/>
    </xf>
    <xf numFmtId="177" fontId="18" fillId="8" borderId="0" xfId="78" applyNumberFormat="1" applyFont="1" applyFill="1" applyAlignment="1">
      <alignment vertical="center"/>
    </xf>
    <xf numFmtId="0" fontId="0" fillId="8" borderId="0" xfId="0" applyFill="1" applyAlignment="1">
      <alignment horizontal="right" vertical="center"/>
    </xf>
    <xf numFmtId="226" fontId="9" fillId="2" borderId="2" xfId="15" applyNumberFormat="1" applyAlignment="1">
      <alignment horizontal="center" vertical="center"/>
    </xf>
    <xf numFmtId="227" fontId="9" fillId="2" borderId="2" xfId="15" applyNumberFormat="1" applyAlignment="1">
      <alignment horizontal="center" vertical="center"/>
    </xf>
    <xf numFmtId="181" fontId="0" fillId="0" borderId="0" xfId="79" applyNumberFormat="1" applyFont="1">
      <alignment vertical="center"/>
    </xf>
    <xf numFmtId="0" fontId="0" fillId="47" borderId="0" xfId="6" applyFont="1" applyFill="1">
      <alignment vertical="center"/>
    </xf>
    <xf numFmtId="177" fontId="5" fillId="0" borderId="2" xfId="13" applyNumberFormat="1">
      <alignment vertical="center"/>
    </xf>
    <xf numFmtId="228" fontId="5" fillId="0" borderId="2" xfId="13" applyNumberFormat="1" applyAlignment="1">
      <alignment horizontal="center" vertical="center"/>
    </xf>
    <xf numFmtId="181" fontId="18" fillId="8" borderId="3" xfId="8" applyNumberFormat="1" applyFont="1" applyFill="1">
      <alignment vertical="center"/>
    </xf>
    <xf numFmtId="177" fontId="18" fillId="8" borderId="0" xfId="78" applyNumberFormat="1" applyFont="1" applyFill="1" applyAlignment="1">
      <alignment horizontal="right" vertical="center"/>
    </xf>
    <xf numFmtId="0" fontId="0" fillId="8" borderId="0" xfId="0" quotePrefix="1" applyFont="1" applyFill="1" applyAlignment="1">
      <alignment horizontal="right" vertical="center"/>
    </xf>
    <xf numFmtId="200" fontId="24" fillId="8" borderId="0" xfId="82" applyFont="1" applyFill="1" applyAlignment="1">
      <alignment horizontal="centerContinuous" vertical="center"/>
    </xf>
    <xf numFmtId="229" fontId="85" fillId="0" borderId="105" xfId="0" applyNumberFormat="1" applyFont="1" applyBorder="1" applyAlignment="1">
      <alignment horizontal="centerContinuous" vertical="center"/>
    </xf>
    <xf numFmtId="0" fontId="0" fillId="0" borderId="100" xfId="0" applyBorder="1" applyAlignment="1">
      <alignment horizontal="centerContinuous" vertical="center"/>
    </xf>
    <xf numFmtId="230" fontId="85" fillId="0" borderId="73" xfId="0" applyNumberFormat="1" applyFont="1" applyBorder="1" applyAlignment="1">
      <alignment horizontal="centerContinuous" vertical="center"/>
    </xf>
    <xf numFmtId="200" fontId="70" fillId="46" borderId="12" xfId="88" applyNumberFormat="1" applyAlignment="1" applyProtection="1">
      <alignment horizontal="center" vertical="center"/>
      <protection locked="0"/>
    </xf>
    <xf numFmtId="0" fontId="0" fillId="0" borderId="0" xfId="0" quotePrefix="1" applyAlignment="1">
      <alignment horizontal="center" vertical="center"/>
    </xf>
    <xf numFmtId="0" fontId="0" fillId="8" borderId="0" xfId="0" applyFill="1" applyAlignment="1" applyProtection="1">
      <alignment horizontal="center" vertical="center"/>
    </xf>
    <xf numFmtId="0" fontId="0" fillId="8" borderId="0" xfId="0" quotePrefix="1" applyFont="1" applyFill="1" applyAlignment="1">
      <alignment horizontal="left" vertical="center"/>
    </xf>
    <xf numFmtId="0" fontId="106" fillId="8" borderId="0" xfId="0" applyFont="1" applyFill="1" applyBorder="1">
      <alignment vertical="center"/>
    </xf>
    <xf numFmtId="0" fontId="107" fillId="8" borderId="0" xfId="0" applyFont="1" applyFill="1" applyBorder="1">
      <alignment vertical="center"/>
    </xf>
    <xf numFmtId="0" fontId="108" fillId="8" borderId="0" xfId="0" applyFont="1" applyFill="1" applyBorder="1">
      <alignment vertical="center"/>
    </xf>
    <xf numFmtId="0" fontId="109" fillId="8" borderId="0" xfId="0" applyFont="1" applyFill="1" applyBorder="1">
      <alignment vertical="center"/>
    </xf>
    <xf numFmtId="0" fontId="53" fillId="0" borderId="0" xfId="94" applyBorder="1">
      <alignment vertical="center"/>
    </xf>
    <xf numFmtId="231" fontId="84" fillId="0" borderId="0" xfId="0" applyNumberFormat="1" applyFont="1" applyAlignment="1">
      <alignment horizontal="right"/>
    </xf>
    <xf numFmtId="0" fontId="18" fillId="0" borderId="0" xfId="0" quotePrefix="1" applyFont="1">
      <alignment vertical="center"/>
    </xf>
    <xf numFmtId="168" fontId="0" fillId="47" borderId="0" xfId="0" quotePrefix="1" applyNumberFormat="1" applyFill="1">
      <alignment vertical="center"/>
    </xf>
    <xf numFmtId="168" fontId="67" fillId="8" borderId="0" xfId="0" applyNumberFormat="1" applyFont="1" applyFill="1" applyAlignment="1">
      <alignment horizontal="right" vertical="center"/>
    </xf>
    <xf numFmtId="0" fontId="4" fillId="47" borderId="0" xfId="6" applyFill="1" applyBorder="1" applyAlignment="1">
      <alignment horizontal="right" vertical="center"/>
    </xf>
    <xf numFmtId="0" fontId="0" fillId="0" borderId="0" xfId="0" applyAlignment="1">
      <alignment horizontal="left" vertical="center" indent="3"/>
    </xf>
    <xf numFmtId="232" fontId="110" fillId="54" borderId="143" xfId="0" applyNumberFormat="1" applyFont="1" applyFill="1" applyBorder="1" applyAlignment="1" applyProtection="1">
      <alignment horizontal="center" vertical="center"/>
    </xf>
    <xf numFmtId="168" fontId="70" fillId="46" borderId="12" xfId="27" applyNumberFormat="1" applyAlignment="1" applyProtection="1">
      <alignment horizontal="center" vertical="center"/>
      <protection locked="0"/>
    </xf>
    <xf numFmtId="177" fontId="70" fillId="46" borderId="12" xfId="88" applyNumberFormat="1" applyProtection="1">
      <alignment vertical="center"/>
      <protection locked="0"/>
    </xf>
    <xf numFmtId="175" fontId="70" fillId="46" borderId="12" xfId="88" applyNumberFormat="1" applyProtection="1">
      <alignment vertical="center"/>
      <protection locked="0"/>
    </xf>
    <xf numFmtId="0" fontId="3" fillId="47" borderId="0" xfId="3" applyFill="1" applyAlignment="1">
      <alignment horizontal="right" vertical="center"/>
    </xf>
    <xf numFmtId="0" fontId="0" fillId="0" borderId="0" xfId="0" applyAlignment="1">
      <alignment horizontal="center" vertical="center"/>
    </xf>
    <xf numFmtId="9" fontId="0" fillId="8" borderId="0" xfId="0" applyNumberFormat="1" applyFill="1" applyAlignment="1">
      <alignment horizontal="center" vertical="center"/>
    </xf>
    <xf numFmtId="0" fontId="72" fillId="47" borderId="0" xfId="0" applyFont="1" applyFill="1" applyAlignment="1">
      <alignment horizontal="right" vertical="center"/>
    </xf>
    <xf numFmtId="0" fontId="5" fillId="54" borderId="0" xfId="0" applyFont="1" applyFill="1" applyAlignment="1">
      <alignment vertical="center" wrapText="1"/>
    </xf>
    <xf numFmtId="233" fontId="70" fillId="46" borderId="12" xfId="88" applyNumberFormat="1" applyProtection="1">
      <alignment vertical="center"/>
      <protection locked="0"/>
    </xf>
    <xf numFmtId="0" fontId="23" fillId="47" borderId="0" xfId="0" applyFont="1" applyFill="1">
      <alignment vertical="center"/>
    </xf>
    <xf numFmtId="233" fontId="9" fillId="2" borderId="2" xfId="15" applyNumberFormat="1">
      <alignment vertical="center"/>
    </xf>
    <xf numFmtId="0" fontId="0" fillId="47" borderId="0" xfId="0" quotePrefix="1" applyFill="1">
      <alignment vertical="center"/>
    </xf>
    <xf numFmtId="175" fontId="9" fillId="2" borderId="2" xfId="15" applyNumberFormat="1">
      <alignment vertical="center"/>
    </xf>
    <xf numFmtId="0" fontId="3" fillId="47" borderId="0" xfId="92" applyFill="1" applyBorder="1" applyAlignment="1">
      <alignment vertical="center"/>
    </xf>
    <xf numFmtId="168" fontId="0" fillId="47" borderId="0" xfId="6" applyNumberFormat="1" applyFont="1" applyFill="1">
      <alignment vertical="center"/>
    </xf>
    <xf numFmtId="175" fontId="18" fillId="8" borderId="0" xfId="78" applyFont="1" applyFill="1" applyAlignment="1">
      <alignment vertical="center"/>
    </xf>
    <xf numFmtId="0" fontId="0" fillId="8" borderId="0" xfId="6" applyFont="1" applyFill="1">
      <alignment vertical="center"/>
    </xf>
    <xf numFmtId="234" fontId="18" fillId="8" borderId="0" xfId="79" applyNumberFormat="1" applyFont="1" applyFill="1">
      <alignment vertical="center"/>
    </xf>
    <xf numFmtId="0" fontId="0" fillId="8" borderId="0" xfId="6" applyFont="1" applyFill="1" applyAlignment="1">
      <alignment horizontal="right" vertical="center"/>
    </xf>
    <xf numFmtId="0" fontId="8" fillId="51" borderId="101" xfId="9" applyBorder="1" applyAlignment="1">
      <alignment horizontal="centerContinuous" vertical="center" wrapText="1"/>
    </xf>
    <xf numFmtId="0" fontId="0" fillId="0" borderId="0" xfId="0" applyAlignment="1">
      <alignment horizontal="center" vertical="center"/>
    </xf>
    <xf numFmtId="178" fontId="70" fillId="46" borderId="135" xfId="79" applyNumberFormat="1" applyFont="1" applyFill="1" applyBorder="1" applyAlignment="1" applyProtection="1">
      <alignment horizontal="center" vertical="center"/>
      <protection locked="0"/>
    </xf>
    <xf numFmtId="178" fontId="70" fillId="46" borderId="12" xfId="79" applyNumberFormat="1" applyFont="1" applyFill="1" applyBorder="1" applyAlignment="1" applyProtection="1">
      <alignment horizontal="center" vertical="center"/>
      <protection locked="0"/>
    </xf>
    <xf numFmtId="0" fontId="60" fillId="47" borderId="1" xfId="1" applyFont="1" applyFill="1" applyAlignment="1">
      <alignment horizontal="right" vertical="center"/>
    </xf>
    <xf numFmtId="168" fontId="0" fillId="46" borderId="6" xfId="11" applyNumberFormat="1" applyFont="1" applyFill="1" applyAlignment="1">
      <alignment vertical="center"/>
    </xf>
    <xf numFmtId="0" fontId="21" fillId="46" borderId="0" xfId="0" applyFont="1" applyFill="1" applyAlignment="1">
      <alignment vertical="center"/>
    </xf>
    <xf numFmtId="0" fontId="21" fillId="46" borderId="0" xfId="0" applyFont="1" applyFill="1">
      <alignment vertical="center"/>
    </xf>
    <xf numFmtId="181" fontId="0" fillId="46" borderId="6" xfId="11" applyNumberFormat="1" applyFont="1" applyFill="1" applyAlignment="1">
      <alignment vertical="center"/>
    </xf>
    <xf numFmtId="168" fontId="5" fillId="8" borderId="2" xfId="13" applyNumberFormat="1" applyFill="1">
      <alignment vertical="center"/>
    </xf>
    <xf numFmtId="0" fontId="0" fillId="8" borderId="0" xfId="0" applyFill="1" applyAlignment="1">
      <alignment horizontal="left" vertical="center" indent="3"/>
    </xf>
    <xf numFmtId="0" fontId="0" fillId="8" borderId="0" xfId="0" quotePrefix="1" applyFill="1" applyAlignment="1">
      <alignment vertical="center"/>
    </xf>
    <xf numFmtId="0" fontId="0" fillId="8" borderId="0" xfId="0" applyFill="1" applyBorder="1" applyAlignment="1">
      <alignment horizontal="centerContinuous" vertical="center" wrapText="1"/>
    </xf>
    <xf numFmtId="0" fontId="0" fillId="0" borderId="0" xfId="0" applyBorder="1" applyAlignment="1">
      <alignment horizontal="center" vertical="center"/>
    </xf>
    <xf numFmtId="0" fontId="3" fillId="8" borderId="0" xfId="3" applyFill="1" applyAlignment="1">
      <alignment vertical="center"/>
    </xf>
    <xf numFmtId="168" fontId="70" fillId="46" borderId="12" xfId="27" quotePrefix="1" applyNumberFormat="1" applyAlignment="1" applyProtection="1">
      <alignment horizontal="center" vertical="center"/>
      <protection locked="0"/>
    </xf>
    <xf numFmtId="164" fontId="70" fillId="46" borderId="12" xfId="27" applyNumberFormat="1" applyProtection="1">
      <alignment vertical="center"/>
      <protection locked="0"/>
    </xf>
    <xf numFmtId="164" fontId="9" fillId="2" borderId="2" xfId="15" applyNumberFormat="1">
      <alignment vertical="center"/>
    </xf>
    <xf numFmtId="235" fontId="0" fillId="0" borderId="0" xfId="0" applyNumberFormat="1" applyAlignment="1">
      <alignment horizontal="center" vertical="center"/>
    </xf>
    <xf numFmtId="168" fontId="4" fillId="2" borderId="2" xfId="79" applyFont="1" applyFill="1" applyBorder="1">
      <alignment vertical="center"/>
    </xf>
    <xf numFmtId="0" fontId="45" fillId="7" borderId="88" xfId="0" applyNumberFormat="1" applyFont="1" applyFill="1" applyBorder="1" applyAlignment="1">
      <alignment horizontal="center" vertical="center"/>
    </xf>
    <xf numFmtId="0" fontId="45" fillId="7" borderId="0" xfId="0" applyNumberFormat="1" applyFont="1" applyFill="1" applyBorder="1" applyAlignment="1">
      <alignment horizontal="center" vertical="center"/>
    </xf>
    <xf numFmtId="0" fontId="45" fillId="7" borderId="89" xfId="0" applyNumberFormat="1" applyFont="1" applyFill="1" applyBorder="1" applyAlignment="1">
      <alignment horizontal="center" vertical="center"/>
    </xf>
    <xf numFmtId="1" fontId="70" fillId="46" borderId="12" xfId="88" applyNumberFormat="1" applyAlignment="1" applyProtection="1">
      <alignment horizontal="center" vertical="center"/>
      <protection locked="0"/>
    </xf>
    <xf numFmtId="206" fontId="70" fillId="46" borderId="12" xfId="27" applyNumberFormat="1" applyAlignment="1" applyProtection="1">
      <alignment horizontal="center" vertical="center"/>
      <protection locked="0"/>
    </xf>
    <xf numFmtId="0" fontId="5" fillId="7" borderId="100" xfId="0" applyNumberFormat="1" applyFont="1" applyFill="1" applyBorder="1" applyAlignment="1"/>
    <xf numFmtId="0" fontId="5" fillId="7" borderId="125" xfId="0" applyNumberFormat="1" applyFont="1" applyFill="1" applyBorder="1" applyAlignment="1">
      <alignment vertical="center"/>
    </xf>
    <xf numFmtId="0" fontId="111" fillId="8" borderId="0" xfId="0" applyNumberFormat="1" applyFont="1" applyFill="1" applyBorder="1" applyAlignment="1">
      <alignment vertical="center"/>
    </xf>
    <xf numFmtId="0" fontId="112" fillId="8" borderId="0" xfId="0" quotePrefix="1" applyNumberFormat="1" applyFont="1" applyFill="1" applyBorder="1" applyAlignment="1"/>
    <xf numFmtId="0" fontId="75" fillId="7" borderId="88" xfId="0" applyNumberFormat="1" applyFont="1" applyFill="1" applyBorder="1" applyAlignment="1">
      <alignment vertical="center"/>
    </xf>
    <xf numFmtId="0" fontId="87" fillId="8" borderId="0" xfId="0" applyNumberFormat="1" applyFont="1" applyFill="1" applyBorder="1" applyAlignment="1">
      <alignment vertical="center"/>
    </xf>
    <xf numFmtId="0" fontId="75" fillId="8" borderId="0" xfId="0" applyNumberFormat="1" applyFont="1" applyFill="1" applyBorder="1" applyAlignment="1">
      <alignment vertical="center"/>
    </xf>
    <xf numFmtId="0" fontId="75" fillId="8" borderId="0" xfId="0" applyNumberFormat="1" applyFont="1" applyFill="1" applyBorder="1" applyAlignment="1">
      <alignment horizontal="center" vertical="center"/>
    </xf>
    <xf numFmtId="0" fontId="75" fillId="8" borderId="0" xfId="0" quotePrefix="1" applyNumberFormat="1" applyFont="1" applyFill="1" applyBorder="1" applyAlignment="1">
      <alignment horizontal="center" vertical="center"/>
    </xf>
    <xf numFmtId="0" fontId="75" fillId="7" borderId="0" xfId="0" quotePrefix="1" applyNumberFormat="1" applyFont="1" applyFill="1" applyBorder="1" applyAlignment="1">
      <alignment horizontal="center" vertical="center"/>
    </xf>
    <xf numFmtId="0" fontId="75" fillId="7" borderId="89" xfId="0" applyNumberFormat="1" applyFont="1" applyFill="1" applyBorder="1" applyAlignment="1">
      <alignment vertical="center"/>
    </xf>
    <xf numFmtId="0" fontId="87" fillId="8" borderId="0" xfId="0" applyFont="1" applyFill="1" applyBorder="1" applyAlignment="1">
      <alignment vertical="center"/>
    </xf>
    <xf numFmtId="0" fontId="75" fillId="8" borderId="0" xfId="0" applyFont="1" applyFill="1" applyBorder="1" applyAlignment="1">
      <alignment horizontal="right" vertical="center"/>
    </xf>
    <xf numFmtId="0" fontId="60" fillId="8" borderId="0" xfId="0" applyFont="1" applyFill="1" applyBorder="1" applyAlignment="1">
      <alignment vertical="center"/>
    </xf>
    <xf numFmtId="218" fontId="60" fillId="8" borderId="0" xfId="0" applyNumberFormat="1" applyFont="1" applyFill="1" applyBorder="1" applyAlignment="1">
      <alignment horizontal="left" vertical="center"/>
    </xf>
    <xf numFmtId="0" fontId="87" fillId="8" borderId="0" xfId="0" applyFont="1" applyFill="1" applyBorder="1" applyAlignment="1">
      <alignment horizontal="right" vertical="center"/>
    </xf>
    <xf numFmtId="0" fontId="75" fillId="7" borderId="0" xfId="0" applyNumberFormat="1" applyFont="1" applyFill="1" applyBorder="1" applyAlignment="1">
      <alignment vertical="center"/>
    </xf>
    <xf numFmtId="0" fontId="60" fillId="54" borderId="0" xfId="0" applyFont="1" applyFill="1" applyBorder="1" applyAlignment="1">
      <alignment horizontal="right" vertical="center"/>
    </xf>
    <xf numFmtId="0" fontId="60" fillId="54" borderId="0" xfId="0" applyFont="1" applyFill="1" applyBorder="1" applyAlignment="1">
      <alignment vertical="center"/>
    </xf>
    <xf numFmtId="0" fontId="75" fillId="54" borderId="0" xfId="0" applyNumberFormat="1" applyFont="1" applyFill="1" applyBorder="1" applyAlignment="1">
      <alignment vertical="center"/>
    </xf>
    <xf numFmtId="0" fontId="75" fillId="54" borderId="89" xfId="0" applyNumberFormat="1" applyFont="1" applyFill="1" applyBorder="1" applyAlignment="1">
      <alignment vertical="center"/>
    </xf>
    <xf numFmtId="0" fontId="87" fillId="8" borderId="0" xfId="0" applyFont="1" applyFill="1" applyAlignment="1">
      <alignment vertical="center"/>
    </xf>
    <xf numFmtId="0" fontId="113" fillId="8" borderId="0" xfId="75" quotePrefix="1" applyFont="1" applyFill="1" applyBorder="1" applyAlignment="1">
      <alignment vertical="center"/>
    </xf>
    <xf numFmtId="0" fontId="75" fillId="8" borderId="0" xfId="0" applyFont="1" applyFill="1" applyBorder="1" applyAlignment="1">
      <alignment vertical="center"/>
    </xf>
    <xf numFmtId="0" fontId="112" fillId="7" borderId="88" xfId="0" applyNumberFormat="1" applyFont="1" applyFill="1" applyBorder="1" applyAlignment="1">
      <alignment vertical="center"/>
    </xf>
    <xf numFmtId="0" fontId="75" fillId="7" borderId="90" xfId="0" applyNumberFormat="1" applyFont="1" applyFill="1" applyBorder="1" applyAlignment="1">
      <alignment vertical="center"/>
    </xf>
    <xf numFmtId="0" fontId="87" fillId="8" borderId="91" xfId="0" applyFont="1" applyFill="1" applyBorder="1" applyAlignment="1">
      <alignment vertical="center"/>
    </xf>
    <xf numFmtId="0" fontId="75" fillId="7" borderId="91" xfId="0" applyNumberFormat="1" applyFont="1" applyFill="1" applyBorder="1" applyAlignment="1">
      <alignment vertical="center"/>
    </xf>
    <xf numFmtId="0" fontId="75" fillId="7" borderId="92" xfId="0" applyNumberFormat="1" applyFont="1" applyFill="1" applyBorder="1" applyAlignment="1">
      <alignment vertical="center"/>
    </xf>
    <xf numFmtId="0" fontId="91" fillId="54" borderId="0" xfId="0" applyFont="1" applyFill="1" applyBorder="1" applyAlignment="1">
      <alignment horizontal="center" vertical="center"/>
    </xf>
    <xf numFmtId="0" fontId="5" fillId="0" borderId="2" xfId="13" applyAlignment="1">
      <alignment horizontal="center" vertical="center"/>
    </xf>
    <xf numFmtId="0" fontId="62" fillId="54" borderId="0" xfId="0" applyFont="1" applyFill="1" applyBorder="1" applyAlignment="1">
      <alignment horizontal="centerContinuous" vertical="center"/>
    </xf>
    <xf numFmtId="0" fontId="23" fillId="54" borderId="0" xfId="0" applyFont="1" applyFill="1" applyBorder="1" applyAlignment="1">
      <alignment horizontal="centerContinuous" vertical="center"/>
    </xf>
    <xf numFmtId="0" fontId="62" fillId="56" borderId="0" xfId="0" applyFont="1" applyFill="1" applyProtection="1">
      <alignment vertical="center"/>
      <protection hidden="1"/>
    </xf>
    <xf numFmtId="0" fontId="0" fillId="56" borderId="0" xfId="0" applyFill="1" applyProtection="1">
      <alignment vertical="center"/>
      <protection hidden="1"/>
    </xf>
    <xf numFmtId="0" fontId="0" fillId="56" borderId="0" xfId="0" applyFill="1" applyAlignment="1">
      <alignment vertical="center"/>
    </xf>
    <xf numFmtId="0" fontId="71" fillId="56" borderId="0" xfId="6" applyFont="1" applyFill="1" applyAlignment="1">
      <alignment vertical="center"/>
    </xf>
    <xf numFmtId="0" fontId="62" fillId="54" borderId="1" xfId="1" applyFont="1" applyFill="1" applyAlignment="1">
      <alignment horizontal="left"/>
    </xf>
    <xf numFmtId="0" fontId="21" fillId="0" borderId="0" xfId="0" applyFont="1" applyBorder="1" applyAlignment="1">
      <alignment horizontal="centerContinuous" vertical="center"/>
    </xf>
    <xf numFmtId="0" fontId="80" fillId="8" borderId="0" xfId="0" applyFont="1" applyFill="1" applyBorder="1">
      <alignment vertical="center"/>
    </xf>
    <xf numFmtId="169" fontId="5" fillId="54" borderId="2" xfId="5" applyNumberFormat="1" applyFill="1" applyAlignment="1" applyProtection="1">
      <alignment horizontal="center" vertical="center"/>
      <protection hidden="1"/>
    </xf>
    <xf numFmtId="0" fontId="0" fillId="58" borderId="0" xfId="0" applyFill="1" applyBorder="1">
      <alignment vertical="center"/>
    </xf>
    <xf numFmtId="0" fontId="0" fillId="58" borderId="0" xfId="0" applyFill="1" applyBorder="1" applyAlignment="1"/>
    <xf numFmtId="0" fontId="106" fillId="8" borderId="0" xfId="0" applyFont="1" applyFill="1" applyBorder="1" applyAlignment="1">
      <alignment horizontal="center" vertical="center"/>
    </xf>
    <xf numFmtId="0" fontId="107" fillId="0" borderId="0" xfId="0" applyFont="1">
      <alignment vertical="center"/>
    </xf>
    <xf numFmtId="0" fontId="81" fillId="8" borderId="0" xfId="0" applyFont="1" applyFill="1" applyBorder="1" applyAlignment="1">
      <alignment horizontal="center" vertical="center"/>
    </xf>
    <xf numFmtId="0" fontId="114" fillId="51" borderId="144" xfId="95" applyFont="1" applyBorder="1" applyAlignment="1">
      <alignment vertical="center"/>
    </xf>
    <xf numFmtId="0" fontId="19" fillId="51" borderId="145" xfId="95" applyBorder="1" applyAlignment="1">
      <alignment vertical="center"/>
    </xf>
    <xf numFmtId="0" fontId="19" fillId="51" borderId="146" xfId="95" applyBorder="1" applyAlignment="1">
      <alignment vertical="center"/>
    </xf>
    <xf numFmtId="0" fontId="58" fillId="3" borderId="147" xfId="96" applyFill="1" applyBorder="1" applyAlignment="1">
      <alignment vertical="top" wrapText="1"/>
    </xf>
    <xf numFmtId="0" fontId="76" fillId="59" borderId="149" xfId="97" applyFont="1" applyFill="1" applyBorder="1">
      <alignment horizontal="centerContinuous" vertical="center" wrapText="1"/>
    </xf>
    <xf numFmtId="0" fontId="115" fillId="51" borderId="150" xfId="97" applyFont="1" applyBorder="1">
      <alignment horizontal="centerContinuous" vertical="center" wrapText="1"/>
    </xf>
    <xf numFmtId="0" fontId="76" fillId="60" borderId="149" xfId="97" applyFont="1" applyFill="1" applyBorder="1" applyAlignment="1">
      <alignment horizontal="center" vertical="center" wrapText="1"/>
    </xf>
    <xf numFmtId="0" fontId="115" fillId="51" borderId="151" xfId="97" applyFont="1" applyBorder="1">
      <alignment horizontal="centerContinuous" vertical="center" wrapText="1"/>
    </xf>
    <xf numFmtId="0" fontId="107" fillId="0" borderId="152" xfId="0" applyFont="1" applyBorder="1" applyAlignment="1">
      <alignment vertical="center" wrapText="1"/>
    </xf>
    <xf numFmtId="0" fontId="116" fillId="0" borderId="153" xfId="0" applyFont="1" applyBorder="1" applyAlignment="1">
      <alignment horizontal="center" vertical="center" wrapText="1"/>
    </xf>
    <xf numFmtId="0" fontId="107" fillId="0" borderId="0" xfId="0" applyFont="1" applyBorder="1" applyAlignment="1">
      <alignment vertical="center" wrapText="1"/>
    </xf>
    <xf numFmtId="0" fontId="117" fillId="0" borderId="153" xfId="0" applyFont="1" applyBorder="1" applyAlignment="1">
      <alignment horizontal="center" vertical="center" wrapText="1"/>
    </xf>
    <xf numFmtId="0" fontId="107" fillId="0" borderId="154" xfId="0" applyFont="1" applyBorder="1" applyAlignment="1">
      <alignment vertical="center" wrapText="1"/>
    </xf>
    <xf numFmtId="0" fontId="118" fillId="61" borderId="153" xfId="0" applyFont="1" applyFill="1" applyBorder="1" applyAlignment="1">
      <alignment horizontal="center" vertical="top" wrapText="1"/>
    </xf>
    <xf numFmtId="0" fontId="107" fillId="61" borderId="0" xfId="0" applyFont="1" applyFill="1" applyBorder="1" applyAlignment="1">
      <alignment vertical="center" wrapText="1"/>
    </xf>
    <xf numFmtId="0" fontId="117" fillId="61" borderId="153" xfId="0" applyFont="1" applyFill="1" applyBorder="1" applyAlignment="1">
      <alignment horizontal="center" vertical="top" wrapText="1"/>
    </xf>
    <xf numFmtId="0" fontId="107" fillId="61" borderId="154" xfId="0" applyFont="1" applyFill="1" applyBorder="1" applyAlignment="1">
      <alignment vertical="center" wrapText="1"/>
    </xf>
    <xf numFmtId="0" fontId="107" fillId="0" borderId="152" xfId="0" applyFont="1" applyBorder="1" applyAlignment="1">
      <alignment vertical="top" wrapText="1"/>
    </xf>
    <xf numFmtId="0" fontId="116" fillId="0" borderId="153" xfId="0" applyFont="1" applyBorder="1" applyAlignment="1">
      <alignment horizontal="center" vertical="top" wrapText="1"/>
    </xf>
    <xf numFmtId="0" fontId="117" fillId="0" borderId="153" xfId="0" applyFont="1" applyBorder="1" applyAlignment="1">
      <alignment horizontal="center" vertical="top" wrapText="1"/>
    </xf>
    <xf numFmtId="0" fontId="107" fillId="0" borderId="0" xfId="0" applyFont="1" applyBorder="1" applyAlignment="1">
      <alignment vertical="top" wrapText="1"/>
    </xf>
    <xf numFmtId="0" fontId="107" fillId="0" borderId="154" xfId="0" applyFont="1" applyBorder="1" applyAlignment="1">
      <alignment vertical="top" wrapText="1"/>
    </xf>
    <xf numFmtId="0" fontId="58" fillId="3" borderId="152" xfId="96" applyFill="1" applyBorder="1" applyAlignment="1">
      <alignment vertical="top" wrapText="1"/>
    </xf>
    <xf numFmtId="0" fontId="76" fillId="59" borderId="155" xfId="97" applyFont="1" applyFill="1" applyBorder="1">
      <alignment horizontal="centerContinuous" vertical="center" wrapText="1"/>
    </xf>
    <xf numFmtId="0" fontId="115" fillId="51" borderId="156" xfId="97" applyFont="1" applyBorder="1">
      <alignment horizontal="centerContinuous" vertical="center" wrapText="1"/>
    </xf>
    <xf numFmtId="0" fontId="76" fillId="60" borderId="155" xfId="97" applyFont="1" applyFill="1" applyBorder="1" applyAlignment="1">
      <alignment horizontal="center" vertical="center" wrapText="1"/>
    </xf>
    <xf numFmtId="0" fontId="115" fillId="51" borderId="157" xfId="97" applyFont="1" applyBorder="1">
      <alignment horizontal="centerContinuous" vertical="center" wrapText="1"/>
    </xf>
    <xf numFmtId="0" fontId="107" fillId="61" borderId="152" xfId="0" applyFont="1" applyFill="1" applyBorder="1" applyAlignment="1">
      <alignment vertical="center" wrapText="1"/>
    </xf>
    <xf numFmtId="0" fontId="0" fillId="0" borderId="152" xfId="0" applyBorder="1" applyAlignment="1">
      <alignment vertical="top" wrapText="1"/>
    </xf>
    <xf numFmtId="0" fontId="119" fillId="0" borderId="153" xfId="0" applyFont="1" applyBorder="1" applyAlignment="1">
      <alignment horizontal="center" vertical="top" wrapText="1"/>
    </xf>
    <xf numFmtId="0" fontId="0" fillId="0" borderId="0" xfId="0" applyBorder="1" applyAlignment="1">
      <alignment vertical="top" wrapText="1"/>
    </xf>
    <xf numFmtId="0" fontId="120" fillId="0" borderId="153" xfId="0" applyFont="1" applyBorder="1" applyAlignment="1">
      <alignment horizontal="center" vertical="top" wrapText="1"/>
    </xf>
    <xf numFmtId="0" fontId="0" fillId="0" borderId="154" xfId="0" applyBorder="1" applyAlignment="1">
      <alignment vertical="top" wrapText="1"/>
    </xf>
    <xf numFmtId="0" fontId="107" fillId="61" borderId="158" xfId="0" applyFont="1" applyFill="1" applyBorder="1" applyAlignment="1">
      <alignment vertical="center" wrapText="1"/>
    </xf>
    <xf numFmtId="0" fontId="118" fillId="61" borderId="159" xfId="0" applyFont="1" applyFill="1" applyBorder="1" applyAlignment="1">
      <alignment horizontal="center" vertical="center" wrapText="1"/>
    </xf>
    <xf numFmtId="0" fontId="107" fillId="61" borderId="160" xfId="0" applyFont="1" applyFill="1" applyBorder="1" applyAlignment="1">
      <alignment vertical="center" wrapText="1"/>
    </xf>
    <xf numFmtId="0" fontId="117" fillId="61" borderId="159" xfId="0" applyFont="1" applyFill="1" applyBorder="1" applyAlignment="1">
      <alignment horizontal="center" vertical="center" wrapText="1"/>
    </xf>
    <xf numFmtId="0" fontId="107" fillId="61" borderId="161" xfId="0" applyFont="1" applyFill="1" applyBorder="1" applyAlignment="1">
      <alignment vertical="center" wrapText="1"/>
    </xf>
    <xf numFmtId="0" fontId="0" fillId="58" borderId="0" xfId="0" applyFill="1" applyBorder="1" applyAlignment="1">
      <alignment vertical="top" wrapText="1"/>
    </xf>
    <xf numFmtId="0" fontId="119" fillId="58" borderId="0" xfId="0" applyFont="1" applyFill="1" applyBorder="1" applyAlignment="1">
      <alignment horizontal="center" vertical="top" wrapText="1"/>
    </xf>
    <xf numFmtId="0" fontId="120" fillId="58" borderId="0" xfId="0" applyFont="1" applyFill="1" applyBorder="1" applyAlignment="1">
      <alignment horizontal="center" vertical="top" wrapText="1"/>
    </xf>
    <xf numFmtId="0" fontId="0" fillId="58" borderId="0" xfId="0" applyFill="1" applyBorder="1" applyAlignment="1">
      <alignment horizontal="center"/>
    </xf>
    <xf numFmtId="9" fontId="0" fillId="8" borderId="0" xfId="0" applyNumberFormat="1" applyFill="1" applyAlignment="1">
      <alignment horizontal="center" vertical="center"/>
    </xf>
    <xf numFmtId="0" fontId="0" fillId="0" borderId="0" xfId="0" applyAlignment="1">
      <alignment horizontal="center" vertical="center"/>
    </xf>
    <xf numFmtId="14" fontId="5" fillId="8" borderId="0" xfId="0" applyNumberFormat="1" applyFont="1" applyFill="1" applyBorder="1" applyAlignment="1">
      <alignment horizontal="left" vertical="center"/>
    </xf>
    <xf numFmtId="0" fontId="0" fillId="0" borderId="0" xfId="0" applyFont="1" applyAlignment="1">
      <alignment horizontal="left" vertical="center"/>
    </xf>
    <xf numFmtId="0" fontId="76" fillId="51" borderId="4" xfId="9" applyFont="1" applyAlignment="1">
      <alignment horizontal="center" vertical="center" wrapText="1"/>
    </xf>
  </cellXfs>
  <cellStyles count="98">
    <cellStyle name="20 % - Akzent1" xfId="51" builtinId="30" hidden="1"/>
    <cellStyle name="20 % - Akzent2" xfId="55" builtinId="34" hidden="1"/>
    <cellStyle name="20 % - Akzent3" xfId="59" builtinId="38" hidden="1"/>
    <cellStyle name="20 % - Akzent4" xfId="63" builtinId="42" hidden="1"/>
    <cellStyle name="20 % - Akzent5" xfId="67" builtinId="46" hidden="1"/>
    <cellStyle name="20 % - Akzent6" xfId="71" builtinId="50" hidden="1"/>
    <cellStyle name="40 % - Akzent1" xfId="52" builtinId="31" hidden="1"/>
    <cellStyle name="40 % - Akzent2" xfId="56" builtinId="35" hidden="1"/>
    <cellStyle name="40 % - Akzent3" xfId="60" builtinId="39" hidden="1"/>
    <cellStyle name="40 % - Akzent4" xfId="64" builtinId="43" hidden="1"/>
    <cellStyle name="40 % - Akzent5" xfId="68" builtinId="47" hidden="1"/>
    <cellStyle name="40 % - Akzent6" xfId="72" builtinId="51" hidden="1"/>
    <cellStyle name="60 % - Akzent1" xfId="53" builtinId="32" hidden="1"/>
    <cellStyle name="60 % - Akzent2" xfId="57" builtinId="36" hidden="1"/>
    <cellStyle name="60 % - Akzent3" xfId="61" builtinId="40" hidden="1"/>
    <cellStyle name="60 % - Akzent4" xfId="65" builtinId="44" hidden="1"/>
    <cellStyle name="60 % - Akzent5" xfId="69" builtinId="48" hidden="1"/>
    <cellStyle name="60 % - Akzent6" xfId="73" builtinId="52" hidden="1"/>
    <cellStyle name="Actuals" xfId="86"/>
    <cellStyle name="Akzent1" xfId="50" builtinId="29" hidden="1"/>
    <cellStyle name="Akzent2" xfId="54" builtinId="33" hidden="1"/>
    <cellStyle name="Akzent3" xfId="58" builtinId="37" hidden="1"/>
    <cellStyle name="Akzent4" xfId="62" builtinId="41" hidden="1"/>
    <cellStyle name="Akzent5" xfId="66" builtinId="45" hidden="1"/>
    <cellStyle name="Akzent6" xfId="70" builtinId="49" hidden="1"/>
    <cellStyle name="Ausgabe" xfId="42" builtinId="21" hidden="1"/>
    <cellStyle name="Berechnung" xfId="43" builtinId="22" hidden="1"/>
    <cellStyle name="Besuchter Hyperlink" xfId="91" builtinId="9" hidden="1"/>
    <cellStyle name="Blatt_1" xfId="95"/>
    <cellStyle name="Cell_Check" xfId="19"/>
    <cellStyle name="Cell_Clue" xfId="84"/>
    <cellStyle name="Cell_OnOff" xfId="74"/>
    <cellStyle name="Check" xfId="87"/>
    <cellStyle name="Comment" xfId="21"/>
    <cellStyle name="DateLong" xfId="82"/>
    <cellStyle name="DateShort" xfId="90"/>
    <cellStyle name="Dezimal [0]" xfId="29" builtinId="6" hidden="1"/>
    <cellStyle name="Dezimal [0]" xfId="80" builtinId="6"/>
    <cellStyle name="Eingabe" xfId="41" builtinId="20" hidden="1"/>
    <cellStyle name="Empty_Cell" xfId="17"/>
    <cellStyle name="Ergebnis" xfId="49" builtinId="25" hidden="1"/>
    <cellStyle name="Erklärender Text" xfId="48" builtinId="53" hidden="1"/>
    <cellStyle name="Ext_Link" xfId="81"/>
    <cellStyle name="Flag" xfId="18"/>
    <cellStyle name="Gut" xfId="38" builtinId="26" hidden="1"/>
    <cellStyle name="Header_1" xfId="1"/>
    <cellStyle name="Header_2" xfId="2"/>
    <cellStyle name="Header_3" xfId="3"/>
    <cellStyle name="Header_4" xfId="7"/>
    <cellStyle name="Hyperlink" xfId="75" hidden="1"/>
    <cellStyle name="Hyperlink" xfId="77" builtinId="8" hidden="1"/>
    <cellStyle name="Hyperlink" xfId="83" builtinId="8" hidden="1"/>
    <cellStyle name="Hyperlink" xfId="94" builtinId="8"/>
    <cellStyle name="Hyperlink_Style" xfId="89"/>
    <cellStyle name="Input" xfId="27"/>
    <cellStyle name="Input_perm" xfId="88"/>
    <cellStyle name="Komma" xfId="28" builtinId="3" hidden="1"/>
    <cellStyle name="Komma" xfId="85" builtinId="3"/>
    <cellStyle name="Leere_Zelle" xfId="93"/>
    <cellStyle name="Line_Closing" xfId="12"/>
    <cellStyle name="Line_Operation" xfId="8"/>
    <cellStyle name="Line_Subtotal" xfId="10"/>
    <cellStyle name="Line_Summary" xfId="5"/>
    <cellStyle name="Line_Total" xfId="11"/>
    <cellStyle name="Name_Input" xfId="16"/>
    <cellStyle name="Neutral" xfId="40" builtinId="28" hidden="1"/>
    <cellStyle name="Notiz" xfId="47" builtinId="10" hidden="1"/>
    <cellStyle name="Num_Percent" xfId="78"/>
    <cellStyle name="Num_Standard" xfId="79"/>
    <cellStyle name="Prozent" xfId="32" builtinId="5" hidden="1"/>
    <cellStyle name="Prozent" xfId="76" builtinId="5"/>
    <cellStyle name="Ratio" xfId="14"/>
    <cellStyle name="Ref_InSheet" xfId="13"/>
    <cellStyle name="Ref_OffSheet" xfId="15"/>
    <cellStyle name="Schlecht" xfId="39" builtinId="27" hidden="1"/>
    <cellStyle name="Sheet_1" xfId="22"/>
    <cellStyle name="Sheet_2" xfId="23"/>
    <cellStyle name="Sheet_3" xfId="24"/>
    <cellStyle name="Standard" xfId="0" builtinId="0" customBuiltin="1"/>
    <cellStyle name="Stat_Checked" xfId="25"/>
    <cellStyle name="Stat_tbchecked" xfId="26"/>
    <cellStyle name="Stat_WIP" xfId="20"/>
    <cellStyle name="Tabellen_Ueb" xfId="97"/>
    <cellStyle name="Table_Heading" xfId="9"/>
    <cellStyle name="Technical_Input" xfId="4"/>
    <cellStyle name="Überschrift" xfId="33" builtinId="15" hidden="1"/>
    <cellStyle name="Überschrift 1" xfId="34" builtinId="16" hidden="1"/>
    <cellStyle name="Überschrift 2" xfId="35" builtinId="17" hidden="1"/>
    <cellStyle name="Überschrift 3" xfId="36" builtinId="18" hidden="1"/>
    <cellStyle name="Überschrift 4" xfId="37" builtinId="19" hidden="1"/>
    <cellStyle name="Ueb2" xfId="96"/>
    <cellStyle name="Ueb3" xfId="92"/>
    <cellStyle name="Unit" xfId="6"/>
    <cellStyle name="Verknüpfte Zelle" xfId="44" builtinId="24" hidden="1"/>
    <cellStyle name="Währung" xfId="30" builtinId="4" hidden="1"/>
    <cellStyle name="Währung [0]" xfId="31" builtinId="7" hidden="1"/>
    <cellStyle name="Warnender Text" xfId="46" builtinId="11" hidden="1"/>
    <cellStyle name="Zelle überprüfen" xfId="45" builtinId="23" hidden="1"/>
  </cellStyles>
  <dxfs count="422">
    <dxf>
      <fill>
        <patternFill>
          <bgColor indexed="44"/>
        </patternFill>
      </fill>
      <border>
        <top/>
        <bottom/>
      </border>
    </dxf>
    <dxf>
      <font>
        <b val="0"/>
        <i val="0"/>
        <condense val="0"/>
        <extend val="0"/>
        <color auto="1"/>
      </font>
      <fill>
        <patternFill>
          <bgColor indexed="43"/>
        </patternFill>
      </fill>
      <border>
        <top/>
        <bottom style="thin">
          <color indexed="34"/>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rgb="FFFF0000"/>
      </font>
      <fill>
        <patternFill>
          <bgColor rgb="FFFF0000"/>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10"/>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theme="6" tint="0.59996337778862885"/>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theme="0" tint="-0.14996795556505021"/>
        </patternFill>
      </fill>
    </dxf>
    <dxf>
      <fill>
        <patternFill>
          <bgColor theme="6" tint="0.59996337778862885"/>
        </patternFill>
      </fill>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lor theme="0" tint="-0.14996795556505021"/>
      </font>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lor theme="0"/>
        <name val="Cambria"/>
        <scheme val="none"/>
      </font>
      <fill>
        <patternFill patternType="none">
          <bgColor indexed="65"/>
        </patternFill>
      </fill>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lor rgb="FF00B050"/>
      </font>
    </dxf>
    <dxf>
      <font>
        <color rgb="FF00B050"/>
      </font>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color rgb="FF00B050"/>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lor rgb="FF00B050"/>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lor rgb="FF00B050"/>
      </font>
    </dxf>
    <dxf>
      <font>
        <color rgb="FF00B050"/>
      </font>
    </dxf>
    <dxf>
      <font>
        <color rgb="FF00B050"/>
      </font>
    </dxf>
    <dxf>
      <font>
        <color rgb="FF00B050"/>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strike val="0"/>
        <condense val="0"/>
        <extend val="0"/>
        <outline val="0"/>
        <shadow val="0"/>
        <u val="none"/>
        <vertAlign val="baseline"/>
        <sz val="10"/>
        <color rgb="FF0070C0"/>
        <name val="Arial"/>
        <scheme val="none"/>
      </font>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color theme="0" tint="-0.24994659260841701"/>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dxf>
    <dxf>
      <font>
        <b/>
        <i val="0"/>
        <color rgb="FF00B050"/>
      </font>
      <fill>
        <patternFill patternType="solid">
          <bgColor theme="0" tint="-4.9989318521683403E-2"/>
        </patternFill>
      </fill>
    </dxf>
  </dxfs>
  <tableStyles count="0" defaultTableStyle="TableStyleMedium2" defaultPivotStyle="PivotStyleLight16"/>
  <colors>
    <mruColors>
      <color rgb="FFFFFFCC"/>
      <color rgb="FFEAEAEA"/>
      <color rgb="FF008080"/>
      <color rgb="FFBEE5EC"/>
      <color rgb="FFD5B6F4"/>
      <color rgb="FFDEB5F5"/>
      <color rgb="FFC9B9F1"/>
      <color rgb="FF25346A"/>
      <color rgb="FFDDDDDD"/>
      <color rgb="FF007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arChart>
        <c:barDir val="col"/>
        <c:grouping val="clustered"/>
        <c:varyColors val="0"/>
        <c:ser>
          <c:idx val="0"/>
          <c:order val="0"/>
          <c:tx>
            <c:strRef>
              <c:f>'Summary 01'!$AW$273</c:f>
              <c:strCache>
                <c:ptCount val="1"/>
                <c:pt idx="0">
                  <c:v>Revenue</c:v>
                </c:pt>
              </c:strCache>
            </c:strRef>
          </c:tx>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'Summary 01'!$AX$272:$BB$272</c:f>
              <c:strCache>
                <c:ptCount val="2"/>
                <c:pt idx="0">
                  <c:v>FY 2017</c:v>
                </c:pt>
                <c:pt idx="1">
                  <c:v>FY 2018</c:v>
                </c:pt>
              </c:strCache>
            </c:strRef>
          </c:cat>
          <c:val>
            <c:numRef>
              <c:f>'Summary 01'!$AX$273:$BB$273</c:f>
              <c:numCache>
                <c:formatCode>_(* #,##0_);_(* \(#,##0\);_(* "-"??_);_(@_)</c:formatCode>
                <c:ptCount val="5"/>
                <c:pt idx="0">
                  <c:v>391.42900416910851</c:v>
                </c:pt>
                <c:pt idx="1">
                  <c:v>1282.2911234232927</c:v>
                </c:pt>
              </c:numCache>
            </c:numRef>
          </c:val>
          <c:extLst xmlns:c16r2="http://schemas.microsoft.com/office/drawing/2015/06/chart">
            <c:ext xmlns:c16="http://schemas.microsoft.com/office/drawing/2014/chart" uri="{C3380CC4-5D6E-409C-BE32-E72D297353CC}">
              <c16:uniqueId val="{00000000-24AC-4054-8AE6-CB5978A2D245}"/>
            </c:ext>
          </c:extLst>
        </c:ser>
        <c:ser>
          <c:idx val="1"/>
          <c:order val="1"/>
          <c:tx>
            <c:strRef>
              <c:f>'Summary 01'!$AW$274</c:f>
              <c:strCache>
                <c:ptCount val="1"/>
                <c:pt idx="0">
                  <c:v>Gross Profit</c:v>
                </c:pt>
              </c:strCache>
            </c:strRef>
          </c:tx>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'Summary 01'!$AX$272:$BB$272</c:f>
              <c:strCache>
                <c:ptCount val="2"/>
                <c:pt idx="0">
                  <c:v>FY 2017</c:v>
                </c:pt>
                <c:pt idx="1">
                  <c:v>FY 2018</c:v>
                </c:pt>
              </c:strCache>
            </c:strRef>
          </c:cat>
          <c:val>
            <c:numRef>
              <c:f>'Summary 01'!$AX$274:$BB$274</c:f>
              <c:numCache>
                <c:formatCode>_(* #,##0_);_(* \(#,##0\);_(* "-"??_);_(@_)</c:formatCode>
                <c:ptCount val="5"/>
                <c:pt idx="0">
                  <c:v>300.80654364312494</c:v>
                </c:pt>
                <c:pt idx="1">
                  <c:v>966.06522035662226</c:v>
                </c:pt>
              </c:numCache>
            </c:numRef>
          </c:val>
          <c:extLst xmlns:c16r2="http://schemas.microsoft.com/office/drawing/2015/06/chart">
            <c:ext xmlns:c16="http://schemas.microsoft.com/office/drawing/2014/chart" uri="{C3380CC4-5D6E-409C-BE32-E72D297353CC}">
              <c16:uniqueId val="{00000001-24AC-4054-8AE6-CB5978A2D245}"/>
            </c:ext>
          </c:extLst>
        </c:ser>
        <c:ser>
          <c:idx val="2"/>
          <c:order val="2"/>
          <c:tx>
            <c:strRef>
              <c:f>'Summary 01'!$AW$275</c:f>
              <c:strCache>
                <c:ptCount val="1"/>
                <c:pt idx="0">
                  <c:v>Net Profit after Tax (NPAT)</c:v>
                </c:pt>
              </c:strCache>
            </c:strRef>
          </c:tx>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'Summary 01'!$AX$272:$BB$272</c:f>
              <c:strCache>
                <c:ptCount val="2"/>
                <c:pt idx="0">
                  <c:v>FY 2017</c:v>
                </c:pt>
                <c:pt idx="1">
                  <c:v>FY 2018</c:v>
                </c:pt>
              </c:strCache>
            </c:strRef>
          </c:cat>
          <c:val>
            <c:numRef>
              <c:f>'Summary 01'!$AX$275:$BB$275</c:f>
              <c:numCache>
                <c:formatCode>_(* #,##0_);_(* \(#,##0\);_(* "-"??_);_(@_)</c:formatCode>
                <c:ptCount val="5"/>
                <c:pt idx="0">
                  <c:v>-21.616593373115151</c:v>
                </c:pt>
                <c:pt idx="1">
                  <c:v>204.93771788136405</c:v>
                </c:pt>
              </c:numCache>
            </c:numRef>
          </c:val>
          <c:extLst xmlns:c16r2="http://schemas.microsoft.com/office/drawing/2015/06/chart">
            <c:ext xmlns:c16="http://schemas.microsoft.com/office/drawing/2014/chart" uri="{C3380CC4-5D6E-409C-BE32-E72D297353CC}">
              <c16:uniqueId val="{00000002-24AC-4054-8AE6-CB5978A2D245}"/>
            </c:ext>
          </c:extLst>
        </c:ser>
        <c:dLbls>
          <c:showLegendKey val="0"/>
          <c:showVal val="0"/>
          <c:showCatName val="0"/>
          <c:showSerName val="0"/>
          <c:showPercent val="0"/>
          <c:showBubbleSize val="0"/>
        </c:dLbls>
        <c:gapWidth val="150"/>
        <c:axId val="293746176"/>
        <c:axId val="293748096"/>
      </c:barChart>
      <c:catAx>
        <c:axId val="293746176"/>
        <c:scaling>
          <c:orientation val="minMax"/>
        </c:scaling>
        <c:delete val="0"/>
        <c:axPos val="b"/>
        <c:numFmt formatCode="General" sourceLinked="1"/>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de-DE"/>
          </a:p>
        </c:txPr>
        <c:crossAx val="293748096"/>
        <c:crosses val="autoZero"/>
        <c:auto val="1"/>
        <c:lblAlgn val="ctr"/>
        <c:lblOffset val="100"/>
        <c:noMultiLvlLbl val="0"/>
      </c:catAx>
      <c:valAx>
        <c:axId val="293748096"/>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293746176"/>
        <c:crosses val="autoZero"/>
        <c:crossBetween val="between"/>
      </c:valAx>
    </c:plotArea>
    <c:legend>
      <c:legendPos val="b"/>
      <c:overlay val="0"/>
      <c:txPr>
        <a:bodyPr/>
        <a:lstStyle/>
        <a:p>
          <a:pPr>
            <a:defRPr sz="1100">
              <a:latin typeface="Arial" panose="020B0604020202020204" pitchFamily="34" charset="0"/>
              <a:cs typeface="Arial" panose="020B0604020202020204" pitchFamily="34" charset="0"/>
            </a:defRPr>
          </a:pPr>
          <a:endParaRPr lang="de-DE"/>
        </a:p>
      </c:txPr>
    </c:legend>
    <c:plotVisOnly val="0"/>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pieChart>
        <c:varyColors val="1"/>
        <c:ser>
          <c:idx val="0"/>
          <c:order val="0"/>
          <c:dLbls>
            <c:spPr>
              <a:noFill/>
              <a:ln>
                <a:noFill/>
              </a:ln>
              <a:effectLst/>
            </c:spPr>
            <c:txPr>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extLst>
          </c:dLbls>
          <c:cat>
            <c:strRef>
              <c:f>'Summary 01'!$AW$267:$AW$268</c:f>
              <c:strCache>
                <c:ptCount val="2"/>
                <c:pt idx="0">
                  <c:v>Debt</c:v>
                </c:pt>
                <c:pt idx="1">
                  <c:v>Equity</c:v>
                </c:pt>
              </c:strCache>
            </c:strRef>
          </c:cat>
          <c:val>
            <c:numRef>
              <c:f>'Summary 01'!$AX$267:$AX$268</c:f>
              <c:numCache>
                <c:formatCode>_(* #,##0.0%_);_(* \(#,##0.0%\);_(* "-"??_);_(@_)</c:formatCode>
                <c:ptCount val="2"/>
                <c:pt idx="0">
                  <c:v>0.55809965513588555</c:v>
                </c:pt>
                <c:pt idx="1">
                  <c:v>0.44190034486411439</c:v>
                </c:pt>
              </c:numCache>
            </c:numRef>
          </c:val>
          <c:extLst xmlns:c16r2="http://schemas.microsoft.com/office/drawing/2015/06/chart">
            <c:ext xmlns:c16="http://schemas.microsoft.com/office/drawing/2014/chart" uri="{C3380CC4-5D6E-409C-BE32-E72D297353CC}">
              <c16:uniqueId val="{00000000-5EB2-4679-8B8E-EBFCB2FDEF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142148327349527"/>
          <c:y val="0.26349456317960279"/>
          <c:w val="0.26553221347583361"/>
          <c:h val="0.5035691126844438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0"/>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622418929661"/>
          <c:y val="2.6815806315016812E-2"/>
          <c:w val="0.81918423595743339"/>
          <c:h val="0.74215884068664184"/>
        </c:manualLayout>
      </c:layout>
      <c:lineChart>
        <c:grouping val="standard"/>
        <c:varyColors val="0"/>
        <c:ser>
          <c:idx val="0"/>
          <c:order val="0"/>
          <c:tx>
            <c:strRef>
              <c:f>'Summary 01'!$AW$289</c:f>
              <c:strCache>
                <c:ptCount val="1"/>
                <c:pt idx="0">
                  <c:v>Bank Balance (end of month)</c:v>
                </c:pt>
              </c:strCache>
            </c:strRef>
          </c:tx>
          <c:marker>
            <c:symbol val="diamond"/>
            <c:size val="5"/>
            <c:spPr>
              <a:solidFill>
                <a:schemeClr val="bg1">
                  <a:lumMod val="75000"/>
                </a:schemeClr>
              </a:solidFill>
            </c:spPr>
          </c:marker>
          <c:cat>
            <c:numRef>
              <c:f>'Summary 01'!$AX$288:$BI$288</c:f>
              <c:numCache>
                <c:formatCode>[$-809]dd\ mmm\ yy;@</c:formatCode>
                <c:ptCount val="12"/>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numCache>
            </c:numRef>
          </c:cat>
          <c:val>
            <c:numRef>
              <c:f>'Summary 01'!$AX$289:$BI$289</c:f>
              <c:numCache>
                <c:formatCode>_(* #,##0_);_(* \(#,##0\);_(* "-"??_);_(@_)</c:formatCode>
                <c:ptCount val="12"/>
                <c:pt idx="0">
                  <c:v>0</c:v>
                </c:pt>
                <c:pt idx="1">
                  <c:v>0</c:v>
                </c:pt>
                <c:pt idx="2">
                  <c:v>90215.963050000006</c:v>
                </c:pt>
                <c:pt idx="3">
                  <c:v>108534.97663</c:v>
                </c:pt>
                <c:pt idx="4">
                  <c:v>70315.142420000004</c:v>
                </c:pt>
                <c:pt idx="5">
                  <c:v>29674.744600000005</c:v>
                </c:pt>
                <c:pt idx="6">
                  <c:v>77712.458160000009</c:v>
                </c:pt>
                <c:pt idx="7">
                  <c:v>15584.772410000012</c:v>
                </c:pt>
                <c:pt idx="8">
                  <c:v>0</c:v>
                </c:pt>
                <c:pt idx="9">
                  <c:v>147315.40580000001</c:v>
                </c:pt>
                <c:pt idx="10">
                  <c:v>79617.295440000002</c:v>
                </c:pt>
                <c:pt idx="11">
                  <c:v>9922.5987000000023</c:v>
                </c:pt>
              </c:numCache>
            </c:numRef>
          </c:val>
          <c:smooth val="0"/>
          <c:extLst xmlns:c16r2="http://schemas.microsoft.com/office/drawing/2015/06/chart">
            <c:ext xmlns:c16="http://schemas.microsoft.com/office/drawing/2014/chart" uri="{C3380CC4-5D6E-409C-BE32-E72D297353CC}">
              <c16:uniqueId val="{00000000-ECDE-497A-8809-0509FF3ABD93}"/>
            </c:ext>
          </c:extLst>
        </c:ser>
        <c:ser>
          <c:idx val="1"/>
          <c:order val="1"/>
          <c:tx>
            <c:strRef>
              <c:f>'Summary 01'!$AW$290</c:f>
              <c:strCache>
                <c:ptCount val="1"/>
                <c:pt idx="0">
                  <c:v>Overdraft Facility (end of month)</c:v>
                </c:pt>
              </c:strCache>
            </c:strRef>
          </c:tx>
          <c:marker>
            <c:symbol val="diamond"/>
            <c:size val="5"/>
            <c:spPr>
              <a:solidFill>
                <a:schemeClr val="bg1">
                  <a:lumMod val="75000"/>
                </a:schemeClr>
              </a:solidFill>
            </c:spPr>
          </c:marker>
          <c:val>
            <c:numRef>
              <c:f>'Summary 01'!$AX$290:$BI$290</c:f>
              <c:numCache>
                <c:formatCode>_(* #,##0_);_(* \(#,##0\);_(* "-"??_);_(@_)</c:formatCode>
                <c:ptCount val="12"/>
                <c:pt idx="0">
                  <c:v>0</c:v>
                </c:pt>
                <c:pt idx="1">
                  <c:v>0</c:v>
                </c:pt>
                <c:pt idx="2">
                  <c:v>0</c:v>
                </c:pt>
                <c:pt idx="3">
                  <c:v>0</c:v>
                </c:pt>
                <c:pt idx="4">
                  <c:v>0</c:v>
                </c:pt>
                <c:pt idx="5">
                  <c:v>0</c:v>
                </c:pt>
                <c:pt idx="6">
                  <c:v>0</c:v>
                </c:pt>
                <c:pt idx="7">
                  <c:v>0</c:v>
                </c:pt>
                <c:pt idx="8">
                  <c:v>-45155.543174629362</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ECDE-497A-8809-0509FF3ABD93}"/>
            </c:ext>
          </c:extLst>
        </c:ser>
        <c:ser>
          <c:idx val="2"/>
          <c:order val="2"/>
          <c:tx>
            <c:strRef>
              <c:f>'Summary 01'!$AW$291</c:f>
              <c:strCache>
                <c:ptCount val="1"/>
                <c:pt idx="0">
                  <c:v>Maximum Overdraft (limit)</c:v>
                </c:pt>
              </c:strCache>
            </c:strRef>
          </c:tx>
          <c:marker>
            <c:symbol val="none"/>
          </c:marker>
          <c:val>
            <c:numRef>
              <c:f>'Summary 01'!$AX$291:$BI$291</c:f>
              <c:numCache>
                <c:formatCode>_(* #,##0_);_(* \(#,##0\);_(* "-"??_);_(@_)</c:formatCode>
                <c:ptCount val="12"/>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numCache>
            </c:numRef>
          </c:val>
          <c:smooth val="0"/>
          <c:extLst xmlns:c16r2="http://schemas.microsoft.com/office/drawing/2015/06/chart">
            <c:ext xmlns:c16="http://schemas.microsoft.com/office/drawing/2014/chart" uri="{C3380CC4-5D6E-409C-BE32-E72D297353CC}">
              <c16:uniqueId val="{00000002-ECDE-497A-8809-0509FF3ABD93}"/>
            </c:ext>
          </c:extLst>
        </c:ser>
        <c:dLbls>
          <c:showLegendKey val="0"/>
          <c:showVal val="0"/>
          <c:showCatName val="0"/>
          <c:showSerName val="0"/>
          <c:showPercent val="0"/>
          <c:showBubbleSize val="0"/>
        </c:dLbls>
        <c:marker val="1"/>
        <c:smooth val="0"/>
        <c:axId val="325740416"/>
        <c:axId val="272206080"/>
      </c:lineChart>
      <c:dateAx>
        <c:axId val="325740416"/>
        <c:scaling>
          <c:orientation val="minMax"/>
        </c:scaling>
        <c:delete val="0"/>
        <c:axPos val="b"/>
        <c:numFmt formatCode="[$-809]mmm\ yy;@" sourceLinked="0"/>
        <c:majorTickMark val="out"/>
        <c:minorTickMark val="none"/>
        <c:tickLblPos val="low"/>
        <c:txPr>
          <a:bodyPr rot="-2700000" vert="horz"/>
          <a:lstStyle/>
          <a:p>
            <a:pPr>
              <a:defRPr sz="900">
                <a:latin typeface="Arial" panose="020B0604020202020204" pitchFamily="34" charset="0"/>
                <a:cs typeface="Arial" panose="020B0604020202020204" pitchFamily="34" charset="0"/>
              </a:defRPr>
            </a:pPr>
            <a:endParaRPr lang="de-DE"/>
          </a:p>
        </c:txPr>
        <c:crossAx val="272206080"/>
        <c:crosses val="autoZero"/>
        <c:auto val="1"/>
        <c:lblOffset val="100"/>
        <c:baseTimeUnit val="months"/>
      </c:dateAx>
      <c:valAx>
        <c:axId val="272206080"/>
        <c:scaling>
          <c:orientation val="minMax"/>
        </c:scaling>
        <c:delete val="0"/>
        <c:axPos val="l"/>
        <c:majorGridlines>
          <c:spPr>
            <a:ln>
              <a:solidFill>
                <a:schemeClr val="bg1">
                  <a:lumMod val="65000"/>
                </a:schemeClr>
              </a:solidFill>
              <a:prstDash val="sysDot"/>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325740416"/>
        <c:crosses val="autoZero"/>
        <c:crossBetween val="between"/>
      </c:valAx>
    </c:plotArea>
    <c:legend>
      <c:legendPos val="b"/>
      <c:layout>
        <c:manualLayout>
          <c:xMode val="edge"/>
          <c:yMode val="edge"/>
          <c:x val="0.19961837383717973"/>
          <c:y val="0.85946084704272874"/>
          <c:w val="0.69867519259876576"/>
          <c:h val="0.10397220845198157"/>
        </c:manualLayout>
      </c:layout>
      <c:overlay val="0"/>
    </c:legend>
    <c:plotVisOnly val="0"/>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pieChart>
        <c:varyColors val="1"/>
        <c:ser>
          <c:idx val="0"/>
          <c:order val="0"/>
          <c:dPt>
            <c:idx val="0"/>
            <c:bubble3D val="0"/>
            <c:spPr>
              <a:solidFill>
                <a:schemeClr val="bg1">
                  <a:lumMod val="85000"/>
                </a:schemeClr>
              </a:solidFill>
            </c:spPr>
            <c:extLst xmlns:c16r2="http://schemas.microsoft.com/office/drawing/2015/06/chart">
              <c:ext xmlns:c16="http://schemas.microsoft.com/office/drawing/2014/chart" uri="{C3380CC4-5D6E-409C-BE32-E72D297353CC}">
                <c16:uniqueId val="{00000001-4E3E-4428-8B5D-53CDC327B0EB}"/>
              </c:ext>
            </c:extLst>
          </c:dPt>
          <c:dPt>
            <c:idx val="1"/>
            <c:bubble3D val="0"/>
            <c:spPr>
              <a:solidFill>
                <a:schemeClr val="bg2">
                  <a:lumMod val="90000"/>
                </a:schemeClr>
              </a:solidFill>
            </c:spPr>
            <c:extLst xmlns:c16r2="http://schemas.microsoft.com/office/drawing/2015/06/chart">
              <c:ext xmlns:c16="http://schemas.microsoft.com/office/drawing/2014/chart" uri="{C3380CC4-5D6E-409C-BE32-E72D297353CC}">
                <c16:uniqueId val="{00000003-4E3E-4428-8B5D-53CDC327B0EB}"/>
              </c:ext>
            </c:extLst>
          </c:dPt>
          <c:dPt>
            <c:idx val="3"/>
            <c:bubble3D val="0"/>
            <c:spPr>
              <a:solidFill>
                <a:schemeClr val="accent2">
                  <a:lumMod val="20000"/>
                  <a:lumOff val="80000"/>
                </a:schemeClr>
              </a:solidFill>
            </c:spPr>
            <c:extLst xmlns:c16r2="http://schemas.microsoft.com/office/drawing/2015/06/chart">
              <c:ext xmlns:c16="http://schemas.microsoft.com/office/drawing/2014/chart" uri="{C3380CC4-5D6E-409C-BE32-E72D297353CC}">
                <c16:uniqueId val="{00000005-4E3E-4428-8B5D-53CDC327B0EB}"/>
              </c:ext>
            </c:extLst>
          </c:dPt>
          <c:dPt>
            <c:idx val="6"/>
            <c:bubble3D val="0"/>
            <c:spPr>
              <a:solidFill>
                <a:schemeClr val="accent6">
                  <a:lumMod val="40000"/>
                  <a:lumOff val="60000"/>
                </a:schemeClr>
              </a:solidFill>
            </c:spPr>
            <c:extLst xmlns:c16r2="http://schemas.microsoft.com/office/drawing/2015/06/chart">
              <c:ext xmlns:c16="http://schemas.microsoft.com/office/drawing/2014/chart" uri="{C3380CC4-5D6E-409C-BE32-E72D297353CC}">
                <c16:uniqueId val="{00000007-4E3E-4428-8B5D-53CDC327B0EB}"/>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de-DE"/>
              </a:p>
            </c:txPr>
            <c:dLblPos val="bestFit"/>
            <c:showLegendKey val="0"/>
            <c:showVal val="1"/>
            <c:showCatName val="0"/>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'Summary 01'!$BC$257:$BC$262</c:f>
              <c:strCache>
                <c:ptCount val="5"/>
                <c:pt idx="0">
                  <c:v>Share Capital</c:v>
                </c:pt>
                <c:pt idx="1">
                  <c:v>Debt: URB Bank</c:v>
                </c:pt>
                <c:pt idx="2">
                  <c:v>Debt: FounderBank</c:v>
                </c:pt>
                <c:pt idx="3">
                  <c:v>Debt: Shareholder Loan</c:v>
                </c:pt>
                <c:pt idx="4">
                  <c:v>Overdraft Facility</c:v>
                </c:pt>
              </c:strCache>
            </c:strRef>
          </c:cat>
          <c:val>
            <c:numRef>
              <c:f>[0]!FQ_Torte</c:f>
              <c:numCache>
                <c:formatCode>_(* #,##0_);_(* \(#,##0\);_(* "-"??_);_(@_)</c:formatCode>
                <c:ptCount val="5"/>
                <c:pt idx="0">
                  <c:v>230000</c:v>
                </c:pt>
                <c:pt idx="1">
                  <c:v>70000</c:v>
                </c:pt>
                <c:pt idx="2">
                  <c:v>110000</c:v>
                </c:pt>
                <c:pt idx="3">
                  <c:v>50000</c:v>
                </c:pt>
                <c:pt idx="4">
                  <c:v>60479.340360609247</c:v>
                </c:pt>
              </c:numCache>
            </c:numRef>
          </c:val>
          <c:extLst xmlns:c16r2="http://schemas.microsoft.com/office/drawing/2015/06/chart">
            <c:ext xmlns:c16="http://schemas.microsoft.com/office/drawing/2014/chart" uri="{C3380CC4-5D6E-409C-BE32-E72D297353CC}">
              <c16:uniqueId val="{00000008-4E3E-4428-8B5D-53CDC327B0E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4607888401830262"/>
          <c:y val="4.7342519685039393E-2"/>
          <c:w val="0.44139175532127722"/>
          <c:h val="0.90531496062992078"/>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0"/>
    <c:dispBlanksAs val="zero"/>
    <c:showDLblsOverMax val="0"/>
  </c:chart>
  <c:spPr>
    <a:ln>
      <a:noFill/>
    </a:ln>
  </c:spPr>
  <c:printSettings>
    <c:headerFooter/>
    <c:pageMargins b="0.78740157499999996" l="0.7000000000000004" r="0.7000000000000004" t="0.78740157499999996"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de-DE" sz="1600">
                <a:solidFill>
                  <a:srgbClr val="002060"/>
                </a:solidFill>
                <a:latin typeface="Arial" panose="020B0604020202020204" pitchFamily="34" charset="0"/>
                <a:cs typeface="Arial" panose="020B0604020202020204" pitchFamily="34" charset="0"/>
              </a:rPr>
              <a:t>Headcount</a:t>
            </a:r>
          </a:p>
          <a:p>
            <a:pPr>
              <a:defRPr sz="1800" b="1" i="0" u="none" strike="noStrike" kern="1200" baseline="0">
                <a:solidFill>
                  <a:schemeClr val="tx1"/>
                </a:solidFill>
                <a:latin typeface="+mn-lt"/>
                <a:ea typeface="+mn-ea"/>
                <a:cs typeface="+mn-cs"/>
              </a:defRPr>
            </a:pPr>
            <a:r>
              <a:rPr lang="de-DE" sz="1600">
                <a:solidFill>
                  <a:srgbClr val="002060"/>
                </a:solidFill>
                <a:latin typeface="Arial" panose="020B0604020202020204" pitchFamily="34" charset="0"/>
                <a:cs typeface="Arial" panose="020B0604020202020204" pitchFamily="34" charset="0"/>
              </a:rPr>
              <a:t>by Division</a:t>
            </a:r>
          </a:p>
        </c:rich>
      </c:tx>
      <c:layout>
        <c:manualLayout>
          <c:xMode val="edge"/>
          <c:yMode val="edge"/>
          <c:x val="7.0640763239714383E-2"/>
          <c:y val="5.1061483838966505E-2"/>
        </c:manualLayout>
      </c:layout>
      <c:overlay val="1"/>
      <c:spPr>
        <a:noFill/>
        <a:ln>
          <a:noFill/>
        </a:ln>
        <a:effectLst/>
      </c:spPr>
    </c:title>
    <c:autoTitleDeleted val="0"/>
    <c:plotArea>
      <c:layout/>
      <c:barChart>
        <c:barDir val="col"/>
        <c:grouping val="stacked"/>
        <c:varyColors val="0"/>
        <c:ser>
          <c:idx val="0"/>
          <c:order val="0"/>
          <c:tx>
            <c:strRef>
              <c:f>'Summary 01'!$AW$280</c:f>
              <c:strCache>
                <c:ptCount val="1"/>
                <c:pt idx="0">
                  <c:v>Direct Labor Staff</c:v>
                </c:pt>
              </c:strCache>
            </c:strRef>
          </c:tx>
          <c:spPr>
            <a:solidFill>
              <a:schemeClr val="accent1"/>
            </a:solidFill>
            <a:ln>
              <a:noFill/>
            </a:ln>
            <a:effectLst/>
          </c:spPr>
          <c:invertIfNegative val="0"/>
          <c:cat>
            <c:strRef>
              <c:f>'Summary 01'!$AX$279:$BB$279</c:f>
              <c:strCache>
                <c:ptCount val="2"/>
                <c:pt idx="0">
                  <c:v>FY 2017</c:v>
                </c:pt>
                <c:pt idx="1">
                  <c:v>FY 2018</c:v>
                </c:pt>
              </c:strCache>
            </c:strRef>
          </c:cat>
          <c:val>
            <c:numRef>
              <c:f>'Summary 01'!$AX$280:$BB$280</c:f>
              <c:numCache>
                <c:formatCode>_(* #,##0_);_(* \(#,##0\);_(* "-"??_);_(@_)</c:formatCode>
                <c:ptCount val="5"/>
                <c:pt idx="0">
                  <c:v>4.2012176297390003</c:v>
                </c:pt>
                <c:pt idx="1">
                  <c:v>9.0521811266326981</c:v>
                </c:pt>
              </c:numCache>
            </c:numRef>
          </c:val>
          <c:extLst xmlns:c16r2="http://schemas.microsoft.com/office/drawing/2015/06/chart">
            <c:ext xmlns:c16="http://schemas.microsoft.com/office/drawing/2014/chart" uri="{C3380CC4-5D6E-409C-BE32-E72D297353CC}">
              <c16:uniqueId val="{00000000-F375-494B-AD7F-27B91ED96CE4}"/>
            </c:ext>
          </c:extLst>
        </c:ser>
        <c:ser>
          <c:idx val="1"/>
          <c:order val="1"/>
          <c:tx>
            <c:strRef>
              <c:f>'Summary 01'!$AW$281</c:f>
              <c:strCache>
                <c:ptCount val="1"/>
                <c:pt idx="0">
                  <c:v>Marketing and Sales Staff</c:v>
                </c:pt>
              </c:strCache>
            </c:strRef>
          </c:tx>
          <c:spPr>
            <a:solidFill>
              <a:schemeClr val="accent3"/>
            </a:solidFill>
            <a:ln>
              <a:noFill/>
            </a:ln>
            <a:effectLst/>
          </c:spPr>
          <c:invertIfNegative val="0"/>
          <c:cat>
            <c:strRef>
              <c:f>'Summary 01'!$AX$279:$BB$279</c:f>
              <c:strCache>
                <c:ptCount val="2"/>
                <c:pt idx="0">
                  <c:v>FY 2017</c:v>
                </c:pt>
                <c:pt idx="1">
                  <c:v>FY 2018</c:v>
                </c:pt>
              </c:strCache>
            </c:strRef>
          </c:cat>
          <c:val>
            <c:numRef>
              <c:f>'Summary 01'!$AX$281:$BB$281</c:f>
              <c:numCache>
                <c:formatCode>_(* #,##0_);_(* \(#,##0\);_(* "-"??_);_(@_)</c:formatCode>
                <c:ptCount val="5"/>
                <c:pt idx="0">
                  <c:v>3.6026207963911832</c:v>
                </c:pt>
                <c:pt idx="1">
                  <c:v>7.2564856265960893</c:v>
                </c:pt>
              </c:numCache>
            </c:numRef>
          </c:val>
          <c:extLst xmlns:c16r2="http://schemas.microsoft.com/office/drawing/2015/06/chart">
            <c:ext xmlns:c16="http://schemas.microsoft.com/office/drawing/2014/chart" uri="{C3380CC4-5D6E-409C-BE32-E72D297353CC}">
              <c16:uniqueId val="{00000001-F375-494B-AD7F-27B91ED96CE4}"/>
            </c:ext>
          </c:extLst>
        </c:ser>
        <c:ser>
          <c:idx val="2"/>
          <c:order val="2"/>
          <c:tx>
            <c:strRef>
              <c:f>'Summary 01'!$AW$282</c:f>
              <c:strCache>
                <c:ptCount val="1"/>
                <c:pt idx="0">
                  <c:v>Research and Development Staff</c:v>
                </c:pt>
              </c:strCache>
            </c:strRef>
          </c:tx>
          <c:spPr>
            <a:solidFill>
              <a:schemeClr val="accent5"/>
            </a:solidFill>
            <a:ln>
              <a:noFill/>
            </a:ln>
            <a:effectLst/>
          </c:spPr>
          <c:invertIfNegative val="0"/>
          <c:cat>
            <c:strRef>
              <c:f>'Summary 01'!$AX$279:$BB$279</c:f>
              <c:strCache>
                <c:ptCount val="2"/>
                <c:pt idx="0">
                  <c:v>FY 2017</c:v>
                </c:pt>
                <c:pt idx="1">
                  <c:v>FY 2018</c:v>
                </c:pt>
              </c:strCache>
            </c:strRef>
          </c:cat>
          <c:val>
            <c:numRef>
              <c:f>'Summary 01'!$AX$282:$BB$282</c:f>
              <c:numCache>
                <c:formatCode>_(* #,##0_);_(* \(#,##0\);_(* "-"??_);_(@_)</c:formatCode>
                <c:ptCount val="5"/>
                <c:pt idx="0">
                  <c:v>3</c:v>
                </c:pt>
                <c:pt idx="1">
                  <c:v>4</c:v>
                </c:pt>
              </c:numCache>
            </c:numRef>
          </c:val>
          <c:extLst xmlns:c16r2="http://schemas.microsoft.com/office/drawing/2015/06/chart">
            <c:ext xmlns:c16="http://schemas.microsoft.com/office/drawing/2014/chart" uri="{C3380CC4-5D6E-409C-BE32-E72D297353CC}">
              <c16:uniqueId val="{00000002-F375-494B-AD7F-27B91ED96CE4}"/>
            </c:ext>
          </c:extLst>
        </c:ser>
        <c:ser>
          <c:idx val="3"/>
          <c:order val="3"/>
          <c:tx>
            <c:strRef>
              <c:f>'Summary 01'!$AW$283</c:f>
              <c:strCache>
                <c:ptCount val="1"/>
                <c:pt idx="0">
                  <c:v>General and Administration Staff</c:v>
                </c:pt>
              </c:strCache>
            </c:strRef>
          </c:tx>
          <c:spPr>
            <a:solidFill>
              <a:schemeClr val="accent1">
                <a:lumMod val="60000"/>
              </a:schemeClr>
            </a:solidFill>
            <a:ln>
              <a:noFill/>
            </a:ln>
            <a:effectLst/>
          </c:spPr>
          <c:invertIfNegative val="0"/>
          <c:cat>
            <c:strRef>
              <c:f>'Summary 01'!$AX$279:$BB$279</c:f>
              <c:strCache>
                <c:ptCount val="2"/>
                <c:pt idx="0">
                  <c:v>FY 2017</c:v>
                </c:pt>
                <c:pt idx="1">
                  <c:v>FY 2018</c:v>
                </c:pt>
              </c:strCache>
            </c:strRef>
          </c:cat>
          <c:val>
            <c:numRef>
              <c:f>'Summary 01'!$AX$283:$BB$283</c:f>
              <c:numCache>
                <c:formatCode>_(* #,##0_);_(* \(#,##0\);_(* "-"??_);_(@_)</c:formatCode>
                <c:ptCount val="5"/>
                <c:pt idx="0">
                  <c:v>2</c:v>
                </c:pt>
                <c:pt idx="1">
                  <c:v>4</c:v>
                </c:pt>
              </c:numCache>
            </c:numRef>
          </c:val>
          <c:extLst xmlns:c16r2="http://schemas.microsoft.com/office/drawing/2015/06/chart">
            <c:ext xmlns:c16="http://schemas.microsoft.com/office/drawing/2014/chart" uri="{C3380CC4-5D6E-409C-BE32-E72D297353CC}">
              <c16:uniqueId val="{00000003-F375-494B-AD7F-27B91ED96CE4}"/>
            </c:ext>
          </c:extLst>
        </c:ser>
        <c:dLbls>
          <c:showLegendKey val="0"/>
          <c:showVal val="0"/>
          <c:showCatName val="0"/>
          <c:showSerName val="0"/>
          <c:showPercent val="0"/>
          <c:showBubbleSize val="0"/>
        </c:dLbls>
        <c:gapWidth val="95"/>
        <c:overlap val="100"/>
        <c:axId val="272396672"/>
        <c:axId val="272398208"/>
      </c:barChart>
      <c:catAx>
        <c:axId val="272396672"/>
        <c:scaling>
          <c:orientation val="minMax"/>
        </c:scaling>
        <c:delete val="0"/>
        <c:axPos val="b"/>
        <c:numFmt formatCode="General" sourceLinked="0"/>
        <c:majorTickMark val="none"/>
        <c:minorTickMark val="none"/>
        <c:tickLblPos val="high"/>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72398208"/>
        <c:crosses val="autoZero"/>
        <c:auto val="1"/>
        <c:lblAlgn val="ctr"/>
        <c:lblOffset val="100"/>
        <c:noMultiLvlLbl val="0"/>
      </c:catAx>
      <c:valAx>
        <c:axId val="272398208"/>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crossAx val="272396672"/>
        <c:crosses val="autoZero"/>
        <c:crossBetween val="between"/>
      </c:valAx>
      <c:dTable>
        <c:showHorzBorder val="1"/>
        <c:showVertBorder val="1"/>
        <c:showOutline val="1"/>
        <c:showKeys val="1"/>
        <c:spPr>
          <a:solidFill>
            <a:schemeClr val="bg1"/>
          </a:solid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Table>
      <c:spPr>
        <a:solidFill>
          <a:schemeClr val="bg1"/>
        </a:solidFill>
        <a:ln>
          <a:noFill/>
        </a:ln>
        <a:effectLst/>
      </c:spPr>
    </c:plotArea>
    <c:plotVisOnly val="0"/>
    <c:dispBlanksAs val="gap"/>
    <c:showDLblsOverMax val="0"/>
  </c:chart>
  <c:spPr>
    <a:solidFill>
      <a:schemeClr val="bg1"/>
    </a:solidFill>
    <a:ln w="9525" cap="flat" cmpd="sng" algn="ctr">
      <a:noFill/>
      <a:prstDash val="solid"/>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Full Version'!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11.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12.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13.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2.xml.rels><?xml version="1.0" encoding="UTF-8" standalone="yes"?>
<Relationships xmlns="http://schemas.openxmlformats.org/package/2006/relationships"><Relationship Id="rId3" Type="http://schemas.openxmlformats.org/officeDocument/2006/relationships/hyperlink" Target="https://www.spreadsheet123.com/ExcelTemplates/excel-financial-model.html" TargetMode="External"/><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hyperlink" Target="http://www.protagen.de/"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chart" Target="../charts/chart3.xml"/><Relationship Id="rId7" Type="http://schemas.openxmlformats.org/officeDocument/2006/relationships/image" Target="../media/image10.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Full Version'!A1"/><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7.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8.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9.xml.rels><?xml version="1.0" encoding="UTF-8" standalone="yes"?>
<Relationships xmlns="http://schemas.openxmlformats.org/package/2006/relationships"><Relationship Id="rId1" Type="http://schemas.openxmlformats.org/officeDocument/2006/relationships/hyperlink" Target="#'Full Version'!A1"/></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8</xdr:col>
      <xdr:colOff>32016</xdr:colOff>
      <xdr:row>1</xdr:row>
      <xdr:rowOff>134407</xdr:rowOff>
    </xdr:from>
    <xdr:to>
      <xdr:col>8</xdr:col>
      <xdr:colOff>32016</xdr:colOff>
      <xdr:row>5</xdr:row>
      <xdr:rowOff>57150</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463" t="23521" r="13561" b="29208"/>
        <a:stretch/>
      </xdr:blipFill>
      <xdr:spPr>
        <a:xfrm>
          <a:off x="4994541" y="334432"/>
          <a:ext cx="0" cy="1361018"/>
        </a:xfrm>
        <a:prstGeom prst="rect">
          <a:avLst/>
        </a:prstGeom>
      </xdr:spPr>
    </xdr:pic>
    <xdr:clientData/>
  </xdr:twoCellAnchor>
  <xdr:twoCellAnchor>
    <xdr:from>
      <xdr:col>8</xdr:col>
      <xdr:colOff>32016</xdr:colOff>
      <xdr:row>1</xdr:row>
      <xdr:rowOff>134407</xdr:rowOff>
    </xdr:from>
    <xdr:to>
      <xdr:col>8</xdr:col>
      <xdr:colOff>32016</xdr:colOff>
      <xdr:row>5</xdr:row>
      <xdr:rowOff>57150</xdr:rowOff>
    </xdr:to>
    <xdr:pic>
      <xdr:nvPicPr>
        <xdr:cNvPr id="6" name="Grafik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463" t="23521" r="13561" b="29208"/>
        <a:stretch/>
      </xdr:blipFill>
      <xdr:spPr>
        <a:xfrm>
          <a:off x="4994541" y="305857"/>
          <a:ext cx="0" cy="1008593"/>
        </a:xfrm>
        <a:prstGeom prst="rect">
          <a:avLst/>
        </a:prstGeom>
      </xdr:spPr>
    </xdr:pic>
    <xdr:clientData/>
  </xdr:twoCellAnchor>
  <xdr:twoCellAnchor>
    <xdr:from>
      <xdr:col>8</xdr:col>
      <xdr:colOff>32016</xdr:colOff>
      <xdr:row>1</xdr:row>
      <xdr:rowOff>134407</xdr:rowOff>
    </xdr:from>
    <xdr:to>
      <xdr:col>8</xdr:col>
      <xdr:colOff>32016</xdr:colOff>
      <xdr:row>5</xdr:row>
      <xdr:rowOff>57150</xdr:rowOff>
    </xdr:to>
    <xdr:pic>
      <xdr:nvPicPr>
        <xdr:cNvPr id="11" name="Grafik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463" t="23521" r="13561" b="29208"/>
        <a:stretch/>
      </xdr:blipFill>
      <xdr:spPr>
        <a:xfrm>
          <a:off x="4994541" y="305857"/>
          <a:ext cx="0" cy="1008593"/>
        </a:xfrm>
        <a:prstGeom prst="rect">
          <a:avLst/>
        </a:prstGeom>
      </xdr:spPr>
    </xdr:pic>
    <xdr:clientData/>
  </xdr:twoCellAnchor>
  <xdr:twoCellAnchor>
    <xdr:from>
      <xdr:col>2</xdr:col>
      <xdr:colOff>0</xdr:colOff>
      <xdr:row>18</xdr:row>
      <xdr:rowOff>0</xdr:rowOff>
    </xdr:from>
    <xdr:to>
      <xdr:col>12</xdr:col>
      <xdr:colOff>0</xdr:colOff>
      <xdr:row>48</xdr:row>
      <xdr:rowOff>0</xdr:rowOff>
    </xdr:to>
    <xdr:sp macro="" textlink="">
      <xdr:nvSpPr>
        <xdr:cNvPr id="12" name="TextBox 4"/>
        <xdr:cNvSpPr txBox="1"/>
      </xdr:nvSpPr>
      <xdr:spPr>
        <a:xfrm>
          <a:off x="390525" y="4381500"/>
          <a:ext cx="7620000" cy="57150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2000" i="1">
              <a:solidFill>
                <a:schemeClr val="tx1">
                  <a:lumMod val="75000"/>
                  <a:lumOff val="25000"/>
                </a:schemeClr>
              </a:solidFill>
              <a:latin typeface="+mn-lt"/>
              <a:cs typeface="Arial" pitchFamily="34" charset="0"/>
            </a:rPr>
            <a:t>Please read before using this Software</a:t>
          </a:r>
          <a:endParaRPr lang="en-AU" sz="2000" i="1" baseline="0">
            <a:solidFill>
              <a:schemeClr val="tx1">
                <a:lumMod val="75000"/>
                <a:lumOff val="25000"/>
              </a:schemeClr>
            </a:solidFill>
            <a:latin typeface="+mn-lt"/>
            <a:cs typeface="Arial" pitchFamily="34" charset="0"/>
          </a:endParaRPr>
        </a:p>
        <a:p>
          <a:endParaRPr lang="en-AU" sz="1000" baseline="0">
            <a:solidFill>
              <a:schemeClr val="tx1">
                <a:lumMod val="75000"/>
                <a:lumOff val="25000"/>
              </a:schemeClr>
            </a:solidFill>
            <a:latin typeface="+mn-lt"/>
            <a:cs typeface="Arial" pitchFamily="34" charset="0"/>
          </a:endParaRPr>
        </a:p>
        <a:p>
          <a:r>
            <a:rPr lang="de-DE" sz="1100" b="1" baseline="0">
              <a:solidFill>
                <a:srgbClr val="313D72"/>
              </a:solidFill>
              <a:latin typeface="+mn-lt"/>
              <a:ea typeface="+mn-ea"/>
              <a:cs typeface="Arial" pitchFamily="34" charset="0"/>
            </a:rPr>
            <a:t>LEGAL DISCLAIMER</a:t>
          </a:r>
        </a:p>
        <a:p>
          <a:r>
            <a:rPr lang="en-US" sz="1000" baseline="0">
              <a:solidFill>
                <a:schemeClr val="dk1"/>
              </a:solidFill>
              <a:effectLst/>
              <a:latin typeface="+mn-lt"/>
              <a:ea typeface="+mn-ea"/>
              <a:cs typeface="+mn-cs"/>
            </a:rPr>
            <a:t>No information contained in this Software (as defined below) or obtained from Smart Cap GmbH or Fimovi should be considered as financial, investment, accounting or tax advice, nor should it be considered a substitute for such advice.</a:t>
          </a:r>
        </a:p>
        <a:p>
          <a:r>
            <a:rPr lang="en-US" sz="1000" baseline="0">
              <a:solidFill>
                <a:schemeClr val="dk1"/>
              </a:solidFill>
              <a:effectLst/>
              <a:latin typeface="+mn-lt"/>
              <a:ea typeface="+mn-ea"/>
              <a:cs typeface="+mn-cs"/>
            </a:rPr>
            <a:t>This Software is supplied under a license agreement and may be used only in accordance with the terms of such licence agreement which is set out below. The use of this Software is conditional upon the irrevocable and constant compliance by the user with the terms and conditions of the licence agreement.</a:t>
          </a:r>
        </a:p>
        <a:p>
          <a:endParaRPr lang="de-DE" sz="1000" baseline="0">
            <a:solidFill>
              <a:schemeClr val="dk1"/>
            </a:solidFill>
            <a:effectLst/>
            <a:latin typeface="+mn-lt"/>
            <a:ea typeface="+mn-ea"/>
            <a:cs typeface="+mn-cs"/>
          </a:endParaRPr>
        </a:p>
        <a:p>
          <a:r>
            <a:rPr lang="en-US" sz="1100" b="1" baseline="0">
              <a:solidFill>
                <a:srgbClr val="313D72"/>
              </a:solidFill>
              <a:latin typeface="+mn-lt"/>
              <a:ea typeface="+mn-ea"/>
              <a:cs typeface="Arial" pitchFamily="34" charset="0"/>
            </a:rPr>
            <a:t>LICENSE  AGREEMENT</a:t>
          </a:r>
          <a:endParaRPr lang="de-DE" sz="1100" b="1" baseline="0">
            <a:solidFill>
              <a:srgbClr val="313D72"/>
            </a:solidFill>
            <a:latin typeface="+mn-lt"/>
            <a:ea typeface="+mn-ea"/>
            <a:cs typeface="Arial" pitchFamily="34" charset="0"/>
          </a:endParaRPr>
        </a:p>
        <a:p>
          <a:r>
            <a:rPr lang="en-US" sz="1000" b="1">
              <a:solidFill>
                <a:schemeClr val="dk1"/>
              </a:solidFill>
              <a:effectLst/>
              <a:latin typeface="+mn-lt"/>
              <a:ea typeface="+mn-ea"/>
              <a:cs typeface="+mn-cs"/>
            </a:rPr>
            <a:t>Application:</a:t>
          </a:r>
          <a:r>
            <a:rPr lang="en-US" sz="1000">
              <a:solidFill>
                <a:schemeClr val="dk1"/>
              </a:solidFill>
              <a:effectLst/>
              <a:latin typeface="+mn-lt"/>
              <a:ea typeface="+mn-ea"/>
              <a:cs typeface="+mn-cs"/>
            </a:rPr>
            <a:t> This agreement applies to the commercial or registered/upgraded version of Excel-Financial-Model (also referred to as “EFM” or “Software”), comprising workbook, related files and supporting documentation.</a:t>
          </a:r>
        </a:p>
        <a:p>
          <a:r>
            <a:rPr lang="en-US" sz="1000" b="1">
              <a:solidFill>
                <a:schemeClr val="dk1"/>
              </a:solidFill>
              <a:effectLst/>
              <a:latin typeface="+mn-lt"/>
              <a:ea typeface="+mn-ea"/>
              <a:cs typeface="+mn-cs"/>
            </a:rPr>
            <a:t>License grant:</a:t>
          </a:r>
          <a:r>
            <a:rPr lang="en-US" sz="1000">
              <a:solidFill>
                <a:schemeClr val="dk1"/>
              </a:solidFill>
              <a:effectLst/>
              <a:latin typeface="+mn-lt"/>
              <a:ea typeface="+mn-ea"/>
              <a:cs typeface="+mn-cs"/>
            </a:rPr>
            <a:t> Smart Cap GmbH grants registered users, i.e. a company, entity or individual, a license to use this Software on any compatible hardware product (PC, notebook, smartphone, tablet), to which the registered user has exclusive or primary access. “Use” means storing, loading, installing, executing or displaying the Software.</a:t>
          </a:r>
        </a:p>
        <a:p>
          <a:r>
            <a:rPr lang="en-US" sz="1000" b="1">
              <a:solidFill>
                <a:schemeClr val="dk1"/>
              </a:solidFill>
              <a:effectLst/>
              <a:latin typeface="+mn-lt"/>
              <a:ea typeface="+mn-ea"/>
              <a:cs typeface="+mn-cs"/>
            </a:rPr>
            <a:t>Ownership:</a:t>
          </a:r>
          <a:r>
            <a:rPr lang="en-US" sz="1000">
              <a:solidFill>
                <a:schemeClr val="dk1"/>
              </a:solidFill>
              <a:effectLst/>
              <a:latin typeface="+mn-lt"/>
              <a:ea typeface="+mn-ea"/>
              <a:cs typeface="+mn-cs"/>
            </a:rPr>
            <a:t> The Software is owned and copyrighted by Smart Cap GmbH. The granted license confers no title or ownership in the Software and should not be construed as a sale of any right in the Software. This license is not transferable to any other company, entity or individual.</a:t>
          </a:r>
        </a:p>
        <a:p>
          <a:r>
            <a:rPr lang="en-US" sz="1000" b="1">
              <a:solidFill>
                <a:schemeClr val="dk1"/>
              </a:solidFill>
              <a:effectLst/>
              <a:latin typeface="+mn-lt"/>
              <a:ea typeface="+mn-ea"/>
              <a:cs typeface="+mn-cs"/>
            </a:rPr>
            <a:t>Copyright:</a:t>
          </a:r>
          <a:r>
            <a:rPr lang="en-US" sz="1000">
              <a:solidFill>
                <a:schemeClr val="dk1"/>
              </a:solidFill>
              <a:effectLst/>
              <a:latin typeface="+mn-lt"/>
              <a:ea typeface="+mn-ea"/>
              <a:cs typeface="+mn-cs"/>
            </a:rPr>
            <a:t> The Software is protected by copyright law. You unconditionally and irrevocably acknowledge that no title to the intellectual property in the Software is transferred to you. You further unconditionally and irrevocably acknowledge that title and full ownership rights to the Software will remain the exclusive property of Smart Cap GmbH and you will not acquire any rights to the Software except as expressly set forth in this license agreement. You agree that any copies of the Software will contain the same proprietary notices which appear on and in the Software.</a:t>
          </a:r>
        </a:p>
        <a:p>
          <a:r>
            <a:rPr lang="en-US" sz="1000" b="1">
              <a:solidFill>
                <a:schemeClr val="dk1"/>
              </a:solidFill>
              <a:effectLst/>
              <a:latin typeface="+mn-lt"/>
              <a:ea typeface="+mn-ea"/>
              <a:cs typeface="+mn-cs"/>
            </a:rPr>
            <a:t>Unauthorized Use:</a:t>
          </a:r>
          <a:r>
            <a:rPr lang="en-US" sz="1000">
              <a:solidFill>
                <a:schemeClr val="dk1"/>
              </a:solidFill>
              <a:effectLst/>
              <a:latin typeface="+mn-lt"/>
              <a:ea typeface="+mn-ea"/>
              <a:cs typeface="+mn-cs"/>
            </a:rPr>
            <a:t> You may not modify the Software or disable any licensing or control features of the Software. You may not use, copy, rent, lease, sell, modify, decompile, disassemble, otherwise reverse engineer, or transfer the Software except as provided in this license agreement. Any such unauthorized use shall result in the immediate and automatic termination of this license agreement. Most specifically, the Software's worksheet (“Fimovi”) and VBA routines must not be altered under any circumstances. The Software can be copied by a registered user for backup purposes and for the purpose of creating additional sets of projections.</a:t>
          </a:r>
        </a:p>
        <a:p>
          <a:r>
            <a:rPr lang="en-US" sz="1000" b="1">
              <a:solidFill>
                <a:schemeClr val="dk1"/>
              </a:solidFill>
              <a:effectLst/>
              <a:latin typeface="+mn-lt"/>
              <a:ea typeface="+mn-ea"/>
              <a:cs typeface="+mn-cs"/>
            </a:rPr>
            <a:t>Limited Warranty:</a:t>
          </a:r>
          <a:r>
            <a:rPr lang="en-US" sz="1000">
              <a:solidFill>
                <a:schemeClr val="dk1"/>
              </a:solidFill>
              <a:effectLst/>
              <a:latin typeface="+mn-lt"/>
              <a:ea typeface="+mn-ea"/>
              <a:cs typeface="+mn-cs"/>
            </a:rPr>
            <a:t> This software is provided on an “as is” basis. Smart Cap GmbH disclaims all warranties relating to this software, whether expressed or implied, including but not limited to any implied warranties of merchantability or fitness for a particular purpose. Neither Smart Cap nor anyone else who has been involved in the creation, production or delivery of this software shall be liable for any indirect, consequential or incidental damages arising out of the use or inability to use such software, even if Smart Cap GmbH has been advised of the possibility of such damages or claims. The person using the software bears all risk as to the quality and performance of the software. In no event shall any theory of liability exceed the license fee paid to Smart Cap GmbH.</a:t>
          </a:r>
        </a:p>
        <a:p>
          <a:r>
            <a:rPr lang="en-US" sz="1000" b="1">
              <a:solidFill>
                <a:schemeClr val="dk1"/>
              </a:solidFill>
              <a:effectLst/>
              <a:latin typeface="+mn-lt"/>
              <a:ea typeface="+mn-ea"/>
              <a:cs typeface="+mn-cs"/>
            </a:rPr>
            <a:t>Reserved Rights:</a:t>
          </a:r>
          <a:r>
            <a:rPr lang="en-US" sz="1000">
              <a:solidFill>
                <a:schemeClr val="dk1"/>
              </a:solidFill>
              <a:effectLst/>
              <a:latin typeface="+mn-lt"/>
              <a:ea typeface="+mn-ea"/>
              <a:cs typeface="+mn-cs"/>
            </a:rPr>
            <a:t> All rights not expressly granted here are reserved to Smart Cap GmbH.</a:t>
          </a:r>
        </a:p>
      </xdr:txBody>
    </xdr:sp>
    <xdr:clientData/>
  </xdr:twoCellAnchor>
  <xdr:twoCellAnchor>
    <xdr:from>
      <xdr:col>2</xdr:col>
      <xdr:colOff>0</xdr:colOff>
      <xdr:row>51</xdr:row>
      <xdr:rowOff>0</xdr:rowOff>
    </xdr:from>
    <xdr:to>
      <xdr:col>12</xdr:col>
      <xdr:colOff>0</xdr:colOff>
      <xdr:row>63</xdr:row>
      <xdr:rowOff>0</xdr:rowOff>
    </xdr:to>
    <xdr:sp macro="" textlink="">
      <xdr:nvSpPr>
        <xdr:cNvPr id="13" name="TextBox 4"/>
        <xdr:cNvSpPr txBox="1"/>
      </xdr:nvSpPr>
      <xdr:spPr>
        <a:xfrm>
          <a:off x="390525" y="10839450"/>
          <a:ext cx="7620000" cy="22860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1100" b="1" baseline="0">
              <a:solidFill>
                <a:srgbClr val="313D72"/>
              </a:solidFill>
              <a:latin typeface="+mn-lt"/>
              <a:ea typeface="+mn-ea"/>
              <a:cs typeface="Arial" pitchFamily="34" charset="0"/>
            </a:rPr>
            <a:t>COMPANY  PROFILE</a:t>
          </a:r>
          <a:endParaRPr lang="de-DE" sz="1100" b="1" baseline="0">
            <a:solidFill>
              <a:srgbClr val="313D72"/>
            </a:solidFill>
            <a:latin typeface="+mn-lt"/>
            <a:ea typeface="+mn-ea"/>
            <a:cs typeface="Arial" pitchFamily="34" charset="0"/>
          </a:endParaRPr>
        </a:p>
        <a:p>
          <a:r>
            <a:rPr lang="de-DE" sz="1000">
              <a:solidFill>
                <a:schemeClr val="tx1"/>
              </a:solidFill>
              <a:effectLst/>
              <a:latin typeface="+mn-lt"/>
              <a:ea typeface="+mn-ea"/>
              <a:cs typeface="+mn-cs"/>
            </a:rPr>
            <a:t>Financial Modelling Videos enables its customers to develop flexible and robust financial plans and cash flow models using Excel. The Germany based company provides a broad range of financial modelling related services for clients across many industry sectors.</a:t>
          </a:r>
        </a:p>
        <a:p>
          <a:r>
            <a:rPr lang="de-DE" sz="1000">
              <a:solidFill>
                <a:schemeClr val="tx1"/>
              </a:solidFill>
              <a:effectLst/>
              <a:latin typeface="+mn-lt"/>
              <a:ea typeface="+mn-ea"/>
              <a:cs typeface="+mn-cs"/>
            </a:rPr>
            <a:t>Our financial modelling video training courses are “hands-on” with users learning concepts by building Excel financial models from scratch.</a:t>
          </a:r>
        </a:p>
        <a:p>
          <a:r>
            <a:rPr lang="de-DE" sz="1000">
              <a:solidFill>
                <a:schemeClr val="tx1"/>
              </a:solidFill>
              <a:effectLst/>
              <a:latin typeface="+mn-lt"/>
              <a:ea typeface="+mn-ea"/>
              <a:cs typeface="+mn-cs"/>
            </a:rPr>
            <a:t>Our templates and excel tools are designed and built to be flexible, future proof, robust and user‐friendly.</a:t>
          </a:r>
        </a:p>
        <a:p>
          <a:r>
            <a:rPr lang="de-DE" sz="1000">
              <a:solidFill>
                <a:schemeClr val="tx1"/>
              </a:solidFill>
              <a:effectLst/>
              <a:latin typeface="+mn-lt"/>
              <a:ea typeface="+mn-ea"/>
              <a:cs typeface="+mn-cs"/>
            </a:rPr>
            <a:t>Our practical training services, like seminars and workshops, enable entrepreneurs, corporate clients, and investors to build financial models applying best practices. These tools support and enhance their business decisions, transactions and strategies.</a:t>
          </a:r>
        </a:p>
        <a:p>
          <a:endParaRPr lang="de-DE" sz="1000">
            <a:solidFill>
              <a:schemeClr val="tx1"/>
            </a:solidFill>
            <a:effectLst/>
            <a:latin typeface="+mn-lt"/>
            <a:ea typeface="+mn-ea"/>
            <a:cs typeface="+mn-cs"/>
          </a:endParaRPr>
        </a:p>
        <a:p>
          <a:r>
            <a:rPr lang="de-DE" sz="1000" b="1">
              <a:solidFill>
                <a:schemeClr val="tx1"/>
              </a:solidFill>
              <a:effectLst/>
              <a:latin typeface="+mn-lt"/>
              <a:ea typeface="+mn-ea"/>
              <a:cs typeface="+mn-cs"/>
            </a:rPr>
            <a:t>What Financial Modelling Videos can do for you:</a:t>
          </a:r>
        </a:p>
        <a:p>
          <a:endParaRPr lang="de-DE" sz="1000">
            <a:solidFill>
              <a:schemeClr val="tx1"/>
            </a:solidFill>
            <a:effectLst/>
          </a:endParaRPr>
        </a:p>
        <a:p>
          <a:r>
            <a:rPr lang="de-DE" sz="1000">
              <a:solidFill>
                <a:schemeClr val="tx1"/>
              </a:solidFill>
              <a:effectLst/>
              <a:latin typeface="+mn-lt"/>
              <a:ea typeface="+mn-ea"/>
              <a:cs typeface="+mn-cs"/>
            </a:rPr>
            <a:t>   • Ready-to-use Excel tools and templates for corporate planning, budgeting, valuation, cash flow planning and project finance</a:t>
          </a:r>
        </a:p>
        <a:p>
          <a:r>
            <a:rPr lang="de-DE" sz="1000">
              <a:solidFill>
                <a:schemeClr val="tx1"/>
              </a:solidFill>
              <a:effectLst/>
              <a:latin typeface="+mn-lt"/>
              <a:ea typeface="+mn-ea"/>
              <a:cs typeface="+mn-cs"/>
            </a:rPr>
            <a:t>   • Development of tailor-made, individual models</a:t>
          </a:r>
        </a:p>
        <a:p>
          <a:r>
            <a:rPr lang="de-DE" sz="1000">
              <a:solidFill>
                <a:schemeClr val="tx1"/>
              </a:solidFill>
              <a:effectLst/>
              <a:latin typeface="+mn-lt"/>
              <a:ea typeface="+mn-ea"/>
              <a:cs typeface="+mn-cs"/>
            </a:rPr>
            <a:t>   • Model review, optimization and audit</a:t>
          </a:r>
        </a:p>
        <a:p>
          <a:r>
            <a:rPr lang="de-DE" sz="1000">
              <a:solidFill>
                <a:schemeClr val="tx1"/>
              </a:solidFill>
              <a:effectLst/>
              <a:latin typeface="+mn-lt"/>
              <a:ea typeface="+mn-ea"/>
              <a:cs typeface="+mn-cs"/>
            </a:rPr>
            <a:t>   • Seminars and workshops</a:t>
          </a:r>
          <a:endParaRPr lang="de-DE" sz="1000">
            <a:solidFill>
              <a:schemeClr val="tx1"/>
            </a:solidFill>
            <a:effectLst/>
          </a:endParaRPr>
        </a:p>
      </xdr:txBody>
    </xdr:sp>
    <xdr:clientData/>
  </xdr:twoCellAnchor>
  <xdr:twoCellAnchor>
    <xdr:from>
      <xdr:col>8</xdr:col>
      <xdr:colOff>32016</xdr:colOff>
      <xdr:row>1</xdr:row>
      <xdr:rowOff>73530</xdr:rowOff>
    </xdr:from>
    <xdr:to>
      <xdr:col>12</xdr:col>
      <xdr:colOff>0</xdr:colOff>
      <xdr:row>7</xdr:row>
      <xdr:rowOff>0</xdr:rowOff>
    </xdr:to>
    <xdr:pic>
      <xdr:nvPicPr>
        <xdr:cNvPr id="14" name="Grafik 1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63" t="23521" r="13561" b="29208"/>
        <a:stretch/>
      </xdr:blipFill>
      <xdr:spPr>
        <a:xfrm>
          <a:off x="4994541" y="244980"/>
          <a:ext cx="3015984" cy="1536195"/>
        </a:xfrm>
        <a:prstGeom prst="rect">
          <a:avLst/>
        </a:prstGeom>
      </xdr:spPr>
    </xdr:pic>
    <xdr:clientData/>
  </xdr:twoCellAnchor>
  <xdr:twoCellAnchor editAs="oneCell">
    <xdr:from>
      <xdr:col>9</xdr:col>
      <xdr:colOff>0</xdr:colOff>
      <xdr:row>10</xdr:row>
      <xdr:rowOff>0</xdr:rowOff>
    </xdr:from>
    <xdr:to>
      <xdr:col>12</xdr:col>
      <xdr:colOff>0</xdr:colOff>
      <xdr:row>11</xdr:row>
      <xdr:rowOff>180</xdr:rowOff>
    </xdr:to>
    <xdr:sp macro="" textlink="">
      <xdr:nvSpPr>
        <xdr:cNvPr id="8" name="Text Box 13">
          <a:hlinkClick xmlns:r="http://schemas.openxmlformats.org/officeDocument/2006/relationships" r:id="rId2" tooltip="Get full commercial version"/>
        </xdr:cNvPr>
        <xdr:cNvSpPr txBox="1">
          <a:spLocks noChangeAspect="1" noChangeArrowheads="1"/>
        </xdr:cNvSpPr>
      </xdr:nvSpPr>
      <xdr:spPr bwMode="auto">
        <a:xfrm>
          <a:off x="5724525" y="2324100"/>
          <a:ext cx="2286000" cy="285930"/>
        </a:xfrm>
        <a:prstGeom prst="rect">
          <a:avLst/>
        </a:prstGeom>
        <a:solidFill>
          <a:srgbClr val="FFFF00"/>
        </a:solidFill>
        <a:ln/>
        <a:extLst/>
      </xdr:spPr>
      <xdr:style>
        <a:lnRef idx="3">
          <a:schemeClr val="lt1"/>
        </a:lnRef>
        <a:fillRef idx="1">
          <a:schemeClr val="accent1"/>
        </a:fillRef>
        <a:effectRef idx="1">
          <a:schemeClr val="accent1"/>
        </a:effectRef>
        <a:fontRef idx="minor">
          <a:schemeClr val="lt1"/>
        </a:fontRef>
      </xdr:style>
      <xdr:txBody>
        <a:bodyPr vertOverflow="clip" wrap="square" lIns="27432" tIns="22860" rIns="27432" bIns="22860" anchor="ctr" upright="1"/>
        <a:lstStyle/>
        <a:p>
          <a:pPr algn="ctr" rtl="0">
            <a:defRPr sz="1000"/>
          </a:pPr>
          <a:r>
            <a:rPr lang="de-AT" sz="1100" b="1" i="0" u="none" strike="noStrike" baseline="0">
              <a:solidFill>
                <a:schemeClr val="tx1"/>
              </a:solidFill>
              <a:latin typeface="Arial"/>
              <a:cs typeface="Arial"/>
            </a:rPr>
            <a:t>Full Version</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1066800</xdr:colOff>
          <xdr:row>2</xdr:row>
          <xdr:rowOff>0</xdr:rowOff>
        </xdr:from>
        <xdr:to>
          <xdr:col>10</xdr:col>
          <xdr:colOff>0</xdr:colOff>
          <xdr:row>4</xdr:row>
          <xdr:rowOff>0</xdr:rowOff>
        </xdr:to>
        <xdr:sp macro="" textlink="">
          <xdr:nvSpPr>
            <xdr:cNvPr id="22667" name="Button 139" hidden="1">
              <a:extLst>
                <a:ext uri="{63B3BB69-23CF-44E3-9099-C40C66FF867C}">
                  <a14:compatExt spid="_x0000_s2266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1000" b="1" i="0" u="none" strike="noStrike" baseline="0">
                  <a:solidFill>
                    <a:srgbClr val="000080"/>
                  </a:solidFill>
                  <a:latin typeface="Arial"/>
                  <a:cs typeface="Arial"/>
                </a:rPr>
                <a:t>New Planning - Erase all input data !</a:t>
              </a:r>
            </a:p>
          </xdr:txBody>
        </xdr:sp>
        <xdr:clientData fPrintsWithSheet="0"/>
      </xdr:twoCellAnchor>
    </mc:Choice>
    <mc:Fallback/>
  </mc:AlternateContent>
  <xdr:twoCellAnchor editAs="oneCell">
    <xdr:from>
      <xdr:col>8</xdr:col>
      <xdr:colOff>0</xdr:colOff>
      <xdr:row>15</xdr:row>
      <xdr:rowOff>0</xdr:rowOff>
    </xdr:from>
    <xdr:to>
      <xdr:col>11</xdr:col>
      <xdr:colOff>0</xdr:colOff>
      <xdr:row>16</xdr:row>
      <xdr:rowOff>57330</xdr:rowOff>
    </xdr:to>
    <xdr:sp macro="" textlink="">
      <xdr:nvSpPr>
        <xdr:cNvPr id="4" name="Text Box 13">
          <a:hlinkClick xmlns:r="http://schemas.openxmlformats.org/officeDocument/2006/relationships" r:id="rId1" tooltip="Get full commercial version"/>
        </xdr:cNvPr>
        <xdr:cNvSpPr txBox="1">
          <a:spLocks noChangeAspect="1" noChangeArrowheads="1"/>
        </xdr:cNvSpPr>
      </xdr:nvSpPr>
      <xdr:spPr bwMode="auto">
        <a:xfrm>
          <a:off x="10687050" y="3486150"/>
          <a:ext cx="3067050" cy="285930"/>
        </a:xfrm>
        <a:prstGeom prst="rect">
          <a:avLst/>
        </a:prstGeom>
        <a:solidFill>
          <a:srgbClr val="FFFF00"/>
        </a:solidFill>
        <a:ln/>
        <a:extLst/>
      </xdr:spPr>
      <xdr:style>
        <a:lnRef idx="3">
          <a:schemeClr val="lt1"/>
        </a:lnRef>
        <a:fillRef idx="1">
          <a:schemeClr val="accent1"/>
        </a:fillRef>
        <a:effectRef idx="1">
          <a:schemeClr val="accent1"/>
        </a:effectRef>
        <a:fontRef idx="minor">
          <a:schemeClr val="lt1"/>
        </a:fontRef>
      </xdr:style>
      <xdr:txBody>
        <a:bodyPr vertOverflow="clip" wrap="square" lIns="27432" tIns="22860" rIns="27432" bIns="22860" anchor="ctr" upright="1"/>
        <a:lstStyle/>
        <a:p>
          <a:pPr algn="ctr" rtl="0">
            <a:defRPr sz="1000"/>
          </a:pPr>
          <a:r>
            <a:rPr lang="de-AT" sz="1100" b="1" i="0" u="none" strike="noStrike" baseline="0">
              <a:solidFill>
                <a:schemeClr val="tx1"/>
              </a:solidFill>
              <a:latin typeface="Arial"/>
              <a:cs typeface="Arial"/>
            </a:rPr>
            <a:t>Full Version</a:t>
          </a:r>
        </a:p>
      </xdr:txBody>
    </xdr:sp>
    <xdr:clientData/>
  </xdr:twoCellAnchor>
  <xdr:twoCellAnchor>
    <xdr:from>
      <xdr:col>6</xdr:col>
      <xdr:colOff>933450</xdr:colOff>
      <xdr:row>89</xdr:row>
      <xdr:rowOff>0</xdr:rowOff>
    </xdr:from>
    <xdr:to>
      <xdr:col>14</xdr:col>
      <xdr:colOff>0</xdr:colOff>
      <xdr:row>100</xdr:row>
      <xdr:rowOff>0</xdr:rowOff>
    </xdr:to>
    <xdr:sp macro="" textlink="">
      <xdr:nvSpPr>
        <xdr:cNvPr id="5" name="Textfeld 4">
          <a:hlinkClick xmlns:r="http://schemas.openxmlformats.org/officeDocument/2006/relationships" r:id="rId1" tooltip="Get full commercial version"/>
        </xdr:cNvPr>
        <xdr:cNvSpPr txBox="1"/>
      </xdr:nvSpPr>
      <xdr:spPr>
        <a:xfrm>
          <a:off x="9372600" y="19859625"/>
          <a:ext cx="6667500" cy="857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Additional Products/Services</a:t>
          </a:r>
          <a:r>
            <a:rPr lang="de-DE" sz="1400" b="1" baseline="0">
              <a:solidFill>
                <a:srgbClr val="FF0000"/>
              </a:solidFill>
              <a:latin typeface="Arial" panose="020B0604020202020204" pitchFamily="34" charset="0"/>
              <a:cs typeface="Arial" panose="020B0604020202020204" pitchFamily="34" charset="0"/>
            </a:rPr>
            <a:t> a</a:t>
          </a:r>
          <a:r>
            <a:rPr lang="de-DE" sz="1400" b="1">
              <a:solidFill>
                <a:srgbClr val="FF0000"/>
              </a:solidFill>
              <a:latin typeface="Arial" panose="020B0604020202020204" pitchFamily="34" charset="0"/>
              <a:cs typeface="Arial" panose="020B0604020202020204" pitchFamily="34" charset="0"/>
            </a:rPr>
            <a:t>vailable in commercial version only</a:t>
          </a:r>
          <a:r>
            <a:rPr lang="de-DE" sz="1400" b="1" baseline="0">
              <a:solidFill>
                <a:srgbClr val="FF0000"/>
              </a:solidFill>
              <a:latin typeface="Arial" panose="020B0604020202020204" pitchFamily="34" charset="0"/>
              <a:cs typeface="Arial" panose="020B0604020202020204" pitchFamily="34" charset="0"/>
            </a:rPr>
            <a:t>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11</xdr:row>
      <xdr:rowOff>0</xdr:rowOff>
    </xdr:from>
    <xdr:to>
      <xdr:col>5</xdr:col>
      <xdr:colOff>672353</xdr:colOff>
      <xdr:row>13</xdr:row>
      <xdr:rowOff>121023</xdr:rowOff>
    </xdr:to>
    <xdr:sp macro="" textlink="">
      <xdr:nvSpPr>
        <xdr:cNvPr id="3" name="Textfeld 2">
          <a:hlinkClick xmlns:r="http://schemas.openxmlformats.org/officeDocument/2006/relationships" r:id="rId1" tooltip="Get full commercial version"/>
        </xdr:cNvPr>
        <xdr:cNvSpPr txBox="1"/>
      </xdr:nvSpPr>
      <xdr:spPr>
        <a:xfrm>
          <a:off x="504265" y="2465294"/>
          <a:ext cx="6667500"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Additional Products/Services</a:t>
          </a:r>
          <a:r>
            <a:rPr lang="de-DE" sz="1400" b="1" baseline="0">
              <a:solidFill>
                <a:srgbClr val="FF0000"/>
              </a:solidFill>
              <a:latin typeface="Arial" panose="020B0604020202020204" pitchFamily="34" charset="0"/>
              <a:cs typeface="Arial" panose="020B0604020202020204" pitchFamily="34" charset="0"/>
            </a:rPr>
            <a:t> a</a:t>
          </a:r>
          <a:r>
            <a:rPr lang="de-DE" sz="1400" b="1">
              <a:solidFill>
                <a:srgbClr val="FF0000"/>
              </a:solidFill>
              <a:latin typeface="Arial" panose="020B0604020202020204" pitchFamily="34" charset="0"/>
              <a:cs typeface="Arial" panose="020B0604020202020204" pitchFamily="34" charset="0"/>
            </a:rPr>
            <a:t>vailable in commercial version only</a:t>
          </a:r>
          <a:r>
            <a:rPr lang="de-DE" sz="1400" b="1" baseline="0">
              <a:solidFill>
                <a:srgbClr val="FF0000"/>
              </a:solidFill>
              <a:latin typeface="Arial" panose="020B0604020202020204" pitchFamily="34" charset="0"/>
              <a:cs typeface="Arial" panose="020B0604020202020204" pitchFamily="34" charset="0"/>
            </a:rPr>
            <a:t>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11</xdr:row>
      <xdr:rowOff>0</xdr:rowOff>
    </xdr:from>
    <xdr:to>
      <xdr:col>5</xdr:col>
      <xdr:colOff>627530</xdr:colOff>
      <xdr:row>13</xdr:row>
      <xdr:rowOff>121023</xdr:rowOff>
    </xdr:to>
    <xdr:sp macro="" textlink="">
      <xdr:nvSpPr>
        <xdr:cNvPr id="3" name="Textfeld 2">
          <a:hlinkClick xmlns:r="http://schemas.openxmlformats.org/officeDocument/2006/relationships" r:id="rId1" tooltip="Get full commercial version"/>
        </xdr:cNvPr>
        <xdr:cNvSpPr txBox="1"/>
      </xdr:nvSpPr>
      <xdr:spPr>
        <a:xfrm>
          <a:off x="504265" y="2454088"/>
          <a:ext cx="6667500"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Additional Products/Services</a:t>
          </a:r>
          <a:r>
            <a:rPr lang="de-DE" sz="1400" b="1" baseline="0">
              <a:solidFill>
                <a:srgbClr val="FF0000"/>
              </a:solidFill>
              <a:latin typeface="Arial" panose="020B0604020202020204" pitchFamily="34" charset="0"/>
              <a:cs typeface="Arial" panose="020B0604020202020204" pitchFamily="34" charset="0"/>
            </a:rPr>
            <a:t> a</a:t>
          </a:r>
          <a:r>
            <a:rPr lang="de-DE" sz="1400" b="1">
              <a:solidFill>
                <a:srgbClr val="FF0000"/>
              </a:solidFill>
              <a:latin typeface="Arial" panose="020B0604020202020204" pitchFamily="34" charset="0"/>
              <a:cs typeface="Arial" panose="020B0604020202020204" pitchFamily="34" charset="0"/>
            </a:rPr>
            <a:t>vailable in commercial version only</a:t>
          </a:r>
          <a:r>
            <a:rPr lang="de-DE" sz="1400" b="1" baseline="0">
              <a:solidFill>
                <a:srgbClr val="FF0000"/>
              </a:solidFill>
              <a:latin typeface="Arial" panose="020B0604020202020204" pitchFamily="34" charset="0"/>
              <a:cs typeface="Arial" panose="020B0604020202020204" pitchFamily="34" charset="0"/>
            </a:rPr>
            <a:t>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11</xdr:row>
      <xdr:rowOff>0</xdr:rowOff>
    </xdr:from>
    <xdr:to>
      <xdr:col>5</xdr:col>
      <xdr:colOff>638735</xdr:colOff>
      <xdr:row>13</xdr:row>
      <xdr:rowOff>121023</xdr:rowOff>
    </xdr:to>
    <xdr:sp macro="" textlink="">
      <xdr:nvSpPr>
        <xdr:cNvPr id="3" name="Textfeld 2">
          <a:hlinkClick xmlns:r="http://schemas.openxmlformats.org/officeDocument/2006/relationships" r:id="rId1" tooltip="Get full commercial version"/>
        </xdr:cNvPr>
        <xdr:cNvSpPr txBox="1"/>
      </xdr:nvSpPr>
      <xdr:spPr>
        <a:xfrm>
          <a:off x="448235" y="2465294"/>
          <a:ext cx="6667500"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Additional Products/Services</a:t>
          </a:r>
          <a:r>
            <a:rPr lang="de-DE" sz="1400" b="1" baseline="0">
              <a:solidFill>
                <a:srgbClr val="FF0000"/>
              </a:solidFill>
              <a:latin typeface="Arial" panose="020B0604020202020204" pitchFamily="34" charset="0"/>
              <a:cs typeface="Arial" panose="020B0604020202020204" pitchFamily="34" charset="0"/>
            </a:rPr>
            <a:t> a</a:t>
          </a:r>
          <a:r>
            <a:rPr lang="de-DE" sz="1400" b="1">
              <a:solidFill>
                <a:srgbClr val="FF0000"/>
              </a:solidFill>
              <a:latin typeface="Arial" panose="020B0604020202020204" pitchFamily="34" charset="0"/>
              <a:cs typeface="Arial" panose="020B0604020202020204" pitchFamily="34" charset="0"/>
            </a:rPr>
            <a:t>vailable in commercial version only</a:t>
          </a:r>
          <a:r>
            <a:rPr lang="de-DE" sz="1400" b="1" baseline="0">
              <a:solidFill>
                <a:srgbClr val="FF0000"/>
              </a:solidFill>
              <a:latin typeface="Arial" panose="020B0604020202020204" pitchFamily="34" charset="0"/>
              <a:cs typeface="Arial" panose="020B0604020202020204" pitchFamily="34" charset="0"/>
            </a:rPr>
            <a:t>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0</xdr:colOff>
      <xdr:row>35</xdr:row>
      <xdr:rowOff>0</xdr:rowOff>
    </xdr:from>
    <xdr:ext cx="487748" cy="483266"/>
    <xdr:pic>
      <xdr:nvPicPr>
        <xdr:cNvPr id="25" name="Grafik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10877550"/>
          <a:ext cx="487748" cy="483266"/>
        </a:xfrm>
        <a:prstGeom prst="rect">
          <a:avLst/>
        </a:prstGeom>
      </xdr:spPr>
    </xdr:pic>
    <xdr:clientData/>
  </xdr:oneCellAnchor>
  <xdr:oneCellAnchor>
    <xdr:from>
      <xdr:col>4</xdr:col>
      <xdr:colOff>0</xdr:colOff>
      <xdr:row>35</xdr:row>
      <xdr:rowOff>0</xdr:rowOff>
    </xdr:from>
    <xdr:ext cx="487748" cy="502876"/>
    <xdr:pic>
      <xdr:nvPicPr>
        <xdr:cNvPr id="26" name="Grafik 2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10877550"/>
          <a:ext cx="487748" cy="502876"/>
        </a:xfrm>
        <a:prstGeom prst="rect">
          <a:avLst/>
        </a:prstGeom>
      </xdr:spPr>
    </xdr:pic>
    <xdr:clientData/>
  </xdr:oneCellAnchor>
  <xdr:oneCellAnchor>
    <xdr:from>
      <xdr:col>4</xdr:col>
      <xdr:colOff>0</xdr:colOff>
      <xdr:row>36</xdr:row>
      <xdr:rowOff>161925</xdr:rowOff>
    </xdr:from>
    <xdr:ext cx="487748" cy="502876"/>
    <xdr:pic>
      <xdr:nvPicPr>
        <xdr:cNvPr id="28" name="Grafik 2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12382500"/>
          <a:ext cx="487748" cy="502876"/>
        </a:xfrm>
        <a:prstGeom prst="rect">
          <a:avLst/>
        </a:prstGeom>
      </xdr:spPr>
    </xdr:pic>
    <xdr:clientData/>
  </xdr:oneCellAnchor>
  <xdr:twoCellAnchor editAs="oneCell">
    <xdr:from>
      <xdr:col>4</xdr:col>
      <xdr:colOff>0</xdr:colOff>
      <xdr:row>3</xdr:row>
      <xdr:rowOff>0</xdr:rowOff>
    </xdr:from>
    <xdr:to>
      <xdr:col>5</xdr:col>
      <xdr:colOff>3836771</xdr:colOff>
      <xdr:row>6</xdr:row>
      <xdr:rowOff>204507</xdr:rowOff>
    </xdr:to>
    <xdr:pic>
      <xdr:nvPicPr>
        <xdr:cNvPr id="29" name="Picture 690" descr="purchase-license">
          <a:hlinkClick xmlns:r="http://schemas.openxmlformats.org/officeDocument/2006/relationships" r:id="rId3" tooltip="Purchase license for full commercial version"/>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56964" y="530679"/>
          <a:ext cx="4421878" cy="694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34</xdr:row>
      <xdr:rowOff>0</xdr:rowOff>
    </xdr:from>
    <xdr:ext cx="487748" cy="483266"/>
    <xdr:pic>
      <xdr:nvPicPr>
        <xdr:cNvPr id="30" name="Grafik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296275"/>
          <a:ext cx="487748" cy="483266"/>
        </a:xfrm>
        <a:prstGeom prst="rect">
          <a:avLst/>
        </a:prstGeom>
      </xdr:spPr>
    </xdr:pic>
    <xdr:clientData/>
  </xdr:oneCellAnchor>
  <xdr:oneCellAnchor>
    <xdr:from>
      <xdr:col>2</xdr:col>
      <xdr:colOff>0</xdr:colOff>
      <xdr:row>31</xdr:row>
      <xdr:rowOff>0</xdr:rowOff>
    </xdr:from>
    <xdr:ext cx="487748" cy="483266"/>
    <xdr:pic>
      <xdr:nvPicPr>
        <xdr:cNvPr id="32" name="Grafik 3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820150"/>
          <a:ext cx="487748" cy="483266"/>
        </a:xfrm>
        <a:prstGeom prst="rect">
          <a:avLst/>
        </a:prstGeom>
      </xdr:spPr>
    </xdr:pic>
    <xdr:clientData/>
  </xdr:oneCellAnchor>
  <xdr:oneCellAnchor>
    <xdr:from>
      <xdr:col>2</xdr:col>
      <xdr:colOff>0</xdr:colOff>
      <xdr:row>30</xdr:row>
      <xdr:rowOff>0</xdr:rowOff>
    </xdr:from>
    <xdr:ext cx="487748" cy="483266"/>
    <xdr:pic>
      <xdr:nvPicPr>
        <xdr:cNvPr id="33" name="Grafik 3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248650"/>
          <a:ext cx="487748" cy="483266"/>
        </a:xfrm>
        <a:prstGeom prst="rect">
          <a:avLst/>
        </a:prstGeom>
      </xdr:spPr>
    </xdr:pic>
    <xdr:clientData/>
  </xdr:oneCellAnchor>
  <xdr:oneCellAnchor>
    <xdr:from>
      <xdr:col>2</xdr:col>
      <xdr:colOff>0</xdr:colOff>
      <xdr:row>29</xdr:row>
      <xdr:rowOff>0</xdr:rowOff>
    </xdr:from>
    <xdr:ext cx="487748" cy="483266"/>
    <xdr:pic>
      <xdr:nvPicPr>
        <xdr:cNvPr id="34" name="Grafik 3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7677150"/>
          <a:ext cx="487748" cy="483266"/>
        </a:xfrm>
        <a:prstGeom prst="rect">
          <a:avLst/>
        </a:prstGeom>
      </xdr:spPr>
    </xdr:pic>
    <xdr:clientData/>
  </xdr:oneCellAnchor>
  <xdr:oneCellAnchor>
    <xdr:from>
      <xdr:col>2</xdr:col>
      <xdr:colOff>0</xdr:colOff>
      <xdr:row>27</xdr:row>
      <xdr:rowOff>0</xdr:rowOff>
    </xdr:from>
    <xdr:ext cx="487748" cy="483266"/>
    <xdr:pic>
      <xdr:nvPicPr>
        <xdr:cNvPr id="35" name="Grafik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7296150"/>
          <a:ext cx="487748" cy="483266"/>
        </a:xfrm>
        <a:prstGeom prst="rect">
          <a:avLst/>
        </a:prstGeom>
      </xdr:spPr>
    </xdr:pic>
    <xdr:clientData/>
  </xdr:oneCellAnchor>
  <xdr:oneCellAnchor>
    <xdr:from>
      <xdr:col>2</xdr:col>
      <xdr:colOff>0</xdr:colOff>
      <xdr:row>26</xdr:row>
      <xdr:rowOff>0</xdr:rowOff>
    </xdr:from>
    <xdr:ext cx="487748" cy="483266"/>
    <xdr:pic>
      <xdr:nvPicPr>
        <xdr:cNvPr id="36" name="Grafik 3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6534150"/>
          <a:ext cx="487748" cy="483266"/>
        </a:xfrm>
        <a:prstGeom prst="rect">
          <a:avLst/>
        </a:prstGeom>
      </xdr:spPr>
    </xdr:pic>
    <xdr:clientData/>
  </xdr:oneCellAnchor>
  <xdr:oneCellAnchor>
    <xdr:from>
      <xdr:col>2</xdr:col>
      <xdr:colOff>0</xdr:colOff>
      <xdr:row>25</xdr:row>
      <xdr:rowOff>0</xdr:rowOff>
    </xdr:from>
    <xdr:ext cx="487748" cy="483266"/>
    <xdr:pic>
      <xdr:nvPicPr>
        <xdr:cNvPr id="37" name="Grafik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5962650"/>
          <a:ext cx="487748" cy="483266"/>
        </a:xfrm>
        <a:prstGeom prst="rect">
          <a:avLst/>
        </a:prstGeom>
      </xdr:spPr>
    </xdr:pic>
    <xdr:clientData/>
  </xdr:oneCellAnchor>
  <xdr:oneCellAnchor>
    <xdr:from>
      <xdr:col>2</xdr:col>
      <xdr:colOff>0</xdr:colOff>
      <xdr:row>39</xdr:row>
      <xdr:rowOff>0</xdr:rowOff>
    </xdr:from>
    <xdr:ext cx="487748" cy="483266"/>
    <xdr:pic>
      <xdr:nvPicPr>
        <xdr:cNvPr id="38" name="Grafik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12725400"/>
          <a:ext cx="487748" cy="483266"/>
        </a:xfrm>
        <a:prstGeom prst="rect">
          <a:avLst/>
        </a:prstGeom>
      </xdr:spPr>
    </xdr:pic>
    <xdr:clientData/>
  </xdr:oneCellAnchor>
  <xdr:oneCellAnchor>
    <xdr:from>
      <xdr:col>2</xdr:col>
      <xdr:colOff>0</xdr:colOff>
      <xdr:row>40</xdr:row>
      <xdr:rowOff>0</xdr:rowOff>
    </xdr:from>
    <xdr:ext cx="487748" cy="483266"/>
    <xdr:pic>
      <xdr:nvPicPr>
        <xdr:cNvPr id="39" name="Grafik 3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13296900"/>
          <a:ext cx="487748" cy="483266"/>
        </a:xfrm>
        <a:prstGeom prst="rect">
          <a:avLst/>
        </a:prstGeom>
      </xdr:spPr>
    </xdr:pic>
    <xdr:clientData/>
  </xdr:oneCellAnchor>
  <xdr:oneCellAnchor>
    <xdr:from>
      <xdr:col>4</xdr:col>
      <xdr:colOff>0</xdr:colOff>
      <xdr:row>39</xdr:row>
      <xdr:rowOff>0</xdr:rowOff>
    </xdr:from>
    <xdr:ext cx="487748" cy="502876"/>
    <xdr:pic>
      <xdr:nvPicPr>
        <xdr:cNvPr id="40" name="Grafik 3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12725400"/>
          <a:ext cx="487748" cy="502876"/>
        </a:xfrm>
        <a:prstGeom prst="rect">
          <a:avLst/>
        </a:prstGeom>
      </xdr:spPr>
    </xdr:pic>
    <xdr:clientData/>
  </xdr:oneCellAnchor>
  <xdr:oneCellAnchor>
    <xdr:from>
      <xdr:col>4</xdr:col>
      <xdr:colOff>0</xdr:colOff>
      <xdr:row>40</xdr:row>
      <xdr:rowOff>0</xdr:rowOff>
    </xdr:from>
    <xdr:ext cx="487748" cy="502876"/>
    <xdr:pic>
      <xdr:nvPicPr>
        <xdr:cNvPr id="41" name="Grafik 4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13296900"/>
          <a:ext cx="487748" cy="502876"/>
        </a:xfrm>
        <a:prstGeom prst="rect">
          <a:avLst/>
        </a:prstGeom>
      </xdr:spPr>
    </xdr:pic>
    <xdr:clientData/>
  </xdr:oneCellAnchor>
  <xdr:oneCellAnchor>
    <xdr:from>
      <xdr:col>4</xdr:col>
      <xdr:colOff>0</xdr:colOff>
      <xdr:row>34</xdr:row>
      <xdr:rowOff>0</xdr:rowOff>
    </xdr:from>
    <xdr:ext cx="487748" cy="502876"/>
    <xdr:pic>
      <xdr:nvPicPr>
        <xdr:cNvPr id="42" name="Grafik 4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10201275"/>
          <a:ext cx="487748" cy="502876"/>
        </a:xfrm>
        <a:prstGeom prst="rect">
          <a:avLst/>
        </a:prstGeom>
      </xdr:spPr>
    </xdr:pic>
    <xdr:clientData/>
  </xdr:oneCellAnchor>
  <xdr:oneCellAnchor>
    <xdr:from>
      <xdr:col>4</xdr:col>
      <xdr:colOff>0</xdr:colOff>
      <xdr:row>25</xdr:row>
      <xdr:rowOff>0</xdr:rowOff>
    </xdr:from>
    <xdr:ext cx="487748" cy="502876"/>
    <xdr:pic>
      <xdr:nvPicPr>
        <xdr:cNvPr id="43" name="Grafik 4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5962650"/>
          <a:ext cx="487748" cy="502876"/>
        </a:xfrm>
        <a:prstGeom prst="rect">
          <a:avLst/>
        </a:prstGeom>
      </xdr:spPr>
    </xdr:pic>
    <xdr:clientData/>
  </xdr:oneCellAnchor>
  <xdr:oneCellAnchor>
    <xdr:from>
      <xdr:col>4</xdr:col>
      <xdr:colOff>0</xdr:colOff>
      <xdr:row>27</xdr:row>
      <xdr:rowOff>0</xdr:rowOff>
    </xdr:from>
    <xdr:ext cx="487748" cy="502876"/>
    <xdr:pic>
      <xdr:nvPicPr>
        <xdr:cNvPr id="44" name="Grafik 4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7105650"/>
          <a:ext cx="487748" cy="502876"/>
        </a:xfrm>
        <a:prstGeom prst="rect">
          <a:avLst/>
        </a:prstGeom>
      </xdr:spPr>
    </xdr:pic>
    <xdr:clientData/>
  </xdr:oneCellAnchor>
  <xdr:oneCellAnchor>
    <xdr:from>
      <xdr:col>4</xdr:col>
      <xdr:colOff>0</xdr:colOff>
      <xdr:row>26</xdr:row>
      <xdr:rowOff>0</xdr:rowOff>
    </xdr:from>
    <xdr:ext cx="487748" cy="502876"/>
    <xdr:pic>
      <xdr:nvPicPr>
        <xdr:cNvPr id="45" name="Grafik 4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6534150"/>
          <a:ext cx="487748" cy="502876"/>
        </a:xfrm>
        <a:prstGeom prst="rect">
          <a:avLst/>
        </a:prstGeom>
      </xdr:spPr>
    </xdr:pic>
    <xdr:clientData/>
  </xdr:oneCellAnchor>
  <xdr:oneCellAnchor>
    <xdr:from>
      <xdr:col>4</xdr:col>
      <xdr:colOff>0</xdr:colOff>
      <xdr:row>30</xdr:row>
      <xdr:rowOff>0</xdr:rowOff>
    </xdr:from>
    <xdr:ext cx="487748" cy="502876"/>
    <xdr:pic>
      <xdr:nvPicPr>
        <xdr:cNvPr id="46" name="Grafik 4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8248650"/>
          <a:ext cx="487748" cy="502876"/>
        </a:xfrm>
        <a:prstGeom prst="rect">
          <a:avLst/>
        </a:prstGeom>
      </xdr:spPr>
    </xdr:pic>
    <xdr:clientData/>
  </xdr:oneCellAnchor>
  <xdr:oneCellAnchor>
    <xdr:from>
      <xdr:col>4</xdr:col>
      <xdr:colOff>0</xdr:colOff>
      <xdr:row>31</xdr:row>
      <xdr:rowOff>0</xdr:rowOff>
    </xdr:from>
    <xdr:ext cx="487748" cy="502876"/>
    <xdr:pic>
      <xdr:nvPicPr>
        <xdr:cNvPr id="47" name="Grafik 4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8820150"/>
          <a:ext cx="487748" cy="502876"/>
        </a:xfrm>
        <a:prstGeom prst="rect">
          <a:avLst/>
        </a:prstGeom>
      </xdr:spPr>
    </xdr:pic>
    <xdr:clientData/>
  </xdr:oneCellAnchor>
  <xdr:oneCellAnchor>
    <xdr:from>
      <xdr:col>4</xdr:col>
      <xdr:colOff>0</xdr:colOff>
      <xdr:row>29</xdr:row>
      <xdr:rowOff>0</xdr:rowOff>
    </xdr:from>
    <xdr:ext cx="487748" cy="502876"/>
    <xdr:pic>
      <xdr:nvPicPr>
        <xdr:cNvPr id="48" name="Grafik 4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7677150"/>
          <a:ext cx="487748" cy="502876"/>
        </a:xfrm>
        <a:prstGeom prst="rect">
          <a:avLst/>
        </a:prstGeom>
      </xdr:spPr>
    </xdr:pic>
    <xdr:clientData/>
  </xdr:oneCellAnchor>
  <xdr:twoCellAnchor>
    <xdr:from>
      <xdr:col>2</xdr:col>
      <xdr:colOff>0</xdr:colOff>
      <xdr:row>2</xdr:row>
      <xdr:rowOff>0</xdr:rowOff>
    </xdr:from>
    <xdr:to>
      <xdr:col>5</xdr:col>
      <xdr:colOff>3832412</xdr:colOff>
      <xdr:row>18</xdr:row>
      <xdr:rowOff>0</xdr:rowOff>
    </xdr:to>
    <xdr:grpSp>
      <xdr:nvGrpSpPr>
        <xdr:cNvPr id="2" name="Gruppieren 1">
          <a:hlinkClick xmlns:r="http://schemas.openxmlformats.org/officeDocument/2006/relationships" r:id="rId3" tooltip="Purchase license for full commercial version"/>
        </xdr:cNvPr>
        <xdr:cNvGrpSpPr/>
      </xdr:nvGrpSpPr>
      <xdr:grpSpPr>
        <a:xfrm>
          <a:off x="4585607" y="367393"/>
          <a:ext cx="9288876" cy="3864428"/>
          <a:chOff x="4585607" y="367393"/>
          <a:chExt cx="9288876" cy="3864428"/>
        </a:xfrm>
      </xdr:grpSpPr>
      <xdr:sp macro="" textlink="">
        <xdr:nvSpPr>
          <xdr:cNvPr id="3" name="Textfeld 2"/>
          <xdr:cNvSpPr txBox="1"/>
        </xdr:nvSpPr>
        <xdr:spPr>
          <a:xfrm>
            <a:off x="9456964" y="1360714"/>
            <a:ext cx="4417519" cy="70597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de-DE" sz="2400" b="1" baseline="30000">
                <a:solidFill>
                  <a:srgbClr val="25346A"/>
                </a:solidFill>
                <a:latin typeface="Arial" panose="020B0604020202020204" pitchFamily="34" charset="0"/>
                <a:cs typeface="Arial" panose="020B0604020202020204" pitchFamily="34" charset="0"/>
              </a:rPr>
              <a:t>only </a:t>
            </a:r>
            <a:r>
              <a:rPr lang="de-DE" sz="2000" b="1" baseline="0">
                <a:solidFill>
                  <a:srgbClr val="25346A"/>
                </a:solidFill>
                <a:latin typeface="Arial" panose="020B0604020202020204" pitchFamily="34" charset="0"/>
                <a:cs typeface="Arial" panose="020B0604020202020204" pitchFamily="34" charset="0"/>
              </a:rPr>
              <a:t> </a:t>
            </a:r>
            <a:r>
              <a:rPr lang="de-DE" sz="2800" b="1" baseline="0">
                <a:solidFill>
                  <a:srgbClr val="25346A"/>
                </a:solidFill>
                <a:latin typeface="Arial" panose="020B0604020202020204" pitchFamily="34" charset="0"/>
                <a:cs typeface="Arial" panose="020B0604020202020204" pitchFamily="34" charset="0"/>
              </a:rPr>
              <a:t>US$ 150.00</a:t>
            </a:r>
            <a:endParaRPr lang="de-DE" sz="2800" b="1">
              <a:solidFill>
                <a:srgbClr val="25346A"/>
              </a:solidFill>
              <a:latin typeface="Arial" panose="020B0604020202020204" pitchFamily="34" charset="0"/>
              <a:cs typeface="Arial" panose="020B0604020202020204" pitchFamily="34" charset="0"/>
            </a:endParaRPr>
          </a:p>
        </xdr:txBody>
      </xdr:sp>
      <xdr:sp macro="" textlink="">
        <xdr:nvSpPr>
          <xdr:cNvPr id="4" name="Rechteck 3"/>
          <xdr:cNvSpPr/>
        </xdr:nvSpPr>
        <xdr:spPr>
          <a:xfrm>
            <a:off x="4585607" y="367393"/>
            <a:ext cx="4294254" cy="386442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marL="0" indent="0" algn="l"/>
            <a:endParaRPr lang="de-DE" sz="2000" b="1">
              <a:solidFill>
                <a:schemeClr val="dk1"/>
              </a:solidFill>
              <a:latin typeface="Arial" panose="020B0604020202020204" pitchFamily="34" charset="0"/>
              <a:ea typeface="+mn-ea"/>
              <a:cs typeface="Arial" panose="020B0604020202020204" pitchFamily="34" charset="0"/>
            </a:endParaRPr>
          </a:p>
        </xdr:txBody>
      </xdr:sp>
      <xdr:sp macro="" textlink="">
        <xdr:nvSpPr>
          <xdr:cNvPr id="6" name="Textfeld 5"/>
          <xdr:cNvSpPr txBox="1"/>
        </xdr:nvSpPr>
        <xdr:spPr>
          <a:xfrm>
            <a:off x="9456964" y="2272393"/>
            <a:ext cx="4395107" cy="194101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de-DE" sz="1600" b="0">
                <a:latin typeface="Arial" panose="020B0604020202020204" pitchFamily="34" charset="0"/>
                <a:cs typeface="Arial" panose="020B0604020202020204" pitchFamily="34" charset="0"/>
              </a:rPr>
              <a:t>- Instant Download</a:t>
            </a:r>
          </a:p>
          <a:p>
            <a:pPr algn="l"/>
            <a:endParaRPr lang="de-DE" sz="1600" b="0">
              <a:latin typeface="Arial" panose="020B0604020202020204" pitchFamily="34" charset="0"/>
              <a:cs typeface="Arial" panose="020B0604020202020204" pitchFamily="34" charset="0"/>
            </a:endParaRPr>
          </a:p>
          <a:p>
            <a:pPr algn="l"/>
            <a:r>
              <a:rPr lang="de-DE" sz="1600" b="0">
                <a:latin typeface="Arial" panose="020B0604020202020204" pitchFamily="34" charset="0"/>
                <a:cs typeface="Arial" panose="020B0604020202020204" pitchFamily="34" charset="0"/>
              </a:rPr>
              <a:t>- Full functionality</a:t>
            </a:r>
          </a:p>
          <a:p>
            <a:pPr algn="l"/>
            <a:endParaRPr lang="de-DE" sz="1600" b="0">
              <a:latin typeface="Arial" panose="020B0604020202020204" pitchFamily="34" charset="0"/>
              <a:cs typeface="Arial" panose="020B0604020202020204" pitchFamily="34" charset="0"/>
            </a:endParaRPr>
          </a:p>
          <a:p>
            <a:pPr algn="l"/>
            <a:r>
              <a:rPr lang="de-DE" sz="1600" b="0">
                <a:latin typeface="Arial" panose="020B0604020202020204" pitchFamily="34" charset="0"/>
                <a:cs typeface="Arial" panose="020B0604020202020204" pitchFamily="34" charset="0"/>
              </a:rPr>
              <a:t>- Freely customizable &amp; extendable</a:t>
            </a:r>
          </a:p>
          <a:p>
            <a:pPr algn="l"/>
            <a:endParaRPr lang="de-DE" sz="1600" b="0">
              <a:latin typeface="Arial" panose="020B0604020202020204" pitchFamily="34" charset="0"/>
              <a:cs typeface="Arial" panose="020B0604020202020204" pitchFamily="34" charset="0"/>
            </a:endParaRPr>
          </a:p>
          <a:p>
            <a:pPr algn="l"/>
            <a:r>
              <a:rPr lang="de-DE" sz="1600" b="0">
                <a:latin typeface="Arial" panose="020B0604020202020204" pitchFamily="34" charset="0"/>
                <a:cs typeface="Arial" panose="020B0604020202020204" pitchFamily="34" charset="0"/>
              </a:rPr>
              <a:t>-</a:t>
            </a:r>
            <a:r>
              <a:rPr lang="de-DE" sz="1600" b="0" baseline="0">
                <a:latin typeface="Arial" panose="020B0604020202020204" pitchFamily="34" charset="0"/>
                <a:cs typeface="Arial" panose="020B0604020202020204" pitchFamily="34" charset="0"/>
              </a:rPr>
              <a:t> Lifetime Updates</a:t>
            </a:r>
            <a:endParaRPr lang="de-DE" sz="1600" b="0">
              <a:latin typeface="Arial" panose="020B0604020202020204" pitchFamily="34" charset="0"/>
              <a:cs typeface="Arial" panose="020B0604020202020204" pitchFamily="34" charset="0"/>
            </a:endParaRPr>
          </a:p>
        </xdr:txBody>
      </xdr:sp>
      <xdr:pic>
        <xdr:nvPicPr>
          <xdr:cNvPr id="49" name="Grafik 48" descr="EFM-DE-gre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13588" y="609851"/>
            <a:ext cx="3133726" cy="3409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0</xdr:colOff>
      <xdr:row>28</xdr:row>
      <xdr:rowOff>0</xdr:rowOff>
    </xdr:from>
    <xdr:ext cx="487748" cy="502876"/>
    <xdr:pic>
      <xdr:nvPicPr>
        <xdr:cNvPr id="50" name="Grafik 4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58325" y="7867650"/>
          <a:ext cx="487748" cy="502876"/>
        </a:xfrm>
        <a:prstGeom prst="rect">
          <a:avLst/>
        </a:prstGeom>
      </xdr:spPr>
    </xdr:pic>
    <xdr:clientData/>
  </xdr:oneCellAnchor>
  <xdr:oneCellAnchor>
    <xdr:from>
      <xdr:col>2</xdr:col>
      <xdr:colOff>0</xdr:colOff>
      <xdr:row>28</xdr:row>
      <xdr:rowOff>0</xdr:rowOff>
    </xdr:from>
    <xdr:ext cx="487748" cy="483266"/>
    <xdr:pic>
      <xdr:nvPicPr>
        <xdr:cNvPr id="51" name="Grafik 5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7867650"/>
          <a:ext cx="487748" cy="483266"/>
        </a:xfrm>
        <a:prstGeom prst="rect">
          <a:avLst/>
        </a:prstGeom>
      </xdr:spPr>
    </xdr:pic>
    <xdr:clientData/>
  </xdr:oneCellAnchor>
  <xdr:oneCellAnchor>
    <xdr:from>
      <xdr:col>2</xdr:col>
      <xdr:colOff>0</xdr:colOff>
      <xdr:row>36</xdr:row>
      <xdr:rowOff>161925</xdr:rowOff>
    </xdr:from>
    <xdr:ext cx="487748" cy="483266"/>
    <xdr:pic>
      <xdr:nvPicPr>
        <xdr:cNvPr id="52" name="Grafik 5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12382500"/>
          <a:ext cx="487748" cy="48326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161191</xdr:rowOff>
    </xdr:from>
    <xdr:to>
      <xdr:col>16</xdr:col>
      <xdr:colOff>0</xdr:colOff>
      <xdr:row>8</xdr:row>
      <xdr:rowOff>161192</xdr:rowOff>
    </xdr:to>
    <xdr:sp macro="" textlink="">
      <xdr:nvSpPr>
        <xdr:cNvPr id="15" name="TextBox 4"/>
        <xdr:cNvSpPr txBox="1"/>
      </xdr:nvSpPr>
      <xdr:spPr>
        <a:xfrm>
          <a:off x="219808" y="161191"/>
          <a:ext cx="8682404" cy="128953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2000" i="1">
              <a:solidFill>
                <a:schemeClr val="tx1">
                  <a:lumMod val="75000"/>
                  <a:lumOff val="25000"/>
                </a:schemeClr>
              </a:solidFill>
              <a:latin typeface="+mn-lt"/>
              <a:cs typeface="Arial" pitchFamily="34" charset="0"/>
            </a:rPr>
            <a:t>Important Notice </a:t>
          </a:r>
          <a:endParaRPr lang="en-AU" sz="2000" i="1" baseline="0">
            <a:solidFill>
              <a:schemeClr val="tx1">
                <a:lumMod val="75000"/>
                <a:lumOff val="25000"/>
              </a:schemeClr>
            </a:solidFill>
            <a:latin typeface="+mn-lt"/>
            <a:cs typeface="Arial" pitchFamily="34" charset="0"/>
          </a:endParaRPr>
        </a:p>
        <a:p>
          <a:endParaRPr lang="en-AU" sz="1000" baseline="0">
            <a:solidFill>
              <a:schemeClr val="tx1">
                <a:lumMod val="75000"/>
                <a:lumOff val="25000"/>
              </a:schemeClr>
            </a:solidFill>
            <a:latin typeface="+mn-lt"/>
            <a:cs typeface="Arial" pitchFamily="34" charset="0"/>
          </a:endParaRPr>
        </a:p>
        <a:p>
          <a:r>
            <a:rPr lang="de-DE" sz="1100" b="1" baseline="0">
              <a:solidFill>
                <a:srgbClr val="313D72"/>
              </a:solidFill>
              <a:latin typeface="+mn-lt"/>
              <a:ea typeface="+mn-ea"/>
              <a:cs typeface="Arial" pitchFamily="34" charset="0"/>
            </a:rPr>
            <a:t>Quick Start Guide</a:t>
          </a:r>
        </a:p>
        <a:p>
          <a:r>
            <a:rPr lang="de-DE" sz="1100">
              <a:solidFill>
                <a:schemeClr val="dk1"/>
              </a:solidFill>
              <a:effectLst/>
              <a:latin typeface="+mn-lt"/>
              <a:ea typeface="+mn-ea"/>
              <a:cs typeface="+mn-cs"/>
            </a:rPr>
            <a:t>This quick start guide is designed for all users to provide an overview of the layout and structure of Excel Financial Model as well as the basic steps (chronology) of the planning process. This short introduction cannot replace the comprehensive</a:t>
          </a:r>
          <a:r>
            <a:rPr lang="de-DE" sz="1100" baseline="0">
              <a:solidFill>
                <a:schemeClr val="dk1"/>
              </a:solidFill>
              <a:effectLst/>
              <a:latin typeface="+mn-lt"/>
              <a:ea typeface="+mn-ea"/>
              <a:cs typeface="+mn-cs"/>
            </a:rPr>
            <a:t> Users Manual.</a:t>
          </a:r>
        </a:p>
        <a:p>
          <a:r>
            <a:rPr lang="de-DE" sz="1100">
              <a:solidFill>
                <a:schemeClr val="dk1"/>
              </a:solidFill>
              <a:effectLst/>
              <a:latin typeface="+mn-lt"/>
              <a:ea typeface="+mn-ea"/>
              <a:cs typeface="+mn-cs"/>
            </a:rPr>
            <a:t>For more detailed information users are strongly encouraged to read the Users Manual.</a:t>
          </a:r>
          <a:endParaRPr lang="de-DE" sz="1000" baseline="0">
            <a:solidFill>
              <a:schemeClr val="dk1"/>
            </a:solidFill>
            <a:effectLst/>
            <a:latin typeface="+mn-lt"/>
            <a:ea typeface="+mn-ea"/>
            <a:cs typeface="+mn-cs"/>
          </a:endParaRPr>
        </a:p>
      </xdr:txBody>
    </xdr:sp>
    <xdr:clientData/>
  </xdr:twoCellAnchor>
  <xdr:twoCellAnchor>
    <xdr:from>
      <xdr:col>1</xdr:col>
      <xdr:colOff>2298</xdr:colOff>
      <xdr:row>10</xdr:row>
      <xdr:rowOff>1</xdr:rowOff>
    </xdr:from>
    <xdr:to>
      <xdr:col>16</xdr:col>
      <xdr:colOff>2955</xdr:colOff>
      <xdr:row>136</xdr:row>
      <xdr:rowOff>0</xdr:rowOff>
    </xdr:to>
    <xdr:sp macro="" textlink="">
      <xdr:nvSpPr>
        <xdr:cNvPr id="4" name="TextBox 4"/>
        <xdr:cNvSpPr txBox="1"/>
      </xdr:nvSpPr>
      <xdr:spPr>
        <a:xfrm>
          <a:off x="222564" y="1607345"/>
          <a:ext cx="8751750" cy="2025253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GB" sz="1100" b="1" baseline="0">
              <a:solidFill>
                <a:srgbClr val="313D72"/>
              </a:solidFill>
              <a:latin typeface="+mn-lt"/>
              <a:ea typeface="+mn-ea"/>
              <a:cs typeface="Arial" pitchFamily="34" charset="0"/>
            </a:rPr>
            <a:t>A - Layout and Structure of EFM</a:t>
          </a:r>
          <a:endParaRPr lang="de-DE" sz="1100" b="1" baseline="0">
            <a:solidFill>
              <a:srgbClr val="313D72"/>
            </a:solidFill>
            <a:latin typeface="+mn-lt"/>
            <a:ea typeface="+mn-ea"/>
            <a:cs typeface="Arial" pitchFamily="34" charset="0"/>
          </a:endParaRPr>
        </a:p>
        <a:p>
          <a:r>
            <a:rPr lang="en-GB" sz="1100">
              <a:solidFill>
                <a:schemeClr val="dk1"/>
              </a:solidFill>
              <a:effectLst/>
              <a:latin typeface="+mn-lt"/>
              <a:ea typeface="+mn-ea"/>
              <a:cs typeface="+mn-cs"/>
            </a:rPr>
            <a:t>The below screenshot shows the layout and structure of the model. Please note the colour code used for the different worksheets.</a:t>
          </a:r>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Numbers outline the recommended order of planning steps in preparing a new model. It is recommended to input all financing assumptions at the end of the planning process as funding requirements depend on all other input data (see </a:t>
          </a:r>
          <a:r>
            <a:rPr lang="en-GB" sz="1100" b="1">
              <a:solidFill>
                <a:schemeClr val="dk1"/>
              </a:solidFill>
              <a:effectLst/>
              <a:latin typeface="+mn-lt"/>
              <a:ea typeface="+mn-ea"/>
              <a:cs typeface="+mn-cs"/>
            </a:rPr>
            <a:t>Building a new model - How to proceed</a:t>
          </a:r>
          <a:r>
            <a:rPr lang="en-GB" sz="1100">
              <a:solidFill>
                <a:schemeClr val="dk1"/>
              </a:solidFill>
              <a:effectLst/>
              <a:latin typeface="+mn-lt"/>
              <a:ea typeface="+mn-ea"/>
              <a:cs typeface="+mn-cs"/>
            </a:rPr>
            <a:t>).</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en-GB" sz="1100" b="1" baseline="0">
              <a:solidFill>
                <a:srgbClr val="313D72"/>
              </a:solidFill>
              <a:latin typeface="+mn-lt"/>
              <a:ea typeface="+mn-ea"/>
              <a:cs typeface="Arial" pitchFamily="34" charset="0"/>
            </a:rPr>
            <a:t>B Inputs &amp; Removal of Worksheet Protection</a:t>
          </a:r>
          <a:endParaRPr lang="de-DE" sz="1100" b="1" baseline="0">
            <a:solidFill>
              <a:srgbClr val="313D72"/>
            </a:solidFill>
            <a:latin typeface="+mn-lt"/>
            <a:ea typeface="+mn-ea"/>
            <a:cs typeface="Arial" pitchFamily="34" charset="0"/>
          </a:endParaRPr>
        </a:p>
        <a:p>
          <a:r>
            <a:rPr lang="en-GB" sz="1100">
              <a:solidFill>
                <a:schemeClr val="dk1"/>
              </a:solidFill>
              <a:effectLst/>
              <a:latin typeface="+mn-lt"/>
              <a:ea typeface="+mn-ea"/>
              <a:cs typeface="+mn-cs"/>
            </a:rPr>
            <a:t>Apart from (optional) one-time modifications on sheet “Index”, like e.g. inserting your own logo, disclaimer and contact details, inputs are only necessary and possible on yellow coloured worksheets (= input sheets).</a:t>
          </a:r>
        </a:p>
        <a:p>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Within these individual input sheets, data entry is only permitted in input cells,</a:t>
          </a:r>
        </a:p>
        <a:p>
          <a:r>
            <a:rPr lang="en-GB" sz="1100">
              <a:solidFill>
                <a:schemeClr val="dk1"/>
              </a:solidFill>
              <a:effectLst/>
              <a:latin typeface="+mn-lt"/>
              <a:ea typeface="+mn-ea"/>
              <a:cs typeface="+mn-cs"/>
            </a:rPr>
            <a:t>which are clearly recognizable by a consistent format (see below screenshot </a:t>
          </a:r>
        </a:p>
        <a:p>
          <a:r>
            <a:rPr lang="en-GB" sz="1100">
              <a:solidFill>
                <a:schemeClr val="dk1"/>
              </a:solidFill>
              <a:effectLst/>
              <a:latin typeface="+mn-lt"/>
              <a:ea typeface="+mn-ea"/>
              <a:cs typeface="+mn-cs"/>
            </a:rPr>
            <a:t>=&gt; cell style “Input”).</a:t>
          </a:r>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In “delivery state” all worksheets are password protected. To unprotect one or more worksheets please use the </a:t>
          </a:r>
          <a:r>
            <a:rPr lang="en-GB" sz="1100" b="1">
              <a:solidFill>
                <a:srgbClr val="FF0000"/>
              </a:solidFill>
              <a:effectLst/>
              <a:latin typeface="+mn-lt"/>
              <a:ea typeface="+mn-ea"/>
              <a:cs typeface="+mn-cs"/>
            </a:rPr>
            <a:t>password: “0000” </a:t>
          </a:r>
          <a:endParaRPr lang="de-DE" sz="1100" b="1">
            <a:solidFill>
              <a:srgbClr val="FF0000"/>
            </a:solidFill>
            <a:effectLst/>
            <a:latin typeface="+mn-lt"/>
            <a:ea typeface="+mn-ea"/>
            <a:cs typeface="+mn-cs"/>
          </a:endParaRPr>
        </a:p>
        <a:p>
          <a:endParaRPr lang="de-DE" sz="1100">
            <a:solidFill>
              <a:schemeClr val="dk1"/>
            </a:solidFill>
            <a:effectLst/>
            <a:latin typeface="+mn-lt"/>
            <a:ea typeface="+mn-ea"/>
            <a:cs typeface="+mn-cs"/>
          </a:endParaRPr>
        </a:p>
        <a:p>
          <a:r>
            <a:rPr lang="en-GB" sz="1100" b="1" baseline="0">
              <a:solidFill>
                <a:srgbClr val="313D72"/>
              </a:solidFill>
              <a:latin typeface="+mn-lt"/>
              <a:ea typeface="+mn-ea"/>
              <a:cs typeface="Arial" pitchFamily="34" charset="0"/>
            </a:rPr>
            <a:t>C Building a new model - How to proceed</a:t>
          </a:r>
          <a:endParaRPr lang="de-DE" sz="1100" b="1" baseline="0">
            <a:solidFill>
              <a:srgbClr val="313D72"/>
            </a:solidFill>
            <a:latin typeface="+mn-lt"/>
            <a:ea typeface="+mn-ea"/>
            <a:cs typeface="Arial" pitchFamily="34" charset="0"/>
          </a:endParaRPr>
        </a:p>
        <a:p>
          <a:pPr lvl="0"/>
          <a:r>
            <a:rPr lang="en-GB" sz="1100" b="1">
              <a:solidFill>
                <a:schemeClr val="dk1"/>
              </a:solidFill>
              <a:effectLst/>
              <a:latin typeface="+mn-lt"/>
              <a:ea typeface="+mn-ea"/>
              <a:cs typeface="+mn-cs"/>
            </a:rPr>
            <a:t>1. Open </a:t>
          </a:r>
          <a:r>
            <a:rPr lang="en-GB" sz="1100" b="1" i="1">
              <a:solidFill>
                <a:schemeClr val="dk1"/>
              </a:solidFill>
              <a:effectLst/>
              <a:latin typeface="+mn-lt"/>
              <a:ea typeface="+mn-ea"/>
              <a:cs typeface="+mn-cs"/>
            </a:rPr>
            <a:t>Excel-Financial-Model</a:t>
          </a:r>
          <a:r>
            <a:rPr lang="en-GB" sz="1100" b="1">
              <a:solidFill>
                <a:schemeClr val="dk1"/>
              </a:solidFill>
              <a:effectLst/>
              <a:latin typeface="+mn-lt"/>
              <a:ea typeface="+mn-ea"/>
              <a:cs typeface="+mn-cs"/>
            </a:rPr>
            <a:t> and save new file</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To start constructing a new model, load the original xlsm-file and immediately save it with an appropriate new file name.</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2. Remove all existing assumptions and input data</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As the original file comes with a fictive example planning, click the button „New planning - erase all input data“ on sheet “Inputs”. After running this macro (which may take 20 to 30 seconds) you will have an empty template.</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3. Enter general model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“Inputs” and fill in the general model assumptions. </a:t>
          </a:r>
          <a:r>
            <a:rPr lang="en-GB" sz="1100" b="0" u="sng">
              <a:solidFill>
                <a:schemeClr val="dk1"/>
              </a:solidFill>
              <a:effectLst/>
              <a:latin typeface="+mn-lt"/>
              <a:ea typeface="+mn-ea"/>
              <a:cs typeface="+mn-cs"/>
            </a:rPr>
            <a:t>Important:</a:t>
          </a:r>
          <a:r>
            <a:rPr lang="en-GB" sz="1100">
              <a:solidFill>
                <a:schemeClr val="dk1"/>
              </a:solidFill>
              <a:effectLst/>
              <a:latin typeface="+mn-lt"/>
              <a:ea typeface="+mn-ea"/>
              <a:cs typeface="+mn-cs"/>
            </a:rPr>
            <a:t> Default currency and denomination should not be changed later on as input values (currencies) will not be converted. Only variable descriptions and unit descriptions will change accordingly.</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4. Enter assumptions for products and services</a:t>
          </a:r>
          <a:endParaRPr lang="de-DE"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b="0" i="0" u="none" strike="noStrike" baseline="0" smtClean="0">
              <a:solidFill>
                <a:schemeClr val="dk1"/>
              </a:solidFill>
              <a:latin typeface="+mn-lt"/>
              <a:ea typeface="+mn-ea"/>
              <a:cs typeface="+mn-cs"/>
            </a:rPr>
            <a:t>On sheet “Inputs” you can enter all assumptions for up to 4 different offerings. The four products/services are independent and can individually be switched on and off. This means that it is not necessary to delete all input data when a certain product will not be needed, for example when testing different scenarios etc. (simply switch offerings on or off). Note: You will find the individual description of each offering in the P&amp;L and other summary sheets. Therefore you may want to leave the corresponding input field blank, if an offering will not be used at all.</a:t>
          </a: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5. Enter assumptions for human resources</a:t>
          </a:r>
          <a:endParaRPr lang="de-DE"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b="0" i="0" u="none" strike="noStrike" baseline="0" smtClean="0">
              <a:solidFill>
                <a:schemeClr val="dk1"/>
              </a:solidFill>
              <a:latin typeface="+mn-lt"/>
              <a:ea typeface="+mn-ea"/>
              <a:cs typeface="+mn-cs"/>
            </a:rPr>
            <a:t>On Sheet “Inputs” fill in names or position for the two divisions "Research &amp; Development Staff" and "General &amp; Administration Staff". Note: Base salary has to be for 12 months, without income taxes and social insurances. The detailed staff planning (monthly deployment schedule) will be done later on sheet “Human Resources”. Fill in percentage for income taxes &amp; social insurances and assumptions for “Other Staff Costs” (optional).</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6. Enter financing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Financing Assumptions should be entered at the end of the planning process as funding requirements depend on all other input data. To avoid funding shortfalls during the planning process we recommend to </a:t>
          </a:r>
          <a:r>
            <a:rPr lang="en-GB" sz="1100" u="sng">
              <a:solidFill>
                <a:schemeClr val="dk1"/>
              </a:solidFill>
              <a:effectLst/>
              <a:latin typeface="+mn-lt"/>
              <a:ea typeface="+mn-ea"/>
              <a:cs typeface="+mn-cs"/>
            </a:rPr>
            <a:t>temporarily</a:t>
          </a:r>
          <a:r>
            <a:rPr lang="en-GB" sz="1100">
              <a:solidFill>
                <a:schemeClr val="dk1"/>
              </a:solidFill>
              <a:effectLst/>
              <a:latin typeface="+mn-lt"/>
              <a:ea typeface="+mn-ea"/>
              <a:cs typeface="+mn-cs"/>
            </a:rPr>
            <a:t> set “Initial Equity” to a very high number (e.g. 2 million) and set cash-in at first month to “NO” (please refer</a:t>
          </a:r>
          <a:r>
            <a:rPr lang="en-GB" sz="1100" baseline="0">
              <a:solidFill>
                <a:schemeClr val="dk1"/>
              </a:solidFill>
              <a:effectLst/>
              <a:latin typeface="+mn-lt"/>
              <a:ea typeface="+mn-ea"/>
              <a:cs typeface="+mn-cs"/>
            </a:rPr>
            <a:t> to the manual for </a:t>
          </a:r>
          <a:r>
            <a:rPr lang="en-GB" sz="1100">
              <a:solidFill>
                <a:schemeClr val="dk1"/>
              </a:solidFill>
              <a:effectLst/>
              <a:latin typeface="+mn-lt"/>
              <a:ea typeface="+mn-ea"/>
              <a:cs typeface="+mn-cs"/>
            </a:rPr>
            <a:t>more details on the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funding waterfall).</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7. Enter tax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On Sheet “Inputs” fill in the remaining assumptions regarding taxes. These inputs can be easily changed at any time during or after the planning process. Be aware that any change later on may have (positive or negative) effects on funding requirements.</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8. Enter assumptions for inventory planning and opening balance</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If you would like to include detailed inventory planning, please activate corresponding selection on sheet “Inputs”. Profit &amp; Loss items and Balance Sheet items can be planned later on. The opening balance is optional. For “new” companies (foundations) or projects leave input cells blank.</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9. Enter New Customers</a:t>
          </a:r>
          <a:r>
            <a:rPr lang="en-GB" sz="1100" b="1" baseline="0">
              <a:solidFill>
                <a:schemeClr val="dk1"/>
              </a:solidFill>
              <a:effectLst/>
              <a:latin typeface="+mn-lt"/>
              <a:ea typeface="+mn-ea"/>
              <a:cs typeface="+mn-cs"/>
            </a:rPr>
            <a:t> (or </a:t>
          </a:r>
          <a:r>
            <a:rPr lang="en-GB" sz="1100" b="1">
              <a:solidFill>
                <a:schemeClr val="dk1"/>
              </a:solidFill>
              <a:effectLst/>
              <a:latin typeface="+mn-lt"/>
              <a:ea typeface="+mn-ea"/>
              <a:cs typeface="+mn-cs"/>
            </a:rPr>
            <a:t>Sales Units)</a:t>
          </a:r>
          <a:endParaRPr lang="de-DE"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b="0" i="0" u="none" strike="noStrike" baseline="0" smtClean="0">
              <a:solidFill>
                <a:schemeClr val="dk1"/>
              </a:solidFill>
              <a:latin typeface="+mn-lt"/>
              <a:ea typeface="+mn-ea"/>
              <a:cs typeface="+mn-cs"/>
            </a:rPr>
            <a:t>Go to sheet “Offering 1” and enter the number of new customers for each month (this has to be done for each offering 1 to 4, if used). In case you are planning (one-time) sales of e.g. physical products or services, the description (unit) of this row would be pieces, liters, kg, or man-days sold per period (= month) rather than new customers.</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10. Enter monthly personnel deployment schedule</a:t>
          </a:r>
          <a:endParaRPr lang="de-DE"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b="0" i="0" u="none" strike="noStrike" baseline="0" smtClean="0">
              <a:solidFill>
                <a:schemeClr val="dk1"/>
              </a:solidFill>
              <a:latin typeface="+mn-lt"/>
              <a:ea typeface="+mn-ea"/>
              <a:cs typeface="+mn-cs"/>
            </a:rPr>
            <a:t>Go to sheet “Human Resources” and decide for each position/employee whether social security contributions should be calculated and fill in monthly number and availability ("Direct Labour Staff" and "Marketing and Sales Staff" will be calculated automatically based on your inputs).</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11. Enter indirect costs (Overheads)</a:t>
          </a:r>
          <a:endParaRPr lang="de-DE"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b="0" i="0" u="none" strike="noStrike" baseline="0" smtClean="0">
              <a:solidFill>
                <a:schemeClr val="dk1"/>
              </a:solidFill>
              <a:latin typeface="+mn-lt"/>
              <a:ea typeface="+mn-ea"/>
              <a:cs typeface="+mn-cs"/>
            </a:rPr>
            <a:t>Go to sheet </a:t>
          </a:r>
          <a:r>
            <a:rPr lang="de-DE" sz="1100" b="1" i="0" u="none" strike="noStrike" baseline="0" smtClean="0">
              <a:solidFill>
                <a:schemeClr val="dk1"/>
              </a:solidFill>
              <a:latin typeface="+mn-lt"/>
              <a:ea typeface="+mn-ea"/>
              <a:cs typeface="+mn-cs"/>
            </a:rPr>
            <a:t>“Costs”</a:t>
          </a:r>
          <a:r>
            <a:rPr lang="de-DE" sz="1100" b="0" i="0" u="none" strike="noStrike" baseline="0" smtClean="0">
              <a:solidFill>
                <a:schemeClr val="dk1"/>
              </a:solidFill>
              <a:latin typeface="+mn-lt"/>
              <a:ea typeface="+mn-ea"/>
              <a:cs typeface="+mn-cs"/>
            </a:rPr>
            <a:t> to enter all indirect costs. There are 3 different groups (1. Marketing &amp; Sales, 2. Research &amp; Development and 3. General &amp; Administration). Variable descriptions (input cells) can be changed according to your needs. Note: Payroll costs are directly linked from sheet “Human Resources” (no input here).</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12. Enter capital expenditures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“Capex” to enter capital expenditures. You will find separate groups for intangible, tangible and financial assets. There are also options for finance lease, sale of assets and capitalization of company produced assets (refer to the manual for any details).</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13. Enter financing assumption (final step)</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Before going to sheet “Financing” to fine-tune funding sources and structure, enter tax advances (prepayments) on sheet “Inputs”. Below the input row you can see the actual amounts, calculated by the tool based on your inputs and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Back on sheet “Financing” the drawdown of capital tranches is organized by a default funding waterfall (= funding cascade). After calculation of monthly funding needs, equity will be used first, followed by different debt tranches and an overdraft facility at the end of the cascade.</a:t>
          </a:r>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pPr marL="0" indent="0"/>
          <a:endParaRPr lang="de-DE" sz="1000" b="1" baseline="0">
            <a:solidFill>
              <a:srgbClr val="313D72"/>
            </a:solidFill>
            <a:latin typeface="+mn-lt"/>
            <a:ea typeface="+mn-ea"/>
            <a:cs typeface="Arial" pitchFamily="34" charset="0"/>
          </a:endParaRPr>
        </a:p>
      </xdr:txBody>
    </xdr:sp>
    <xdr:clientData/>
  </xdr:twoCellAnchor>
  <xdr:twoCellAnchor>
    <xdr:from>
      <xdr:col>2</xdr:col>
      <xdr:colOff>0</xdr:colOff>
      <xdr:row>12</xdr:row>
      <xdr:rowOff>134592</xdr:rowOff>
    </xdr:from>
    <xdr:to>
      <xdr:col>14</xdr:col>
      <xdr:colOff>256065</xdr:colOff>
      <xdr:row>46</xdr:row>
      <xdr:rowOff>48060</xdr:rowOff>
    </xdr:to>
    <xdr:pic>
      <xdr:nvPicPr>
        <xdr:cNvPr id="7" name="Grafik 6"/>
        <xdr:cNvPicPr>
          <a:picLocks noChangeAspect="1"/>
        </xdr:cNvPicPr>
      </xdr:nvPicPr>
      <xdr:blipFill>
        <a:blip xmlns:r="http://schemas.openxmlformats.org/officeDocument/2006/relationships" r:embed="rId1"/>
        <a:stretch>
          <a:fillRect/>
        </a:stretch>
      </xdr:blipFill>
      <xdr:spPr>
        <a:xfrm>
          <a:off x="795130" y="2122418"/>
          <a:ext cx="7213457" cy="5545642"/>
        </a:xfrm>
        <a:prstGeom prst="rect">
          <a:avLst/>
        </a:prstGeom>
      </xdr:spPr>
    </xdr:pic>
    <xdr:clientData/>
  </xdr:twoCellAnchor>
  <xdr:twoCellAnchor>
    <xdr:from>
      <xdr:col>9</xdr:col>
      <xdr:colOff>257175</xdr:colOff>
      <xdr:row>53</xdr:row>
      <xdr:rowOff>165645</xdr:rowOff>
    </xdr:from>
    <xdr:to>
      <xdr:col>14</xdr:col>
      <xdr:colOff>446333</xdr:colOff>
      <xdr:row>56</xdr:row>
      <xdr:rowOff>78998</xdr:rowOff>
    </xdr:to>
    <xdr:pic>
      <xdr:nvPicPr>
        <xdr:cNvPr id="8" name="Grafik 7"/>
        <xdr:cNvPicPr>
          <a:picLocks noChangeAspect="1"/>
        </xdr:cNvPicPr>
      </xdr:nvPicPr>
      <xdr:blipFill>
        <a:blip xmlns:r="http://schemas.openxmlformats.org/officeDocument/2006/relationships" r:embed="rId2"/>
        <a:stretch>
          <a:fillRect/>
        </a:stretch>
      </xdr:blipFill>
      <xdr:spPr>
        <a:xfrm>
          <a:off x="5110784" y="8945210"/>
          <a:ext cx="3088071" cy="4103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39</xdr:row>
      <xdr:rowOff>0</xdr:rowOff>
    </xdr:from>
    <xdr:to>
      <xdr:col>17</xdr:col>
      <xdr:colOff>0</xdr:colOff>
      <xdr:row>44</xdr:row>
      <xdr:rowOff>0</xdr:rowOff>
    </xdr:to>
    <xdr:sp macro="" textlink="">
      <xdr:nvSpPr>
        <xdr:cNvPr id="3" name="Text Box 2"/>
        <xdr:cNvSpPr txBox="1">
          <a:spLocks noChangeArrowheads="1"/>
        </xdr:cNvSpPr>
      </xdr:nvSpPr>
      <xdr:spPr bwMode="auto">
        <a:xfrm>
          <a:off x="1381125" y="9448800"/>
          <a:ext cx="6334125" cy="1666875"/>
        </a:xfrm>
        <a:prstGeom prst="rect">
          <a:avLst/>
        </a:prstGeom>
        <a:noFill/>
        <a:ln w="9525">
          <a:noFill/>
          <a:miter lim="800000"/>
          <a:headEnd/>
          <a:tailEnd/>
        </a:ln>
      </xdr:spPr>
      <xdr:txBody>
        <a:bodyPr vertOverflow="clip" wrap="square" lIns="27432" tIns="22860" rIns="0" bIns="0" anchor="t" upright="1"/>
        <a:lstStyle/>
        <a:p>
          <a:pPr algn="l" rtl="0">
            <a:defRPr sz="1000"/>
          </a:pPr>
          <a:endParaRPr lang="de-DE" sz="1000" b="0" i="0" u="none" strike="noStrike" baseline="0">
            <a:solidFill>
              <a:schemeClr val="tx1"/>
            </a:solidFill>
            <a:latin typeface="Arial"/>
            <a:cs typeface="Arial"/>
          </a:endParaRPr>
        </a:p>
        <a:p>
          <a:pPr algn="l" rtl="0">
            <a:defRPr sz="1000"/>
          </a:pPr>
          <a:endParaRPr lang="de-DE" sz="1000" b="0" i="0" u="none" strike="noStrike" baseline="0">
            <a:solidFill>
              <a:schemeClr val="tx1"/>
            </a:solidFill>
            <a:latin typeface="Arial"/>
            <a:cs typeface="Arial"/>
          </a:endParaRPr>
        </a:p>
        <a:p>
          <a:pPr algn="l" rtl="0">
            <a:defRPr sz="1000"/>
          </a:pPr>
          <a:r>
            <a:rPr lang="de-DE" sz="1000" b="0" i="0" u="none" strike="noStrike" baseline="0">
              <a:solidFill>
                <a:srgbClr val="FF0000"/>
              </a:solidFill>
              <a:latin typeface="Arial"/>
              <a:cs typeface="Arial"/>
            </a:rPr>
            <a:t> =&gt; fill in your own disclaimer here !</a:t>
          </a:r>
        </a:p>
        <a:p>
          <a:pPr algn="l" rtl="0">
            <a:defRPr sz="1000"/>
          </a:pPr>
          <a:endParaRPr lang="de-DE" sz="1000" b="0" i="0" u="none" strike="noStrike" baseline="0">
            <a:solidFill>
              <a:schemeClr val="tx1"/>
            </a:solidFill>
            <a:latin typeface="Arial"/>
            <a:cs typeface="Arial"/>
          </a:endParaRPr>
        </a:p>
      </xdr:txBody>
    </xdr:sp>
    <xdr:clientData/>
  </xdr:twoCellAnchor>
  <xdr:twoCellAnchor>
    <xdr:from>
      <xdr:col>4</xdr:col>
      <xdr:colOff>0</xdr:colOff>
      <xdr:row>47</xdr:row>
      <xdr:rowOff>0</xdr:rowOff>
    </xdr:from>
    <xdr:to>
      <xdr:col>17</xdr:col>
      <xdr:colOff>0</xdr:colOff>
      <xdr:row>52</xdr:row>
      <xdr:rowOff>0</xdr:rowOff>
    </xdr:to>
    <xdr:sp macro="" textlink="">
      <xdr:nvSpPr>
        <xdr:cNvPr id="4" name="Text Box 3"/>
        <xdr:cNvSpPr txBox="1">
          <a:spLocks noChangeArrowheads="1"/>
        </xdr:cNvSpPr>
      </xdr:nvSpPr>
      <xdr:spPr bwMode="auto">
        <a:xfrm>
          <a:off x="1381125" y="11830050"/>
          <a:ext cx="6334125" cy="1190625"/>
        </a:xfrm>
        <a:prstGeom prst="rect">
          <a:avLst/>
        </a:prstGeom>
        <a:noFill/>
        <a:ln w="9525">
          <a:noFill/>
          <a:miter lim="800000"/>
          <a:headEnd/>
          <a:tailEnd/>
        </a:ln>
      </xdr:spPr>
      <xdr:txBody>
        <a:bodyPr vertOverflow="clip" wrap="square" lIns="27432" tIns="22860" rIns="0" bIns="0" anchor="t" upright="1"/>
        <a:lstStyle/>
        <a:p>
          <a:endParaRPr lang="en-AU" sz="1000">
            <a:solidFill>
              <a:schemeClr val="tx1"/>
            </a:solidFill>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AU" sz="1000">
              <a:solidFill>
                <a:srgbClr val="FF0000"/>
              </a:solidFill>
              <a:latin typeface="Arial" pitchFamily="34" charset="0"/>
              <a:ea typeface="+mn-ea"/>
              <a:cs typeface="Arial" pitchFamily="34" charset="0"/>
            </a:rPr>
            <a:t>=&gt; </a:t>
          </a:r>
          <a:r>
            <a:rPr lang="de-DE" sz="1000">
              <a:solidFill>
                <a:srgbClr val="FF0000"/>
              </a:solidFill>
              <a:latin typeface="Arial" pitchFamily="34" charset="0"/>
              <a:ea typeface="+mn-ea"/>
              <a:cs typeface="Arial" pitchFamily="34" charset="0"/>
            </a:rPr>
            <a:t> fill in your own contact data here !</a:t>
          </a:r>
        </a:p>
      </xdr:txBody>
    </xdr:sp>
    <xdr:clientData/>
  </xdr:twoCellAnchor>
  <xdr:twoCellAnchor>
    <xdr:from>
      <xdr:col>3</xdr:col>
      <xdr:colOff>361950</xdr:colOff>
      <xdr:row>4</xdr:row>
      <xdr:rowOff>38100</xdr:rowOff>
    </xdr:from>
    <xdr:to>
      <xdr:col>3</xdr:col>
      <xdr:colOff>361950</xdr:colOff>
      <xdr:row>6</xdr:row>
      <xdr:rowOff>0</xdr:rowOff>
    </xdr:to>
    <xdr:pic>
      <xdr:nvPicPr>
        <xdr:cNvPr id="5" name="Picture 4" descr="UNIchip_Logo40grau">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1075" y="628650"/>
          <a:ext cx="0" cy="628877"/>
        </a:xfrm>
        <a:prstGeom prst="rect">
          <a:avLst/>
        </a:prstGeom>
        <a:noFill/>
      </xdr:spPr>
    </xdr:pic>
    <xdr:clientData/>
  </xdr:twoCellAnchor>
  <xdr:twoCellAnchor>
    <xdr:from>
      <xdr:col>10</xdr:col>
      <xdr:colOff>700150</xdr:colOff>
      <xdr:row>3</xdr:row>
      <xdr:rowOff>143199</xdr:rowOff>
    </xdr:from>
    <xdr:to>
      <xdr:col>13</xdr:col>
      <xdr:colOff>129639</xdr:colOff>
      <xdr:row>7</xdr:row>
      <xdr:rowOff>176845</xdr:rowOff>
    </xdr:to>
    <xdr:pic>
      <xdr:nvPicPr>
        <xdr:cNvPr id="11" name="Grafik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52114" y="537806"/>
          <a:ext cx="2722418" cy="11222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6</xdr:row>
      <xdr:rowOff>0</xdr:rowOff>
    </xdr:from>
    <xdr:to>
      <xdr:col>15</xdr:col>
      <xdr:colOff>0</xdr:colOff>
      <xdr:row>19</xdr:row>
      <xdr:rowOff>1</xdr:rowOff>
    </xdr:to>
    <xdr:sp macro="" textlink="">
      <xdr:nvSpPr>
        <xdr:cNvPr id="2" name="Rectangle 1"/>
        <xdr:cNvSpPr>
          <a:spLocks noChangeArrowheads="1"/>
        </xdr:cNvSpPr>
      </xdr:nvSpPr>
      <xdr:spPr bwMode="auto">
        <a:xfrm>
          <a:off x="714375" y="1485900"/>
          <a:ext cx="4762500" cy="3000376"/>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369793</xdr:colOff>
      <xdr:row>29</xdr:row>
      <xdr:rowOff>1</xdr:rowOff>
    </xdr:from>
    <xdr:to>
      <xdr:col>40</xdr:col>
      <xdr:colOff>0</xdr:colOff>
      <xdr:row>55</xdr:row>
      <xdr:rowOff>1</xdr:rowOff>
    </xdr:to>
    <xdr:sp macro="" textlink="">
      <xdr:nvSpPr>
        <xdr:cNvPr id="3" name="Rectangle 1"/>
        <xdr:cNvSpPr>
          <a:spLocks noChangeArrowheads="1"/>
        </xdr:cNvSpPr>
      </xdr:nvSpPr>
      <xdr:spPr bwMode="auto">
        <a:xfrm>
          <a:off x="717175" y="6443383"/>
          <a:ext cx="13402237" cy="4773706"/>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57</xdr:row>
      <xdr:rowOff>0</xdr:rowOff>
    </xdr:from>
    <xdr:to>
      <xdr:col>36</xdr:col>
      <xdr:colOff>0</xdr:colOff>
      <xdr:row>85</xdr:row>
      <xdr:rowOff>0</xdr:rowOff>
    </xdr:to>
    <xdr:sp macro="" textlink="">
      <xdr:nvSpPr>
        <xdr:cNvPr id="4" name="Rectangle 1"/>
        <xdr:cNvSpPr>
          <a:spLocks noChangeArrowheads="1"/>
        </xdr:cNvSpPr>
      </xdr:nvSpPr>
      <xdr:spPr bwMode="auto">
        <a:xfrm>
          <a:off x="717176" y="11923059"/>
          <a:ext cx="12976412" cy="6320117"/>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111</xdr:row>
      <xdr:rowOff>0</xdr:rowOff>
    </xdr:from>
    <xdr:to>
      <xdr:col>19</xdr:col>
      <xdr:colOff>0</xdr:colOff>
      <xdr:row>130</xdr:row>
      <xdr:rowOff>0</xdr:rowOff>
    </xdr:to>
    <xdr:sp macro="" textlink="">
      <xdr:nvSpPr>
        <xdr:cNvPr id="5" name="Rectangle 1"/>
        <xdr:cNvSpPr>
          <a:spLocks noChangeArrowheads="1"/>
        </xdr:cNvSpPr>
      </xdr:nvSpPr>
      <xdr:spPr bwMode="auto">
        <a:xfrm>
          <a:off x="714375" y="22717125"/>
          <a:ext cx="6619875" cy="401955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6</xdr:row>
      <xdr:rowOff>0</xdr:rowOff>
    </xdr:from>
    <xdr:to>
      <xdr:col>40</xdr:col>
      <xdr:colOff>0</xdr:colOff>
      <xdr:row>19</xdr:row>
      <xdr:rowOff>0</xdr:rowOff>
    </xdr:to>
    <xdr:sp macro="" textlink="">
      <xdr:nvSpPr>
        <xdr:cNvPr id="7" name="Rectangle 1"/>
        <xdr:cNvSpPr>
          <a:spLocks noChangeArrowheads="1"/>
        </xdr:cNvSpPr>
      </xdr:nvSpPr>
      <xdr:spPr bwMode="auto">
        <a:xfrm>
          <a:off x="7515225" y="1485900"/>
          <a:ext cx="6334125" cy="3000375"/>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347382</xdr:colOff>
      <xdr:row>88</xdr:row>
      <xdr:rowOff>214593</xdr:rowOff>
    </xdr:from>
    <xdr:to>
      <xdr:col>36</xdr:col>
      <xdr:colOff>0</xdr:colOff>
      <xdr:row>108</xdr:row>
      <xdr:rowOff>1</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111</xdr:row>
      <xdr:rowOff>0</xdr:rowOff>
    </xdr:from>
    <xdr:to>
      <xdr:col>40</xdr:col>
      <xdr:colOff>0</xdr:colOff>
      <xdr:row>130</xdr:row>
      <xdr:rowOff>0</xdr:rowOff>
    </xdr:to>
    <xdr:sp macro="" textlink="">
      <xdr:nvSpPr>
        <xdr:cNvPr id="9" name="Rectangle 1"/>
        <xdr:cNvSpPr>
          <a:spLocks noChangeArrowheads="1"/>
        </xdr:cNvSpPr>
      </xdr:nvSpPr>
      <xdr:spPr bwMode="auto">
        <a:xfrm>
          <a:off x="7351059" y="17279471"/>
          <a:ext cx="6958853" cy="432547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21</xdr:row>
      <xdr:rowOff>0</xdr:rowOff>
    </xdr:from>
    <xdr:to>
      <xdr:col>35</xdr:col>
      <xdr:colOff>0</xdr:colOff>
      <xdr:row>28</xdr:row>
      <xdr:rowOff>0</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20</xdr:row>
      <xdr:rowOff>219074</xdr:rowOff>
    </xdr:from>
    <xdr:to>
      <xdr:col>40</xdr:col>
      <xdr:colOff>0</xdr:colOff>
      <xdr:row>27</xdr:row>
      <xdr:rowOff>219074</xdr:rowOff>
    </xdr:to>
    <xdr:sp macro="" textlink="">
      <xdr:nvSpPr>
        <xdr:cNvPr id="11" name="Rectangle 1"/>
        <xdr:cNvSpPr>
          <a:spLocks noChangeArrowheads="1"/>
        </xdr:cNvSpPr>
      </xdr:nvSpPr>
      <xdr:spPr bwMode="auto">
        <a:xfrm>
          <a:off x="714375" y="4924424"/>
          <a:ext cx="13134975" cy="144780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xdr:row>
      <xdr:rowOff>0</xdr:rowOff>
    </xdr:from>
    <xdr:to>
      <xdr:col>40</xdr:col>
      <xdr:colOff>0</xdr:colOff>
      <xdr:row>4</xdr:row>
      <xdr:rowOff>255058</xdr:rowOff>
    </xdr:to>
    <xdr:sp macro="" textlink="">
      <xdr:nvSpPr>
        <xdr:cNvPr id="12" name="Rectangle 1"/>
        <xdr:cNvSpPr>
          <a:spLocks noChangeArrowheads="1"/>
        </xdr:cNvSpPr>
      </xdr:nvSpPr>
      <xdr:spPr bwMode="auto">
        <a:xfrm>
          <a:off x="714375" y="466725"/>
          <a:ext cx="13134975" cy="788458"/>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177</xdr:row>
      <xdr:rowOff>0</xdr:rowOff>
    </xdr:from>
    <xdr:to>
      <xdr:col>40</xdr:col>
      <xdr:colOff>0</xdr:colOff>
      <xdr:row>199</xdr:row>
      <xdr:rowOff>0</xdr:rowOff>
    </xdr:to>
    <xdr:sp macro="" textlink="">
      <xdr:nvSpPr>
        <xdr:cNvPr id="13" name="Rectangle 1"/>
        <xdr:cNvSpPr>
          <a:spLocks noChangeArrowheads="1"/>
        </xdr:cNvSpPr>
      </xdr:nvSpPr>
      <xdr:spPr bwMode="auto">
        <a:xfrm>
          <a:off x="714375" y="32146875"/>
          <a:ext cx="13392150" cy="398145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132</xdr:row>
      <xdr:rowOff>0</xdr:rowOff>
    </xdr:from>
    <xdr:to>
      <xdr:col>40</xdr:col>
      <xdr:colOff>0</xdr:colOff>
      <xdr:row>174</xdr:row>
      <xdr:rowOff>0</xdr:rowOff>
    </xdr:to>
    <xdr:sp macro="" textlink="">
      <xdr:nvSpPr>
        <xdr:cNvPr id="14" name="Rectangle 1"/>
        <xdr:cNvSpPr>
          <a:spLocks noChangeArrowheads="1"/>
        </xdr:cNvSpPr>
      </xdr:nvSpPr>
      <xdr:spPr bwMode="auto">
        <a:xfrm>
          <a:off x="714375" y="17897475"/>
          <a:ext cx="13134975" cy="5381625"/>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136</xdr:row>
      <xdr:rowOff>219074</xdr:rowOff>
    </xdr:from>
    <xdr:to>
      <xdr:col>40</xdr:col>
      <xdr:colOff>0</xdr:colOff>
      <xdr:row>172</xdr:row>
      <xdr:rowOff>219074</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40022</xdr:colOff>
      <xdr:row>7</xdr:row>
      <xdr:rowOff>98370</xdr:rowOff>
    </xdr:from>
    <xdr:to>
      <xdr:col>39</xdr:col>
      <xdr:colOff>0</xdr:colOff>
      <xdr:row>19</xdr:row>
      <xdr:rowOff>0</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56029</xdr:colOff>
      <xdr:row>111</xdr:row>
      <xdr:rowOff>67235</xdr:rowOff>
    </xdr:from>
    <xdr:to>
      <xdr:col>40</xdr:col>
      <xdr:colOff>0</xdr:colOff>
      <xdr:row>129</xdr:row>
      <xdr:rowOff>100852</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86</xdr:row>
      <xdr:rowOff>219074</xdr:rowOff>
    </xdr:from>
    <xdr:to>
      <xdr:col>36</xdr:col>
      <xdr:colOff>0</xdr:colOff>
      <xdr:row>108</xdr:row>
      <xdr:rowOff>114299</xdr:rowOff>
    </xdr:to>
    <xdr:sp macro="" textlink="">
      <xdr:nvSpPr>
        <xdr:cNvPr id="24" name="Rectangle 1"/>
        <xdr:cNvSpPr>
          <a:spLocks noChangeArrowheads="1"/>
        </xdr:cNvSpPr>
      </xdr:nvSpPr>
      <xdr:spPr bwMode="auto">
        <a:xfrm>
          <a:off x="714375" y="16687799"/>
          <a:ext cx="12220575" cy="4714875"/>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253254</xdr:colOff>
      <xdr:row>67</xdr:row>
      <xdr:rowOff>197224</xdr:rowOff>
    </xdr:from>
    <xdr:to>
      <xdr:col>35</xdr:col>
      <xdr:colOff>59393</xdr:colOff>
      <xdr:row>70</xdr:row>
      <xdr:rowOff>150159</xdr:rowOff>
    </xdr:to>
    <xdr:sp macro="" textlink="">
      <xdr:nvSpPr>
        <xdr:cNvPr id="26" name="Textfeld 25">
          <a:hlinkClick xmlns:r="http://schemas.openxmlformats.org/officeDocument/2006/relationships" r:id="rId6" tooltip="Get full commercial version"/>
        </xdr:cNvPr>
        <xdr:cNvSpPr txBox="1"/>
      </xdr:nvSpPr>
      <xdr:spPr>
        <a:xfrm rot="19954086">
          <a:off x="8702489" y="14406283"/>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19</xdr:col>
      <xdr:colOff>203948</xdr:colOff>
      <xdr:row>94</xdr:row>
      <xdr:rowOff>215154</xdr:rowOff>
    </xdr:from>
    <xdr:to>
      <xdr:col>32</xdr:col>
      <xdr:colOff>189382</xdr:colOff>
      <xdr:row>97</xdr:row>
      <xdr:rowOff>168089</xdr:rowOff>
    </xdr:to>
    <xdr:sp macro="" textlink="">
      <xdr:nvSpPr>
        <xdr:cNvPr id="27" name="Textfeld 26">
          <a:hlinkClick xmlns:r="http://schemas.openxmlformats.org/officeDocument/2006/relationships" r:id="rId6" tooltip="Get full commercial version"/>
        </xdr:cNvPr>
        <xdr:cNvSpPr txBox="1"/>
      </xdr:nvSpPr>
      <xdr:spPr>
        <a:xfrm rot="19954086">
          <a:off x="7644654" y="20408154"/>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1</xdr:col>
      <xdr:colOff>276225</xdr:colOff>
      <xdr:row>200</xdr:row>
      <xdr:rowOff>180975</xdr:rowOff>
    </xdr:from>
    <xdr:to>
      <xdr:col>40</xdr:col>
      <xdr:colOff>112464</xdr:colOff>
      <xdr:row>219</xdr:row>
      <xdr:rowOff>189968</xdr:rowOff>
    </xdr:to>
    <xdr:pic>
      <xdr:nvPicPr>
        <xdr:cNvPr id="6" name="Grafik 5">
          <a:hlinkClick xmlns:r="http://schemas.openxmlformats.org/officeDocument/2006/relationships" r:id="rId6" tooltip="Get full commercial version"/>
        </xdr:cNvPr>
        <xdr:cNvPicPr>
          <a:picLocks noChangeAspect="1"/>
        </xdr:cNvPicPr>
      </xdr:nvPicPr>
      <xdr:blipFill>
        <a:blip xmlns:r="http://schemas.openxmlformats.org/officeDocument/2006/relationships" r:embed="rId7"/>
        <a:stretch>
          <a:fillRect/>
        </a:stretch>
      </xdr:blipFill>
      <xdr:spPr>
        <a:xfrm>
          <a:off x="619125" y="42319575"/>
          <a:ext cx="14685714" cy="4257143"/>
        </a:xfrm>
        <a:prstGeom prst="rect">
          <a:avLst/>
        </a:prstGeom>
      </xdr:spPr>
    </xdr:pic>
    <xdr:clientData/>
  </xdr:twoCellAnchor>
  <xdr:twoCellAnchor editAs="oneCell">
    <xdr:from>
      <xdr:col>1</xdr:col>
      <xdr:colOff>219075</xdr:colOff>
      <xdr:row>220</xdr:row>
      <xdr:rowOff>85725</xdr:rowOff>
    </xdr:from>
    <xdr:to>
      <xdr:col>40</xdr:col>
      <xdr:colOff>112457</xdr:colOff>
      <xdr:row>246</xdr:row>
      <xdr:rowOff>161195</xdr:rowOff>
    </xdr:to>
    <xdr:pic>
      <xdr:nvPicPr>
        <xdr:cNvPr id="16" name="Grafik 15">
          <a:hlinkClick xmlns:r="http://schemas.openxmlformats.org/officeDocument/2006/relationships" r:id="rId6" tooltip="Get full commercial version"/>
        </xdr:cNvPr>
        <xdr:cNvPicPr>
          <a:picLocks noChangeAspect="1"/>
        </xdr:cNvPicPr>
      </xdr:nvPicPr>
      <xdr:blipFill>
        <a:blip xmlns:r="http://schemas.openxmlformats.org/officeDocument/2006/relationships" r:embed="rId8"/>
        <a:stretch>
          <a:fillRect/>
        </a:stretch>
      </xdr:blipFill>
      <xdr:spPr>
        <a:xfrm>
          <a:off x="561975" y="46691550"/>
          <a:ext cx="14742857" cy="58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1</xdr:row>
      <xdr:rowOff>27215</xdr:rowOff>
    </xdr:from>
    <xdr:to>
      <xdr:col>17</xdr:col>
      <xdr:colOff>133511</xdr:colOff>
      <xdr:row>3</xdr:row>
      <xdr:rowOff>203468</xdr:rowOff>
    </xdr:to>
    <xdr:sp macro="" textlink="">
      <xdr:nvSpPr>
        <xdr:cNvPr id="2" name="Textfeld 1">
          <a:hlinkClick xmlns:r="http://schemas.openxmlformats.org/officeDocument/2006/relationships" r:id="rId1" tooltip="Get full commercial version"/>
        </xdr:cNvPr>
        <xdr:cNvSpPr txBox="1"/>
      </xdr:nvSpPr>
      <xdr:spPr>
        <a:xfrm>
          <a:off x="7728857" y="285751"/>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54428</xdr:colOff>
      <xdr:row>1</xdr:row>
      <xdr:rowOff>54428</xdr:rowOff>
    </xdr:from>
    <xdr:to>
      <xdr:col>17</xdr:col>
      <xdr:colOff>187940</xdr:colOff>
      <xdr:row>3</xdr:row>
      <xdr:rowOff>230681</xdr:rowOff>
    </xdr:to>
    <xdr:sp macro="" textlink="">
      <xdr:nvSpPr>
        <xdr:cNvPr id="2" name="Textfeld 1">
          <a:hlinkClick xmlns:r="http://schemas.openxmlformats.org/officeDocument/2006/relationships" r:id="rId1" tooltip="Get full commercial version"/>
        </xdr:cNvPr>
        <xdr:cNvSpPr txBox="1"/>
      </xdr:nvSpPr>
      <xdr:spPr>
        <a:xfrm>
          <a:off x="8871857" y="312964"/>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54429</xdr:colOff>
      <xdr:row>1</xdr:row>
      <xdr:rowOff>40821</xdr:rowOff>
    </xdr:from>
    <xdr:to>
      <xdr:col>17</xdr:col>
      <xdr:colOff>187940</xdr:colOff>
      <xdr:row>3</xdr:row>
      <xdr:rowOff>217074</xdr:rowOff>
    </xdr:to>
    <xdr:sp macro="" textlink="">
      <xdr:nvSpPr>
        <xdr:cNvPr id="2" name="Textfeld 1">
          <a:hlinkClick xmlns:r="http://schemas.openxmlformats.org/officeDocument/2006/relationships" r:id="rId1" tooltip="Get full commercial version"/>
        </xdr:cNvPr>
        <xdr:cNvSpPr txBox="1"/>
      </xdr:nvSpPr>
      <xdr:spPr>
        <a:xfrm>
          <a:off x="7892143" y="299357"/>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8</xdr:row>
      <xdr:rowOff>0</xdr:rowOff>
    </xdr:from>
    <xdr:to>
      <xdr:col>19</xdr:col>
      <xdr:colOff>0</xdr:colOff>
      <xdr:row>9</xdr:row>
      <xdr:rowOff>201707</xdr:rowOff>
    </xdr:to>
    <xdr:sp macro="" textlink="">
      <xdr:nvSpPr>
        <xdr:cNvPr id="2" name="Textfeld 1">
          <a:hlinkClick xmlns:r="http://schemas.openxmlformats.org/officeDocument/2006/relationships" r:id="rId1" tooltip="Get full commercial version"/>
        </xdr:cNvPr>
        <xdr:cNvSpPr txBox="1"/>
      </xdr:nvSpPr>
      <xdr:spPr>
        <a:xfrm>
          <a:off x="9267265" y="1826559"/>
          <a:ext cx="7620000" cy="42582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All formulas replaced by values =&gt; full functionality</a:t>
          </a:r>
          <a:r>
            <a:rPr lang="de-DE" sz="1400" b="1" baseline="0">
              <a:solidFill>
                <a:srgbClr val="FF0000"/>
              </a:solidFill>
              <a:latin typeface="Arial" panose="020B0604020202020204" pitchFamily="34" charset="0"/>
              <a:cs typeface="Arial" panose="020B0604020202020204" pitchFamily="34" charset="0"/>
            </a:rPr>
            <a:t> in c</a:t>
          </a:r>
          <a:r>
            <a:rPr lang="de-DE" sz="1400" b="1">
              <a:solidFill>
                <a:srgbClr val="FF0000"/>
              </a:solidFill>
              <a:latin typeface="Arial" panose="020B0604020202020204" pitchFamily="34" charset="0"/>
              <a:cs typeface="Arial" panose="020B0604020202020204" pitchFamily="34" charset="0"/>
            </a:rPr>
            <a:t>ommercial version</a:t>
          </a:r>
          <a:r>
            <a:rPr lang="de-DE" sz="1400" b="1" baseline="0">
              <a:solidFill>
                <a:srgbClr val="FF0000"/>
              </a:solidFill>
              <a:latin typeface="Arial" panose="020B0604020202020204" pitchFamily="34" charset="0"/>
              <a:cs typeface="Arial" panose="020B0604020202020204" pitchFamily="34" charset="0"/>
            </a:rPr>
            <a:t>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fm@excel-financial-model.com" TargetMode="External"/><Relationship Id="rId1" Type="http://schemas.openxmlformats.org/officeDocument/2006/relationships/hyperlink" Target="http://www.excel-financial-mod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omments" Target="../comments3.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imovi">
    <tabColor rgb="FF00B0F0"/>
    <pageSetUpPr fitToPage="1"/>
  </sheetPr>
  <dimension ref="A1:N121"/>
  <sheetViews>
    <sheetView showGridLines="0" showRowColHeaders="0" tabSelected="1" zoomScaleNormal="100" workbookViewId="0">
      <selection activeCell="A2" sqref="A2"/>
    </sheetView>
  </sheetViews>
  <sheetFormatPr baseColWidth="10" defaultColWidth="0" defaultRowHeight="0" customHeight="1" zeroHeight="1"/>
  <cols>
    <col min="1" max="1" width="2" style="878" customWidth="1"/>
    <col min="2" max="2" width="3.85546875" style="878" customWidth="1"/>
    <col min="3" max="12" width="11.42578125" style="878" customWidth="1"/>
    <col min="13" max="13" width="3.85546875" style="878" customWidth="1"/>
    <col min="14" max="14" width="2.7109375" style="878" customWidth="1"/>
    <col min="15" max="16384" width="11.42578125" style="878" hidden="1"/>
  </cols>
  <sheetData>
    <row r="1" spans="1:14" ht="13.5" thickBot="1">
      <c r="A1" s="93"/>
      <c r="B1" s="93"/>
      <c r="C1" s="93"/>
      <c r="D1" s="93"/>
      <c r="E1" s="93"/>
      <c r="F1" s="93"/>
      <c r="G1" s="93"/>
      <c r="H1" s="93"/>
      <c r="I1" s="93"/>
      <c r="J1" s="93"/>
      <c r="K1" s="93"/>
      <c r="L1" s="93"/>
      <c r="M1" s="93"/>
      <c r="N1" s="93"/>
    </row>
    <row r="2" spans="1:14" ht="13.5" thickTop="1">
      <c r="A2" s="93"/>
      <c r="B2" s="94"/>
      <c r="C2" s="95"/>
      <c r="D2" s="95"/>
      <c r="E2" s="95"/>
      <c r="F2" s="95"/>
      <c r="G2" s="95"/>
      <c r="H2" s="95"/>
      <c r="I2" s="95"/>
      <c r="J2" s="95"/>
      <c r="K2" s="95"/>
      <c r="L2" s="95"/>
      <c r="M2" s="96"/>
      <c r="N2" s="93"/>
    </row>
    <row r="3" spans="1:14" ht="17.25" customHeight="1">
      <c r="A3" s="93"/>
      <c r="B3" s="97"/>
      <c r="C3" s="108"/>
      <c r="D3" s="108"/>
      <c r="E3" s="108"/>
      <c r="F3" s="108"/>
      <c r="G3" s="108"/>
      <c r="H3" s="91"/>
      <c r="I3" s="91"/>
      <c r="J3" s="91"/>
      <c r="K3" s="91"/>
      <c r="L3" s="91"/>
      <c r="M3" s="98"/>
      <c r="N3" s="93"/>
    </row>
    <row r="4" spans="1:14" ht="26.25">
      <c r="A4" s="93"/>
      <c r="B4" s="97"/>
      <c r="C4" s="1008" t="s">
        <v>936</v>
      </c>
      <c r="D4" s="108"/>
      <c r="E4" s="108"/>
      <c r="F4" s="108"/>
      <c r="G4" s="108"/>
      <c r="H4" s="91"/>
      <c r="I4" s="91"/>
      <c r="J4" s="91"/>
      <c r="K4" s="91"/>
      <c r="L4" s="91"/>
      <c r="M4" s="98"/>
      <c r="N4" s="93"/>
    </row>
    <row r="5" spans="1:14" ht="28.5">
      <c r="A5" s="93"/>
      <c r="B5" s="97"/>
      <c r="C5" s="1009" t="s">
        <v>941</v>
      </c>
      <c r="D5" s="1010"/>
      <c r="E5" s="1010"/>
      <c r="F5" s="1010"/>
      <c r="G5" s="1010"/>
      <c r="H5" s="99"/>
      <c r="I5" s="91"/>
      <c r="J5" s="91"/>
      <c r="K5" s="91"/>
      <c r="L5" s="91"/>
      <c r="M5" s="98"/>
      <c r="N5" s="93"/>
    </row>
    <row r="6" spans="1:14" ht="28.5">
      <c r="A6" s="93"/>
      <c r="B6" s="97"/>
      <c r="C6" s="1011" t="s">
        <v>937</v>
      </c>
      <c r="D6" s="91"/>
      <c r="E6" s="91"/>
      <c r="F6" s="91"/>
      <c r="G6" s="91"/>
      <c r="H6" s="91"/>
      <c r="I6" s="91"/>
      <c r="J6" s="91"/>
      <c r="K6" s="91"/>
      <c r="L6" s="91"/>
      <c r="M6" s="98"/>
      <c r="N6" s="93"/>
    </row>
    <row r="7" spans="1:14" ht="12.75">
      <c r="A7" s="93"/>
      <c r="B7" s="97"/>
      <c r="C7" s="91"/>
      <c r="D7" s="91"/>
      <c r="E7" s="91"/>
      <c r="F7" s="91"/>
      <c r="G7" s="91"/>
      <c r="H7" s="91"/>
      <c r="I7" s="91"/>
      <c r="J7" s="91"/>
      <c r="K7" s="91"/>
      <c r="L7" s="91"/>
      <c r="M7" s="98"/>
      <c r="N7" s="93"/>
    </row>
    <row r="8" spans="1:14" ht="12.75">
      <c r="A8" s="93"/>
      <c r="B8" s="100"/>
      <c r="C8" s="101"/>
      <c r="D8" s="101"/>
      <c r="E8" s="101"/>
      <c r="F8" s="101"/>
      <c r="G8" s="101"/>
      <c r="H8" s="101"/>
      <c r="I8" s="101"/>
      <c r="J8" s="101"/>
      <c r="K8" s="101"/>
      <c r="L8" s="101"/>
      <c r="M8" s="102"/>
      <c r="N8" s="93"/>
    </row>
    <row r="9" spans="1:14" ht="15" customHeight="1">
      <c r="A9" s="93"/>
      <c r="B9" s="97"/>
      <c r="C9" s="91"/>
      <c r="D9" s="91"/>
      <c r="E9" s="91"/>
      <c r="F9" s="91"/>
      <c r="G9" s="91"/>
      <c r="H9" s="91"/>
      <c r="I9" s="91"/>
      <c r="J9" s="91"/>
      <c r="K9" s="91"/>
      <c r="L9" s="91"/>
      <c r="M9" s="98"/>
      <c r="N9" s="93"/>
    </row>
    <row r="10" spans="1:14" ht="15" customHeight="1">
      <c r="A10" s="93"/>
      <c r="B10" s="97"/>
      <c r="D10" s="240"/>
      <c r="E10" s="91"/>
      <c r="F10" s="91"/>
      <c r="G10" s="91"/>
      <c r="H10" s="91"/>
      <c r="I10" s="91"/>
      <c r="J10" s="1102" t="s">
        <v>1068</v>
      </c>
      <c r="K10" s="1102"/>
      <c r="L10" s="473"/>
      <c r="M10" s="98"/>
      <c r="N10" s="93"/>
    </row>
    <row r="11" spans="1:14" ht="22.5" customHeight="1">
      <c r="A11" s="93"/>
      <c r="B11" s="97"/>
      <c r="C11" s="1103" t="s">
        <v>1073</v>
      </c>
      <c r="D11" s="91"/>
      <c r="F11" s="91"/>
      <c r="G11" s="91"/>
      <c r="H11" s="91"/>
      <c r="I11" s="91"/>
      <c r="J11" s="91"/>
      <c r="K11" s="91"/>
      <c r="L11" s="91"/>
      <c r="M11" s="98"/>
      <c r="N11" s="93"/>
    </row>
    <row r="12" spans="1:14" ht="15" customHeight="1">
      <c r="A12" s="93"/>
      <c r="B12" s="97"/>
      <c r="C12" s="203"/>
      <c r="D12" s="91"/>
      <c r="F12" s="91"/>
      <c r="G12" s="91"/>
      <c r="H12" s="91"/>
      <c r="I12" s="91"/>
      <c r="J12" s="91"/>
      <c r="K12" s="91"/>
      <c r="L12" s="91"/>
      <c r="M12" s="98"/>
      <c r="N12" s="93"/>
    </row>
    <row r="13" spans="1:14" ht="25.5" customHeight="1">
      <c r="A13" s="93"/>
      <c r="B13" s="97"/>
      <c r="C13" s="203" t="s">
        <v>680</v>
      </c>
      <c r="D13" s="91"/>
      <c r="F13" s="91"/>
      <c r="G13" s="91"/>
      <c r="H13" s="91"/>
      <c r="I13" s="91"/>
      <c r="J13" s="91"/>
      <c r="K13" s="91"/>
      <c r="L13" s="91"/>
      <c r="M13" s="98"/>
      <c r="N13" s="93"/>
    </row>
    <row r="14" spans="1:14" ht="25.5" customHeight="1">
      <c r="A14" s="93"/>
      <c r="B14" s="97"/>
      <c r="C14" s="203" t="s">
        <v>938</v>
      </c>
      <c r="D14" s="91"/>
      <c r="F14" s="91"/>
      <c r="G14" s="91"/>
      <c r="H14" s="91"/>
      <c r="I14" s="91"/>
      <c r="J14" s="91"/>
      <c r="K14" s="91"/>
      <c r="L14" s="91"/>
      <c r="M14" s="98"/>
      <c r="N14" s="93"/>
    </row>
    <row r="15" spans="1:14" ht="15" customHeight="1">
      <c r="A15" s="93"/>
      <c r="B15" s="97"/>
      <c r="C15" s="91"/>
      <c r="D15" s="91"/>
      <c r="E15" s="103"/>
      <c r="F15" s="103"/>
      <c r="G15" s="103"/>
      <c r="H15" s="91"/>
      <c r="I15" s="91"/>
      <c r="J15" s="91"/>
      <c r="K15" s="91"/>
      <c r="L15" s="91"/>
      <c r="M15" s="98"/>
      <c r="N15" s="93"/>
    </row>
    <row r="16" spans="1:14" ht="15" customHeight="1">
      <c r="A16" s="93"/>
      <c r="B16" s="97"/>
      <c r="C16" s="91"/>
      <c r="D16" s="91"/>
      <c r="E16" s="91"/>
      <c r="F16" s="91"/>
      <c r="G16" s="91"/>
      <c r="H16" s="91"/>
      <c r="I16" s="91"/>
      <c r="J16" s="91"/>
      <c r="K16" s="91"/>
      <c r="L16" s="91"/>
      <c r="M16" s="98"/>
      <c r="N16" s="93"/>
    </row>
    <row r="17" spans="1:14" ht="28.5">
      <c r="A17" s="93"/>
      <c r="B17" s="100"/>
      <c r="C17" s="104" t="s">
        <v>669</v>
      </c>
      <c r="D17" s="105"/>
      <c r="E17" s="105"/>
      <c r="F17" s="101"/>
      <c r="G17" s="101"/>
      <c r="H17" s="101"/>
      <c r="I17" s="101"/>
      <c r="J17" s="101"/>
      <c r="K17" s="101"/>
      <c r="L17" s="101"/>
      <c r="M17" s="102"/>
      <c r="N17" s="93"/>
    </row>
    <row r="18" spans="1:14" ht="15" customHeight="1">
      <c r="A18" s="93"/>
      <c r="B18" s="97"/>
      <c r="C18" s="91"/>
      <c r="D18" s="91"/>
      <c r="E18" s="91"/>
      <c r="F18" s="91"/>
      <c r="G18" s="91"/>
      <c r="H18" s="91"/>
      <c r="I18" s="91"/>
      <c r="J18" s="91"/>
      <c r="K18" s="91"/>
      <c r="L18" s="91"/>
      <c r="M18" s="98"/>
      <c r="N18" s="93"/>
    </row>
    <row r="19" spans="1:14" ht="15" customHeight="1">
      <c r="A19" s="93"/>
      <c r="B19" s="97"/>
      <c r="C19" s="91"/>
      <c r="D19" s="91"/>
      <c r="E19" s="91"/>
      <c r="F19" s="91"/>
      <c r="G19" s="91"/>
      <c r="H19" s="91"/>
      <c r="I19" s="91"/>
      <c r="J19" s="91"/>
      <c r="K19" s="91"/>
      <c r="L19" s="91"/>
      <c r="M19" s="98"/>
      <c r="N19" s="93"/>
    </row>
    <row r="20" spans="1:14" ht="15" customHeight="1">
      <c r="A20" s="93"/>
      <c r="B20" s="97"/>
      <c r="C20" s="91"/>
      <c r="D20" s="91"/>
      <c r="E20" s="91"/>
      <c r="F20" s="91"/>
      <c r="G20" s="91"/>
      <c r="H20" s="91"/>
      <c r="I20" s="91"/>
      <c r="J20" s="91"/>
      <c r="K20" s="91"/>
      <c r="L20" s="91"/>
      <c r="M20" s="98"/>
      <c r="N20" s="93"/>
    </row>
    <row r="21" spans="1:14" ht="15" customHeight="1">
      <c r="A21" s="93"/>
      <c r="B21" s="97"/>
      <c r="C21" s="91"/>
      <c r="D21" s="91"/>
      <c r="E21" s="91"/>
      <c r="F21" s="91"/>
      <c r="G21" s="91"/>
      <c r="H21" s="91"/>
      <c r="I21" s="91"/>
      <c r="J21" s="91"/>
      <c r="K21" s="91"/>
      <c r="L21" s="91"/>
      <c r="M21" s="98"/>
      <c r="N21" s="93"/>
    </row>
    <row r="22" spans="1:14" ht="15" customHeight="1">
      <c r="A22" s="93"/>
      <c r="B22" s="97"/>
      <c r="C22" s="91"/>
      <c r="D22" s="91"/>
      <c r="E22" s="91"/>
      <c r="F22" s="91"/>
      <c r="G22" s="91"/>
      <c r="H22" s="91"/>
      <c r="I22" s="91"/>
      <c r="J22" s="91"/>
      <c r="K22" s="91"/>
      <c r="L22" s="91"/>
      <c r="M22" s="98"/>
      <c r="N22" s="93"/>
    </row>
    <row r="23" spans="1:14" ht="15" customHeight="1">
      <c r="A23" s="93"/>
      <c r="B23" s="97"/>
      <c r="C23" s="91"/>
      <c r="D23" s="91"/>
      <c r="E23" s="91"/>
      <c r="F23" s="91"/>
      <c r="G23" s="91"/>
      <c r="H23" s="91"/>
      <c r="I23" s="91"/>
      <c r="J23" s="91"/>
      <c r="K23" s="91"/>
      <c r="L23" s="91"/>
      <c r="M23" s="98"/>
      <c r="N23" s="93"/>
    </row>
    <row r="24" spans="1:14" ht="15" customHeight="1">
      <c r="A24" s="93"/>
      <c r="B24" s="97"/>
      <c r="C24" s="91"/>
      <c r="D24" s="91"/>
      <c r="E24" s="91"/>
      <c r="F24" s="91"/>
      <c r="G24" s="91"/>
      <c r="H24" s="91"/>
      <c r="I24" s="91"/>
      <c r="J24" s="91"/>
      <c r="K24" s="91"/>
      <c r="L24" s="91"/>
      <c r="M24" s="98"/>
      <c r="N24" s="93"/>
    </row>
    <row r="25" spans="1:14" ht="15" customHeight="1">
      <c r="A25" s="93"/>
      <c r="B25" s="97"/>
      <c r="C25" s="91"/>
      <c r="D25" s="91"/>
      <c r="E25" s="91"/>
      <c r="F25" s="91"/>
      <c r="G25" s="91"/>
      <c r="H25" s="91"/>
      <c r="I25" s="91"/>
      <c r="J25" s="91"/>
      <c r="K25" s="91"/>
      <c r="L25" s="91"/>
      <c r="M25" s="98"/>
      <c r="N25" s="93"/>
    </row>
    <row r="26" spans="1:14" ht="15" customHeight="1">
      <c r="A26" s="93"/>
      <c r="B26" s="97"/>
      <c r="C26" s="91"/>
      <c r="D26" s="91"/>
      <c r="E26" s="91"/>
      <c r="F26" s="91"/>
      <c r="G26" s="91"/>
      <c r="H26" s="91"/>
      <c r="I26" s="91"/>
      <c r="J26" s="91"/>
      <c r="K26" s="91"/>
      <c r="L26" s="91"/>
      <c r="M26" s="98"/>
      <c r="N26" s="93"/>
    </row>
    <row r="27" spans="1:14" ht="15" customHeight="1">
      <c r="A27" s="93"/>
      <c r="B27" s="97"/>
      <c r="C27" s="91"/>
      <c r="D27" s="91"/>
      <c r="E27" s="91"/>
      <c r="F27" s="91"/>
      <c r="G27" s="91"/>
      <c r="H27" s="91"/>
      <c r="I27" s="91"/>
      <c r="J27" s="91"/>
      <c r="K27" s="91"/>
      <c r="L27" s="91"/>
      <c r="M27" s="98"/>
      <c r="N27" s="93"/>
    </row>
    <row r="28" spans="1:14" ht="15" customHeight="1">
      <c r="A28" s="93"/>
      <c r="B28" s="97"/>
      <c r="C28" s="91"/>
      <c r="D28" s="91"/>
      <c r="E28" s="91"/>
      <c r="F28" s="91"/>
      <c r="G28" s="91"/>
      <c r="H28" s="91"/>
      <c r="I28" s="91"/>
      <c r="J28" s="91"/>
      <c r="K28" s="91"/>
      <c r="L28" s="91"/>
      <c r="M28" s="98"/>
      <c r="N28" s="93"/>
    </row>
    <row r="29" spans="1:14" ht="15" customHeight="1">
      <c r="A29" s="93"/>
      <c r="B29" s="97"/>
      <c r="C29" s="91"/>
      <c r="D29" s="91"/>
      <c r="E29" s="91"/>
      <c r="F29" s="91"/>
      <c r="G29" s="91"/>
      <c r="H29" s="91"/>
      <c r="I29" s="91"/>
      <c r="J29" s="91"/>
      <c r="K29" s="91"/>
      <c r="L29" s="91"/>
      <c r="M29" s="98"/>
      <c r="N29" s="93"/>
    </row>
    <row r="30" spans="1:14" ht="15" customHeight="1">
      <c r="A30" s="93"/>
      <c r="B30" s="97"/>
      <c r="C30" s="91"/>
      <c r="D30" s="91"/>
      <c r="E30" s="91"/>
      <c r="F30" s="91"/>
      <c r="G30" s="91"/>
      <c r="H30" s="91"/>
      <c r="I30" s="91"/>
      <c r="J30" s="91"/>
      <c r="K30" s="91"/>
      <c r="L30" s="91"/>
      <c r="M30" s="98"/>
      <c r="N30" s="93"/>
    </row>
    <row r="31" spans="1:14" ht="15" customHeight="1">
      <c r="A31" s="93"/>
      <c r="B31" s="97"/>
      <c r="C31" s="91"/>
      <c r="D31" s="91"/>
      <c r="E31" s="91"/>
      <c r="F31" s="91"/>
      <c r="G31" s="91"/>
      <c r="H31" s="91"/>
      <c r="I31" s="91"/>
      <c r="J31" s="91"/>
      <c r="K31" s="91"/>
      <c r="L31" s="91"/>
      <c r="M31" s="98"/>
      <c r="N31" s="93"/>
    </row>
    <row r="32" spans="1:14" ht="15" customHeight="1">
      <c r="A32" s="93"/>
      <c r="B32" s="97"/>
      <c r="C32" s="91"/>
      <c r="D32" s="91"/>
      <c r="E32" s="91"/>
      <c r="F32" s="91"/>
      <c r="G32" s="91"/>
      <c r="H32" s="91"/>
      <c r="I32" s="91"/>
      <c r="J32" s="91"/>
      <c r="K32" s="91"/>
      <c r="L32" s="91"/>
      <c r="M32" s="98"/>
      <c r="N32" s="93"/>
    </row>
    <row r="33" spans="1:14" ht="15" customHeight="1">
      <c r="A33" s="93"/>
      <c r="B33" s="97"/>
      <c r="C33" s="91"/>
      <c r="D33" s="91"/>
      <c r="E33" s="91"/>
      <c r="F33" s="91"/>
      <c r="G33" s="91"/>
      <c r="H33" s="91"/>
      <c r="I33" s="91"/>
      <c r="J33" s="91"/>
      <c r="K33" s="91"/>
      <c r="L33" s="91"/>
      <c r="M33" s="98"/>
      <c r="N33" s="93"/>
    </row>
    <row r="34" spans="1:14" ht="15" customHeight="1">
      <c r="A34" s="93"/>
      <c r="B34" s="97"/>
      <c r="C34" s="91"/>
      <c r="D34" s="91"/>
      <c r="E34" s="91"/>
      <c r="F34" s="91"/>
      <c r="G34" s="91"/>
      <c r="H34" s="91"/>
      <c r="I34" s="91"/>
      <c r="J34" s="91"/>
      <c r="K34" s="91"/>
      <c r="L34" s="91"/>
      <c r="M34" s="98"/>
      <c r="N34" s="93"/>
    </row>
    <row r="35" spans="1:14" ht="15" customHeight="1">
      <c r="A35" s="93"/>
      <c r="B35" s="97"/>
      <c r="C35" s="91"/>
      <c r="D35" s="91"/>
      <c r="E35" s="91"/>
      <c r="F35" s="91"/>
      <c r="G35" s="91"/>
      <c r="H35" s="91"/>
      <c r="I35" s="91"/>
      <c r="J35" s="91"/>
      <c r="K35" s="91"/>
      <c r="L35" s="91"/>
      <c r="M35" s="98"/>
      <c r="N35" s="93"/>
    </row>
    <row r="36" spans="1:14" ht="15" customHeight="1">
      <c r="A36" s="93"/>
      <c r="B36" s="97"/>
      <c r="C36" s="91"/>
      <c r="D36" s="91"/>
      <c r="E36" s="91"/>
      <c r="F36" s="91"/>
      <c r="G36" s="91"/>
      <c r="H36" s="91"/>
      <c r="I36" s="91"/>
      <c r="J36" s="91"/>
      <c r="K36" s="91"/>
      <c r="L36" s="91"/>
      <c r="M36" s="98"/>
      <c r="N36" s="93"/>
    </row>
    <row r="37" spans="1:14" ht="15" customHeight="1">
      <c r="A37" s="93"/>
      <c r="B37" s="97"/>
      <c r="C37" s="91"/>
      <c r="D37" s="91"/>
      <c r="E37" s="91"/>
      <c r="F37" s="91"/>
      <c r="G37" s="91"/>
      <c r="H37" s="91"/>
      <c r="I37" s="91"/>
      <c r="J37" s="91"/>
      <c r="K37" s="91"/>
      <c r="L37" s="91"/>
      <c r="M37" s="98"/>
      <c r="N37" s="93"/>
    </row>
    <row r="38" spans="1:14" ht="15" customHeight="1">
      <c r="A38" s="93"/>
      <c r="B38" s="97"/>
      <c r="C38" s="91"/>
      <c r="D38" s="91"/>
      <c r="E38" s="91"/>
      <c r="F38" s="91"/>
      <c r="G38" s="91"/>
      <c r="H38" s="91"/>
      <c r="I38" s="91"/>
      <c r="J38" s="91"/>
      <c r="K38" s="91"/>
      <c r="L38" s="91"/>
      <c r="M38" s="98"/>
      <c r="N38" s="93"/>
    </row>
    <row r="39" spans="1:14" ht="15" customHeight="1">
      <c r="A39" s="93"/>
      <c r="B39" s="97"/>
      <c r="C39" s="91"/>
      <c r="D39" s="91"/>
      <c r="E39" s="91"/>
      <c r="F39" s="91"/>
      <c r="G39" s="91"/>
      <c r="H39" s="91"/>
      <c r="I39" s="91"/>
      <c r="J39" s="91"/>
      <c r="K39" s="91"/>
      <c r="L39" s="91"/>
      <c r="M39" s="98"/>
      <c r="N39" s="93"/>
    </row>
    <row r="40" spans="1:14" ht="15" customHeight="1">
      <c r="A40" s="93"/>
      <c r="B40" s="97"/>
      <c r="C40" s="91"/>
      <c r="D40" s="91"/>
      <c r="E40" s="91"/>
      <c r="F40" s="91"/>
      <c r="G40" s="91"/>
      <c r="H40" s="91"/>
      <c r="I40" s="91"/>
      <c r="J40" s="91"/>
      <c r="K40" s="91"/>
      <c r="L40" s="91"/>
      <c r="M40" s="98"/>
      <c r="N40" s="93"/>
    </row>
    <row r="41" spans="1:14" ht="15" customHeight="1">
      <c r="A41" s="93"/>
      <c r="B41" s="97"/>
      <c r="C41" s="91"/>
      <c r="D41" s="91"/>
      <c r="E41" s="91"/>
      <c r="F41" s="91"/>
      <c r="G41" s="91"/>
      <c r="H41" s="91"/>
      <c r="I41" s="91"/>
      <c r="J41" s="91"/>
      <c r="K41" s="91"/>
      <c r="L41" s="91"/>
      <c r="M41" s="98"/>
      <c r="N41" s="93"/>
    </row>
    <row r="42" spans="1:14" ht="15" customHeight="1">
      <c r="A42" s="93"/>
      <c r="B42" s="97"/>
      <c r="C42" s="91"/>
      <c r="D42" s="91"/>
      <c r="E42" s="91"/>
      <c r="F42" s="91"/>
      <c r="G42" s="91"/>
      <c r="H42" s="91"/>
      <c r="I42" s="91"/>
      <c r="J42" s="91"/>
      <c r="K42" s="91"/>
      <c r="L42" s="91"/>
      <c r="M42" s="98"/>
      <c r="N42" s="93"/>
    </row>
    <row r="43" spans="1:14" ht="15" customHeight="1">
      <c r="A43" s="93"/>
      <c r="B43" s="97"/>
      <c r="C43" s="91"/>
      <c r="D43" s="91"/>
      <c r="E43" s="91"/>
      <c r="F43" s="91"/>
      <c r="G43" s="91"/>
      <c r="H43" s="91"/>
      <c r="I43" s="91"/>
      <c r="J43" s="91"/>
      <c r="K43" s="91"/>
      <c r="L43" s="91"/>
      <c r="M43" s="98"/>
      <c r="N43" s="93"/>
    </row>
    <row r="44" spans="1:14" ht="15" customHeight="1">
      <c r="A44" s="93"/>
      <c r="B44" s="97"/>
      <c r="C44" s="91"/>
      <c r="D44" s="91"/>
      <c r="E44" s="91"/>
      <c r="F44" s="91"/>
      <c r="G44" s="91"/>
      <c r="H44" s="91"/>
      <c r="I44" s="91"/>
      <c r="J44" s="91"/>
      <c r="K44" s="91"/>
      <c r="L44" s="91"/>
      <c r="M44" s="98"/>
      <c r="N44" s="93"/>
    </row>
    <row r="45" spans="1:14" ht="15" customHeight="1">
      <c r="A45" s="93"/>
      <c r="B45" s="97"/>
      <c r="C45" s="91"/>
      <c r="D45" s="91"/>
      <c r="E45" s="91"/>
      <c r="F45" s="91"/>
      <c r="G45" s="91"/>
      <c r="H45" s="91"/>
      <c r="I45" s="91"/>
      <c r="J45" s="91"/>
      <c r="K45" s="91"/>
      <c r="L45" s="91"/>
      <c r="M45" s="98"/>
      <c r="N45" s="93"/>
    </row>
    <row r="46" spans="1:14" ht="15" customHeight="1">
      <c r="A46" s="93"/>
      <c r="B46" s="97"/>
      <c r="C46" s="91"/>
      <c r="D46" s="91"/>
      <c r="E46" s="91"/>
      <c r="F46" s="91"/>
      <c r="G46" s="91"/>
      <c r="H46" s="91"/>
      <c r="I46" s="91"/>
      <c r="J46" s="91"/>
      <c r="K46" s="91"/>
      <c r="L46" s="91"/>
      <c r="M46" s="98"/>
      <c r="N46" s="93"/>
    </row>
    <row r="47" spans="1:14" ht="15" customHeight="1">
      <c r="A47" s="93"/>
      <c r="B47" s="97"/>
      <c r="C47" s="91"/>
      <c r="D47" s="91"/>
      <c r="E47" s="91"/>
      <c r="F47" s="91"/>
      <c r="G47" s="91"/>
      <c r="H47" s="91"/>
      <c r="I47" s="91"/>
      <c r="J47" s="91"/>
      <c r="K47" s="91"/>
      <c r="L47" s="91"/>
      <c r="M47" s="98"/>
      <c r="N47" s="93"/>
    </row>
    <row r="48" spans="1:14" ht="15" customHeight="1">
      <c r="A48" s="93"/>
      <c r="B48" s="97"/>
      <c r="C48" s="91"/>
      <c r="D48" s="91"/>
      <c r="E48" s="91"/>
      <c r="F48" s="91"/>
      <c r="G48" s="91"/>
      <c r="H48" s="91"/>
      <c r="I48" s="91"/>
      <c r="J48" s="91"/>
      <c r="K48" s="91"/>
      <c r="L48" s="91"/>
      <c r="M48" s="98"/>
      <c r="N48" s="93"/>
    </row>
    <row r="49" spans="1:14" ht="15" customHeight="1">
      <c r="A49" s="93"/>
      <c r="B49" s="97"/>
      <c r="C49" s="91"/>
      <c r="D49" s="91"/>
      <c r="E49" s="91"/>
      <c r="F49" s="91"/>
      <c r="G49" s="91"/>
      <c r="H49" s="91"/>
      <c r="I49" s="91"/>
      <c r="J49" s="91"/>
      <c r="K49" s="91"/>
      <c r="L49" s="91"/>
      <c r="M49" s="98"/>
      <c r="N49" s="93"/>
    </row>
    <row r="50" spans="1:14" ht="28.5">
      <c r="A50" s="93"/>
      <c r="B50" s="100"/>
      <c r="C50" s="104" t="s">
        <v>1122</v>
      </c>
      <c r="D50" s="101"/>
      <c r="E50" s="101"/>
      <c r="F50" s="101"/>
      <c r="G50" s="101"/>
      <c r="H50" s="101"/>
      <c r="I50" s="101"/>
      <c r="J50" s="101"/>
      <c r="K50" s="101"/>
      <c r="L50" s="101"/>
      <c r="M50" s="102"/>
      <c r="N50" s="93"/>
    </row>
    <row r="51" spans="1:14" ht="15" customHeight="1">
      <c r="A51" s="93"/>
      <c r="B51" s="97"/>
      <c r="C51" s="91"/>
      <c r="D51" s="91"/>
      <c r="E51" s="91"/>
      <c r="F51" s="91"/>
      <c r="G51" s="91"/>
      <c r="H51" s="91"/>
      <c r="I51" s="91"/>
      <c r="J51" s="91"/>
      <c r="K51" s="91"/>
      <c r="L51" s="91"/>
      <c r="M51" s="98"/>
      <c r="N51" s="93"/>
    </row>
    <row r="52" spans="1:14" ht="15" customHeight="1">
      <c r="A52" s="93"/>
      <c r="B52" s="97"/>
      <c r="C52" s="91"/>
      <c r="D52" s="91"/>
      <c r="E52" s="91"/>
      <c r="F52" s="91"/>
      <c r="G52" s="91"/>
      <c r="H52" s="91"/>
      <c r="I52" s="91"/>
      <c r="J52" s="91"/>
      <c r="K52" s="91"/>
      <c r="L52" s="91"/>
      <c r="M52" s="98"/>
      <c r="N52" s="93"/>
    </row>
    <row r="53" spans="1:14" ht="15" customHeight="1">
      <c r="A53" s="93"/>
      <c r="B53" s="97"/>
      <c r="C53" s="91"/>
      <c r="D53" s="91"/>
      <c r="E53" s="91"/>
      <c r="F53" s="91"/>
      <c r="G53" s="91"/>
      <c r="H53" s="91"/>
      <c r="I53" s="91"/>
      <c r="J53" s="91"/>
      <c r="K53" s="91"/>
      <c r="L53" s="91"/>
      <c r="M53" s="98"/>
      <c r="N53" s="93"/>
    </row>
    <row r="54" spans="1:14" ht="15" customHeight="1">
      <c r="A54" s="93"/>
      <c r="B54" s="97"/>
      <c r="C54" s="91"/>
      <c r="D54" s="91"/>
      <c r="E54" s="91"/>
      <c r="F54" s="91"/>
      <c r="G54" s="91"/>
      <c r="H54" s="91"/>
      <c r="I54" s="91"/>
      <c r="J54" s="91"/>
      <c r="K54" s="91"/>
      <c r="L54" s="91"/>
      <c r="M54" s="98"/>
      <c r="N54" s="93"/>
    </row>
    <row r="55" spans="1:14" ht="15" customHeight="1">
      <c r="A55" s="93"/>
      <c r="B55" s="97"/>
      <c r="C55" s="91"/>
      <c r="D55" s="91"/>
      <c r="E55" s="91"/>
      <c r="F55" s="91"/>
      <c r="G55" s="91"/>
      <c r="H55" s="91"/>
      <c r="I55" s="91"/>
      <c r="J55" s="91"/>
      <c r="K55" s="91"/>
      <c r="L55" s="91"/>
      <c r="M55" s="98"/>
      <c r="N55" s="93"/>
    </row>
    <row r="56" spans="1:14" ht="15" customHeight="1">
      <c r="A56" s="93"/>
      <c r="B56" s="97"/>
      <c r="C56" s="91"/>
      <c r="D56" s="91"/>
      <c r="E56" s="91"/>
      <c r="F56" s="91"/>
      <c r="G56" s="91"/>
      <c r="H56" s="91"/>
      <c r="I56" s="91"/>
      <c r="J56" s="91"/>
      <c r="K56" s="91"/>
      <c r="L56" s="91"/>
      <c r="M56" s="98"/>
      <c r="N56" s="93"/>
    </row>
    <row r="57" spans="1:14" ht="15" customHeight="1">
      <c r="A57" s="93"/>
      <c r="B57" s="97"/>
      <c r="C57" s="91"/>
      <c r="D57" s="91"/>
      <c r="E57" s="91"/>
      <c r="F57" s="91"/>
      <c r="G57" s="91"/>
      <c r="H57" s="91"/>
      <c r="I57" s="91"/>
      <c r="J57" s="91"/>
      <c r="K57" s="91"/>
      <c r="L57" s="91"/>
      <c r="M57" s="98"/>
      <c r="N57" s="93"/>
    </row>
    <row r="58" spans="1:14" ht="15" customHeight="1">
      <c r="A58" s="93"/>
      <c r="B58" s="97"/>
      <c r="C58" s="91"/>
      <c r="D58" s="91"/>
      <c r="E58" s="91"/>
      <c r="F58" s="91"/>
      <c r="G58" s="91"/>
      <c r="H58" s="91"/>
      <c r="I58" s="91"/>
      <c r="J58" s="91"/>
      <c r="K58" s="91"/>
      <c r="L58" s="91"/>
      <c r="M58" s="98"/>
      <c r="N58" s="93"/>
    </row>
    <row r="59" spans="1:14" ht="15" customHeight="1">
      <c r="A59" s="93"/>
      <c r="B59" s="97"/>
      <c r="C59" s="91"/>
      <c r="D59" s="91"/>
      <c r="E59" s="91"/>
      <c r="F59" s="91"/>
      <c r="G59" s="91"/>
      <c r="H59" s="91"/>
      <c r="I59" s="91"/>
      <c r="J59" s="91"/>
      <c r="K59" s="91"/>
      <c r="L59" s="91"/>
      <c r="M59" s="98"/>
      <c r="N59" s="93"/>
    </row>
    <row r="60" spans="1:14" ht="15" customHeight="1">
      <c r="A60" s="93"/>
      <c r="B60" s="97"/>
      <c r="C60" s="91"/>
      <c r="D60" s="91"/>
      <c r="E60" s="91"/>
      <c r="F60" s="91"/>
      <c r="G60" s="91"/>
      <c r="H60" s="91"/>
      <c r="I60" s="91"/>
      <c r="J60" s="91"/>
      <c r="K60" s="91"/>
      <c r="L60" s="91"/>
      <c r="M60" s="98"/>
      <c r="N60" s="93"/>
    </row>
    <row r="61" spans="1:14" ht="15" customHeight="1">
      <c r="A61" s="93"/>
      <c r="B61" s="97"/>
      <c r="C61" s="91"/>
      <c r="D61" s="91"/>
      <c r="E61" s="91"/>
      <c r="F61" s="91"/>
      <c r="G61" s="91"/>
      <c r="H61" s="91"/>
      <c r="I61" s="91"/>
      <c r="J61" s="91"/>
      <c r="K61" s="91"/>
      <c r="L61" s="91"/>
      <c r="M61" s="98"/>
      <c r="N61" s="93"/>
    </row>
    <row r="62" spans="1:14" ht="15" customHeight="1">
      <c r="A62" s="93"/>
      <c r="B62" s="97"/>
      <c r="C62" s="91"/>
      <c r="D62" s="91"/>
      <c r="E62" s="91"/>
      <c r="F62" s="91"/>
      <c r="G62" s="91"/>
      <c r="H62" s="91"/>
      <c r="I62" s="91"/>
      <c r="J62" s="91"/>
      <c r="K62" s="91"/>
      <c r="L62" s="91"/>
      <c r="M62" s="98"/>
      <c r="N62" s="93"/>
    </row>
    <row r="63" spans="1:14" ht="15" customHeight="1">
      <c r="A63" s="93"/>
      <c r="B63" s="97"/>
      <c r="C63" s="91"/>
      <c r="D63" s="91"/>
      <c r="E63" s="91"/>
      <c r="F63" s="91"/>
      <c r="G63" s="91"/>
      <c r="H63" s="91"/>
      <c r="I63" s="91"/>
      <c r="J63" s="91"/>
      <c r="K63" s="91"/>
      <c r="L63" s="91"/>
      <c r="M63" s="98"/>
      <c r="N63" s="93"/>
    </row>
    <row r="64" spans="1:14" ht="15" customHeight="1">
      <c r="A64" s="93"/>
      <c r="B64" s="97"/>
      <c r="C64" s="91"/>
      <c r="D64" s="91"/>
      <c r="E64" s="91"/>
      <c r="F64" s="91"/>
      <c r="G64" s="91"/>
      <c r="H64" s="91"/>
      <c r="I64" s="91"/>
      <c r="J64" s="91"/>
      <c r="K64" s="91"/>
      <c r="L64" s="91"/>
      <c r="M64" s="98"/>
      <c r="N64" s="93"/>
    </row>
    <row r="65" spans="1:14" ht="15" customHeight="1">
      <c r="A65" s="93"/>
      <c r="B65" s="106"/>
      <c r="C65" s="107" t="s">
        <v>939</v>
      </c>
      <c r="D65" s="108"/>
      <c r="E65" s="108"/>
      <c r="F65" s="108"/>
      <c r="G65" s="108"/>
      <c r="H65" s="108"/>
      <c r="I65" s="91"/>
      <c r="J65" s="91"/>
      <c r="K65" s="91"/>
      <c r="L65" s="91"/>
      <c r="M65" s="98"/>
      <c r="N65" s="93"/>
    </row>
    <row r="66" spans="1:14" ht="15" customHeight="1">
      <c r="A66" s="93"/>
      <c r="B66" s="106"/>
      <c r="C66" s="108" t="s">
        <v>670</v>
      </c>
      <c r="D66" s="1012" t="s">
        <v>937</v>
      </c>
      <c r="E66" s="108"/>
      <c r="F66" s="108"/>
      <c r="G66" s="108"/>
      <c r="H66" s="108"/>
      <c r="I66" s="91"/>
      <c r="J66" s="91"/>
      <c r="K66" s="91"/>
      <c r="L66" s="91"/>
      <c r="M66" s="98"/>
      <c r="N66" s="93"/>
    </row>
    <row r="67" spans="1:14" ht="15" customHeight="1">
      <c r="A67" s="93"/>
      <c r="B67" s="106"/>
      <c r="C67" s="108" t="s">
        <v>36</v>
      </c>
      <c r="D67" s="1012" t="s">
        <v>940</v>
      </c>
      <c r="E67" s="108"/>
      <c r="F67" s="108"/>
      <c r="G67" s="108"/>
      <c r="H67" s="108"/>
      <c r="I67" s="91"/>
      <c r="J67" s="91"/>
      <c r="K67" s="91"/>
      <c r="L67" s="91"/>
      <c r="M67" s="98"/>
      <c r="N67" s="93"/>
    </row>
    <row r="68" spans="1:14" ht="15" customHeight="1">
      <c r="A68" s="93"/>
      <c r="B68" s="106"/>
      <c r="C68" s="108"/>
      <c r="D68" s="108"/>
      <c r="E68" s="108"/>
      <c r="F68" s="108"/>
      <c r="G68" s="108"/>
      <c r="H68" s="108"/>
      <c r="I68" s="91"/>
      <c r="J68" s="91"/>
      <c r="K68" s="91"/>
      <c r="L68" s="91"/>
      <c r="M68" s="98"/>
      <c r="N68" s="93"/>
    </row>
    <row r="69" spans="1:14" ht="15" customHeight="1">
      <c r="A69" s="93"/>
      <c r="B69" s="106"/>
      <c r="C69" s="109"/>
      <c r="D69" s="107"/>
      <c r="E69" s="107"/>
      <c r="F69" s="108"/>
      <c r="G69" s="108"/>
      <c r="H69" s="108"/>
      <c r="I69" s="108"/>
      <c r="J69" s="108"/>
      <c r="K69" s="108"/>
      <c r="L69" s="110" t="s">
        <v>1074</v>
      </c>
      <c r="M69" s="98"/>
      <c r="N69" s="93"/>
    </row>
    <row r="70" spans="1:14" ht="15" customHeight="1" thickBot="1">
      <c r="A70" s="93"/>
      <c r="B70" s="111"/>
      <c r="C70" s="112"/>
      <c r="D70" s="112"/>
      <c r="E70" s="112"/>
      <c r="F70" s="112"/>
      <c r="G70" s="112"/>
      <c r="H70" s="112"/>
      <c r="I70" s="112"/>
      <c r="J70" s="112"/>
      <c r="K70" s="112"/>
      <c r="L70" s="112"/>
      <c r="M70" s="113"/>
      <c r="N70" s="93"/>
    </row>
    <row r="71" spans="1:14" ht="13.5" thickTop="1">
      <c r="A71" s="93"/>
      <c r="B71" s="93"/>
      <c r="C71" s="93"/>
      <c r="D71" s="93"/>
      <c r="E71" s="93"/>
      <c r="F71" s="93"/>
      <c r="G71" s="93"/>
      <c r="H71" s="93"/>
      <c r="I71" s="93"/>
      <c r="J71" s="93"/>
      <c r="K71" s="93"/>
      <c r="L71" s="93"/>
      <c r="M71" s="93"/>
      <c r="N71" s="93"/>
    </row>
    <row r="72" spans="1:14" ht="12.75">
      <c r="A72" s="93"/>
      <c r="B72" s="93"/>
      <c r="C72" s="93"/>
      <c r="D72" s="93"/>
      <c r="E72" s="93"/>
      <c r="F72" s="93"/>
      <c r="G72" s="93"/>
      <c r="H72" s="93"/>
      <c r="I72" s="93"/>
      <c r="J72" s="93"/>
      <c r="K72" s="93"/>
      <c r="L72" s="93"/>
      <c r="M72" s="93"/>
      <c r="N72" s="93"/>
    </row>
    <row r="73" spans="1:14" ht="12.75">
      <c r="A73" s="93"/>
      <c r="B73" s="93"/>
      <c r="C73" s="93"/>
      <c r="D73" s="93"/>
      <c r="E73" s="93"/>
      <c r="F73" s="93"/>
      <c r="G73" s="93"/>
      <c r="H73" s="93"/>
      <c r="I73" s="93"/>
      <c r="J73" s="93"/>
      <c r="K73" s="93"/>
      <c r="L73" s="93"/>
      <c r="M73" s="93"/>
      <c r="N73" s="93"/>
    </row>
    <row r="74" spans="1:14" ht="12.75">
      <c r="A74" s="93"/>
      <c r="B74" s="93"/>
      <c r="C74" s="93"/>
      <c r="D74" s="93"/>
      <c r="E74" s="93"/>
      <c r="F74" s="93"/>
      <c r="G74" s="93"/>
      <c r="H74" s="93"/>
      <c r="I74" s="93"/>
      <c r="J74" s="93"/>
      <c r="K74" s="93"/>
      <c r="L74" s="93"/>
      <c r="M74" s="93"/>
      <c r="N74" s="93"/>
    </row>
    <row r="75" spans="1:14" ht="12.75">
      <c r="A75" s="93"/>
      <c r="B75" s="93"/>
      <c r="C75" s="93"/>
      <c r="D75" s="93"/>
      <c r="E75" s="93"/>
      <c r="F75" s="93"/>
      <c r="G75" s="93"/>
      <c r="H75" s="93"/>
      <c r="I75" s="93"/>
      <c r="J75" s="93"/>
      <c r="K75" s="93"/>
      <c r="L75" s="93"/>
      <c r="M75" s="93"/>
      <c r="N75" s="93"/>
    </row>
    <row r="76" spans="1:14" ht="12.75">
      <c r="A76" s="93"/>
      <c r="B76" s="93"/>
      <c r="C76" s="93"/>
      <c r="D76" s="93"/>
      <c r="E76" s="93"/>
      <c r="F76" s="93"/>
      <c r="G76" s="93"/>
      <c r="H76" s="93"/>
      <c r="I76" s="93"/>
      <c r="J76" s="93"/>
      <c r="K76" s="93"/>
      <c r="L76" s="93"/>
      <c r="M76" s="93"/>
      <c r="N76" s="93"/>
    </row>
    <row r="77" spans="1:14" ht="12.75">
      <c r="A77" s="93"/>
      <c r="B77" s="93"/>
      <c r="C77" s="93"/>
      <c r="D77" s="93"/>
      <c r="E77" s="93"/>
      <c r="F77" s="93"/>
      <c r="G77" s="93"/>
      <c r="H77" s="93"/>
      <c r="I77" s="93"/>
      <c r="J77" s="93"/>
      <c r="K77" s="93"/>
      <c r="L77" s="93"/>
      <c r="M77" s="93"/>
      <c r="N77" s="93"/>
    </row>
    <row r="78" spans="1:14" ht="12.75">
      <c r="A78" s="93"/>
      <c r="B78" s="93"/>
      <c r="C78" s="93"/>
      <c r="D78" s="93"/>
      <c r="E78" s="93"/>
      <c r="F78" s="93"/>
      <c r="G78" s="93"/>
      <c r="H78" s="93"/>
      <c r="I78" s="93"/>
      <c r="J78" s="93"/>
      <c r="K78" s="93"/>
      <c r="L78" s="93"/>
      <c r="M78" s="93"/>
      <c r="N78" s="93"/>
    </row>
    <row r="79" spans="1:14" ht="12.75">
      <c r="A79" s="93"/>
      <c r="B79" s="93"/>
      <c r="C79" s="93"/>
      <c r="D79" s="93"/>
      <c r="E79" s="93"/>
      <c r="F79" s="93"/>
      <c r="G79" s="93"/>
      <c r="H79" s="93"/>
      <c r="I79" s="93"/>
      <c r="J79" s="93"/>
      <c r="K79" s="93"/>
      <c r="L79" s="93"/>
      <c r="M79" s="93"/>
      <c r="N79" s="93"/>
    </row>
    <row r="80" spans="1:14" ht="12.75">
      <c r="A80" s="93"/>
      <c r="B80" s="93"/>
      <c r="C80" s="93"/>
      <c r="D80" s="93"/>
      <c r="E80" s="93"/>
      <c r="F80" s="93"/>
      <c r="G80" s="93"/>
      <c r="H80" s="93"/>
      <c r="I80" s="93"/>
      <c r="J80" s="93"/>
      <c r="K80" s="93"/>
      <c r="L80" s="93"/>
      <c r="M80" s="93"/>
      <c r="N80" s="93"/>
    </row>
    <row r="81" spans="1:14" ht="12.75">
      <c r="A81" s="93"/>
      <c r="B81" s="93"/>
      <c r="C81" s="93"/>
      <c r="D81" s="93"/>
      <c r="E81" s="93"/>
      <c r="F81" s="93"/>
      <c r="G81" s="93"/>
      <c r="H81" s="93"/>
      <c r="I81" s="93"/>
      <c r="J81" s="93"/>
      <c r="K81" s="93"/>
      <c r="L81" s="93"/>
      <c r="M81" s="93"/>
      <c r="N81" s="93"/>
    </row>
    <row r="82" spans="1:14" ht="12.75">
      <c r="A82" s="93"/>
      <c r="B82" s="93"/>
      <c r="C82" s="93"/>
      <c r="D82" s="93"/>
      <c r="E82" s="93"/>
      <c r="F82" s="93"/>
      <c r="G82" s="93"/>
      <c r="H82" s="93"/>
      <c r="I82" s="93"/>
      <c r="J82" s="93"/>
      <c r="K82" s="93"/>
      <c r="L82" s="93"/>
      <c r="M82" s="93"/>
      <c r="N82" s="93"/>
    </row>
    <row r="83" spans="1:14" ht="12.75">
      <c r="A83" s="93"/>
      <c r="B83" s="93"/>
      <c r="C83" s="93"/>
      <c r="D83" s="93"/>
      <c r="E83" s="93"/>
      <c r="F83" s="93"/>
      <c r="G83" s="93"/>
      <c r="H83" s="93"/>
      <c r="I83" s="93"/>
      <c r="J83" s="93"/>
      <c r="K83" s="93"/>
      <c r="L83" s="93"/>
      <c r="M83" s="93"/>
      <c r="N83" s="93"/>
    </row>
    <row r="84" spans="1:14" ht="12.75">
      <c r="A84" s="93"/>
      <c r="B84" s="93"/>
      <c r="C84" s="93"/>
      <c r="D84" s="93"/>
      <c r="E84" s="93"/>
      <c r="F84" s="93"/>
      <c r="G84" s="93"/>
      <c r="H84" s="93"/>
      <c r="I84" s="93"/>
      <c r="J84" s="93"/>
      <c r="K84" s="93"/>
      <c r="L84" s="93"/>
      <c r="M84" s="93"/>
      <c r="N84" s="93"/>
    </row>
    <row r="85" spans="1:14" ht="12.75">
      <c r="A85" s="93"/>
      <c r="B85" s="93"/>
      <c r="C85" s="93"/>
      <c r="D85" s="93"/>
      <c r="E85" s="93"/>
      <c r="F85" s="93"/>
      <c r="G85" s="93"/>
      <c r="H85" s="93"/>
      <c r="I85" s="93"/>
      <c r="J85" s="93"/>
      <c r="K85" s="93"/>
      <c r="L85" s="93"/>
      <c r="M85" s="93"/>
      <c r="N85" s="93"/>
    </row>
    <row r="86" spans="1:14" ht="12.75">
      <c r="A86" s="93"/>
      <c r="B86" s="93"/>
      <c r="C86" s="93"/>
      <c r="D86" s="93"/>
      <c r="E86" s="93"/>
      <c r="F86" s="93"/>
      <c r="G86" s="93"/>
      <c r="H86" s="93"/>
      <c r="I86" s="93"/>
      <c r="J86" s="93"/>
      <c r="K86" s="93"/>
      <c r="L86" s="93"/>
      <c r="M86" s="93"/>
      <c r="N86" s="93"/>
    </row>
    <row r="87" spans="1:14" ht="12.75">
      <c r="A87" s="93"/>
      <c r="B87" s="93"/>
      <c r="C87" s="93"/>
      <c r="D87" s="93"/>
      <c r="E87" s="93"/>
      <c r="F87" s="93"/>
      <c r="G87" s="93"/>
      <c r="H87" s="93"/>
      <c r="I87" s="93"/>
      <c r="J87" s="93"/>
      <c r="K87" s="93"/>
      <c r="L87" s="93"/>
      <c r="M87" s="93"/>
      <c r="N87" s="93"/>
    </row>
    <row r="88" spans="1:14" ht="12.75">
      <c r="A88" s="93"/>
      <c r="B88" s="93"/>
      <c r="C88" s="93"/>
      <c r="D88" s="93"/>
      <c r="E88" s="93"/>
      <c r="F88" s="93"/>
      <c r="G88" s="93"/>
      <c r="H88" s="93"/>
      <c r="I88" s="93"/>
      <c r="J88" s="93"/>
      <c r="K88" s="93"/>
      <c r="L88" s="93"/>
      <c r="M88" s="93"/>
      <c r="N88" s="93"/>
    </row>
    <row r="89" spans="1:14" ht="12.75">
      <c r="A89" s="93"/>
      <c r="B89" s="93"/>
      <c r="C89" s="93"/>
      <c r="D89" s="93"/>
      <c r="E89" s="93"/>
      <c r="F89" s="93"/>
      <c r="G89" s="93"/>
      <c r="H89" s="93"/>
      <c r="I89" s="93"/>
      <c r="J89" s="93"/>
      <c r="K89" s="93"/>
      <c r="L89" s="93"/>
      <c r="M89" s="93"/>
      <c r="N89" s="93"/>
    </row>
    <row r="90" spans="1:14" ht="12.75">
      <c r="A90" s="93"/>
      <c r="B90" s="93"/>
      <c r="C90" s="93"/>
      <c r="D90" s="93"/>
      <c r="E90" s="93"/>
      <c r="F90" s="93"/>
      <c r="G90" s="93"/>
      <c r="H90" s="93"/>
      <c r="I90" s="93"/>
      <c r="J90" s="93"/>
      <c r="K90" s="93"/>
      <c r="L90" s="93"/>
      <c r="M90" s="93"/>
      <c r="N90" s="93"/>
    </row>
    <row r="91" spans="1:14" ht="12.75">
      <c r="A91" s="93"/>
      <c r="B91" s="93"/>
      <c r="C91" s="93"/>
      <c r="D91" s="93"/>
      <c r="E91" s="93"/>
      <c r="F91" s="93"/>
      <c r="G91" s="93"/>
      <c r="H91" s="93"/>
      <c r="I91" s="93"/>
      <c r="J91" s="93"/>
      <c r="K91" s="93"/>
      <c r="L91" s="93"/>
      <c r="M91" s="93"/>
      <c r="N91" s="93"/>
    </row>
    <row r="92" spans="1:14" ht="12.75">
      <c r="A92" s="93"/>
      <c r="B92" s="93"/>
      <c r="C92" s="93"/>
      <c r="D92" s="93"/>
      <c r="E92" s="93"/>
      <c r="F92" s="93"/>
      <c r="G92" s="93"/>
      <c r="H92" s="93"/>
      <c r="I92" s="93"/>
      <c r="J92" s="93"/>
      <c r="K92" s="93"/>
      <c r="L92" s="93"/>
      <c r="M92" s="93"/>
      <c r="N92" s="93"/>
    </row>
    <row r="93" spans="1:14" ht="12.75">
      <c r="A93" s="93"/>
      <c r="B93" s="93"/>
      <c r="C93" s="93"/>
      <c r="D93" s="93"/>
      <c r="E93" s="93"/>
      <c r="F93" s="93"/>
      <c r="G93" s="93"/>
      <c r="H93" s="93"/>
      <c r="I93" s="93"/>
      <c r="J93" s="93"/>
      <c r="K93" s="93"/>
      <c r="L93" s="93"/>
      <c r="M93" s="93"/>
      <c r="N93" s="93"/>
    </row>
    <row r="94" spans="1:14" ht="12.75">
      <c r="A94" s="93"/>
      <c r="B94" s="93"/>
      <c r="C94" s="93"/>
      <c r="D94" s="93"/>
      <c r="E94" s="93"/>
      <c r="F94" s="93"/>
      <c r="G94" s="93"/>
      <c r="H94" s="93"/>
      <c r="I94" s="93"/>
      <c r="J94" s="93"/>
      <c r="K94" s="93"/>
      <c r="L94" s="93"/>
      <c r="M94" s="93"/>
      <c r="N94" s="93"/>
    </row>
    <row r="95" spans="1:14" ht="12.75">
      <c r="A95" s="93"/>
      <c r="B95" s="93"/>
      <c r="C95" s="93"/>
      <c r="D95" s="93"/>
      <c r="E95" s="93"/>
      <c r="F95" s="93"/>
      <c r="G95" s="93"/>
      <c r="H95" s="93"/>
      <c r="I95" s="93"/>
      <c r="J95" s="93"/>
      <c r="K95" s="93"/>
      <c r="L95" s="93"/>
      <c r="M95" s="93"/>
      <c r="N95" s="93"/>
    </row>
    <row r="96" spans="1:14" ht="12.75">
      <c r="A96" s="93"/>
      <c r="B96" s="93"/>
      <c r="C96" s="93"/>
      <c r="D96" s="93"/>
      <c r="E96" s="93"/>
      <c r="F96" s="93"/>
      <c r="G96" s="93"/>
      <c r="H96" s="93"/>
      <c r="I96" s="93"/>
      <c r="J96" s="93"/>
      <c r="K96" s="93"/>
      <c r="L96" s="93"/>
      <c r="M96" s="93"/>
      <c r="N96" s="93"/>
    </row>
    <row r="97" spans="1:14" ht="12.75">
      <c r="A97" s="93"/>
      <c r="B97" s="93"/>
      <c r="C97" s="93"/>
      <c r="D97" s="93"/>
      <c r="E97" s="93"/>
      <c r="F97" s="93"/>
      <c r="G97" s="93"/>
      <c r="H97" s="93"/>
      <c r="I97" s="93"/>
      <c r="J97" s="93"/>
      <c r="K97" s="93"/>
      <c r="L97" s="93"/>
      <c r="M97" s="93"/>
      <c r="N97" s="93"/>
    </row>
    <row r="98" spans="1:14" ht="12.75">
      <c r="A98" s="93"/>
      <c r="B98" s="93"/>
      <c r="C98" s="93"/>
      <c r="D98" s="93"/>
      <c r="E98" s="93"/>
      <c r="F98" s="93"/>
      <c r="G98" s="93"/>
      <c r="H98" s="93"/>
      <c r="I98" s="93"/>
      <c r="J98" s="93"/>
      <c r="K98" s="93"/>
      <c r="L98" s="93"/>
      <c r="M98" s="93"/>
      <c r="N98" s="93"/>
    </row>
    <row r="99" spans="1:14" ht="12.75">
      <c r="A99" s="93"/>
      <c r="B99" s="93"/>
      <c r="C99" s="93"/>
      <c r="D99" s="93"/>
      <c r="E99" s="93"/>
      <c r="F99" s="93"/>
      <c r="G99" s="93"/>
      <c r="H99" s="93"/>
      <c r="I99" s="93"/>
      <c r="J99" s="93"/>
      <c r="K99" s="93"/>
      <c r="L99" s="93"/>
      <c r="M99" s="93"/>
      <c r="N99" s="93"/>
    </row>
    <row r="100" spans="1:14" ht="12.75">
      <c r="A100" s="93"/>
      <c r="B100" s="93"/>
      <c r="C100" s="93"/>
      <c r="D100" s="93"/>
      <c r="E100" s="93"/>
      <c r="F100" s="93"/>
      <c r="G100" s="93"/>
      <c r="H100" s="93"/>
      <c r="I100" s="93"/>
      <c r="J100" s="93"/>
      <c r="K100" s="93"/>
      <c r="L100" s="93"/>
      <c r="M100" s="93"/>
      <c r="N100" s="93"/>
    </row>
    <row r="101" spans="1:14" ht="12.75">
      <c r="A101" s="93"/>
      <c r="B101" s="93"/>
      <c r="C101" s="93"/>
      <c r="D101" s="93"/>
      <c r="E101" s="93"/>
      <c r="F101" s="93"/>
      <c r="G101" s="93"/>
      <c r="H101" s="93"/>
      <c r="I101" s="93"/>
      <c r="J101" s="93"/>
      <c r="K101" s="93"/>
      <c r="L101" s="93"/>
      <c r="M101" s="93"/>
      <c r="N101" s="93"/>
    </row>
    <row r="102" spans="1:14" ht="12.75">
      <c r="A102" s="93"/>
      <c r="B102" s="93"/>
      <c r="C102" s="93"/>
      <c r="D102" s="93"/>
      <c r="E102" s="93"/>
      <c r="F102" s="93"/>
      <c r="G102" s="93"/>
      <c r="H102" s="93"/>
      <c r="I102" s="93"/>
      <c r="J102" s="93"/>
      <c r="K102" s="93"/>
      <c r="L102" s="93"/>
      <c r="M102" s="93"/>
      <c r="N102" s="93"/>
    </row>
    <row r="103" spans="1:14" ht="12.75">
      <c r="A103" s="93"/>
      <c r="B103" s="93"/>
      <c r="C103" s="93"/>
      <c r="D103" s="93"/>
      <c r="E103" s="93"/>
      <c r="F103" s="93"/>
      <c r="G103" s="93"/>
      <c r="H103" s="93"/>
      <c r="I103" s="93"/>
      <c r="J103" s="93"/>
      <c r="K103" s="93"/>
      <c r="L103" s="93"/>
      <c r="M103" s="93"/>
      <c r="N103" s="93"/>
    </row>
    <row r="104" spans="1:14" ht="12.75">
      <c r="A104" s="93"/>
      <c r="B104" s="93"/>
      <c r="C104" s="93"/>
      <c r="D104" s="93"/>
      <c r="E104" s="93"/>
      <c r="F104" s="93"/>
      <c r="G104" s="93"/>
      <c r="H104" s="93"/>
      <c r="I104" s="93"/>
      <c r="J104" s="93"/>
      <c r="K104" s="93"/>
      <c r="L104" s="93"/>
      <c r="M104" s="93"/>
      <c r="N104" s="93"/>
    </row>
    <row r="105" spans="1:14" ht="12.75">
      <c r="A105" s="93"/>
      <c r="B105" s="93"/>
      <c r="C105" s="93"/>
      <c r="D105" s="93"/>
      <c r="E105" s="93"/>
      <c r="F105" s="93"/>
      <c r="G105" s="93"/>
      <c r="H105" s="93"/>
      <c r="I105" s="93"/>
      <c r="J105" s="93"/>
      <c r="K105" s="93"/>
      <c r="L105" s="93"/>
      <c r="M105" s="93"/>
      <c r="N105" s="93"/>
    </row>
    <row r="106" spans="1:14" ht="12.75">
      <c r="A106" s="93"/>
      <c r="B106" s="93"/>
      <c r="C106" s="93"/>
      <c r="D106" s="93"/>
      <c r="E106" s="93"/>
      <c r="F106" s="93"/>
      <c r="G106" s="93"/>
      <c r="H106" s="93"/>
      <c r="I106" s="93"/>
      <c r="J106" s="93"/>
      <c r="K106" s="93"/>
      <c r="L106" s="93"/>
      <c r="M106" s="93"/>
      <c r="N106" s="93"/>
    </row>
    <row r="107" spans="1:14" ht="12.75">
      <c r="A107" s="93"/>
      <c r="B107" s="93"/>
      <c r="C107" s="93"/>
      <c r="D107" s="93"/>
      <c r="E107" s="93"/>
      <c r="F107" s="93"/>
      <c r="G107" s="93"/>
      <c r="H107" s="93"/>
      <c r="I107" s="93"/>
      <c r="J107" s="93"/>
      <c r="K107" s="93"/>
      <c r="L107" s="93"/>
      <c r="M107" s="93"/>
      <c r="N107" s="93"/>
    </row>
    <row r="108" spans="1:14" ht="12.75">
      <c r="A108" s="93"/>
      <c r="B108" s="93"/>
      <c r="C108" s="93"/>
      <c r="D108" s="93"/>
      <c r="E108" s="93"/>
      <c r="F108" s="93"/>
      <c r="G108" s="93"/>
      <c r="H108" s="93"/>
      <c r="I108" s="93"/>
      <c r="J108" s="93"/>
      <c r="K108" s="93"/>
      <c r="L108" s="93"/>
      <c r="M108" s="93"/>
      <c r="N108" s="93"/>
    </row>
    <row r="109" spans="1:14" ht="12.75">
      <c r="A109" s="93"/>
      <c r="B109" s="93"/>
      <c r="C109" s="93"/>
      <c r="D109" s="93"/>
      <c r="E109" s="93"/>
      <c r="F109" s="93"/>
      <c r="G109" s="93"/>
      <c r="H109" s="93"/>
      <c r="I109" s="93"/>
      <c r="J109" s="93"/>
      <c r="K109" s="93"/>
      <c r="L109" s="93"/>
      <c r="M109" s="93"/>
      <c r="N109" s="93"/>
    </row>
    <row r="110" spans="1:14" ht="12.75">
      <c r="A110" s="93"/>
      <c r="B110" s="93"/>
      <c r="C110" s="93"/>
      <c r="D110" s="93"/>
      <c r="E110" s="93"/>
      <c r="F110" s="93"/>
      <c r="G110" s="93"/>
      <c r="H110" s="93"/>
      <c r="I110" s="93"/>
      <c r="J110" s="93"/>
      <c r="K110" s="93"/>
      <c r="L110" s="93"/>
      <c r="M110" s="93"/>
      <c r="N110" s="93"/>
    </row>
    <row r="111" spans="1:14" ht="12.75">
      <c r="A111" s="93"/>
      <c r="B111" s="93"/>
      <c r="C111" s="93"/>
      <c r="D111" s="93"/>
      <c r="E111" s="93"/>
      <c r="F111" s="93"/>
      <c r="G111" s="93"/>
      <c r="H111" s="93"/>
      <c r="I111" s="93"/>
      <c r="J111" s="93"/>
      <c r="K111" s="93"/>
      <c r="L111" s="93"/>
      <c r="M111" s="93"/>
      <c r="N111" s="93"/>
    </row>
    <row r="112" spans="1:14" ht="12.75">
      <c r="A112" s="93"/>
      <c r="B112" s="93"/>
      <c r="C112" s="93"/>
      <c r="D112" s="93"/>
      <c r="E112" s="93"/>
      <c r="F112" s="93"/>
      <c r="G112" s="93"/>
      <c r="H112" s="93"/>
      <c r="I112" s="93"/>
      <c r="J112" s="93"/>
      <c r="K112" s="93"/>
      <c r="L112" s="93"/>
      <c r="M112" s="93"/>
      <c r="N112" s="93"/>
    </row>
    <row r="113" spans="1:14" ht="12.75">
      <c r="A113" s="93"/>
      <c r="B113" s="93"/>
      <c r="C113" s="93"/>
      <c r="D113" s="93"/>
      <c r="E113" s="93"/>
      <c r="F113" s="93"/>
      <c r="G113" s="93"/>
      <c r="H113" s="93"/>
      <c r="I113" s="93"/>
      <c r="J113" s="93"/>
      <c r="K113" s="93"/>
      <c r="L113" s="93"/>
      <c r="M113" s="93"/>
      <c r="N113" s="93"/>
    </row>
    <row r="114" spans="1:14" ht="12.75">
      <c r="A114" s="93"/>
      <c r="B114" s="93"/>
      <c r="C114" s="93"/>
      <c r="D114" s="93"/>
      <c r="E114" s="93"/>
      <c r="F114" s="93"/>
      <c r="G114" s="93"/>
      <c r="H114" s="93"/>
      <c r="I114" s="93"/>
      <c r="J114" s="93"/>
      <c r="K114" s="93"/>
      <c r="L114" s="93"/>
      <c r="M114" s="93"/>
      <c r="N114" s="93"/>
    </row>
    <row r="115" spans="1:14" ht="12.75">
      <c r="A115" s="93"/>
      <c r="B115" s="93"/>
      <c r="C115" s="93"/>
      <c r="D115" s="93"/>
      <c r="E115" s="93"/>
      <c r="F115" s="93"/>
      <c r="G115" s="93"/>
      <c r="H115" s="93"/>
      <c r="I115" s="93"/>
      <c r="J115" s="93"/>
      <c r="K115" s="93"/>
      <c r="L115" s="93"/>
      <c r="M115" s="93"/>
      <c r="N115" s="93"/>
    </row>
    <row r="116" spans="1:14" ht="12.75">
      <c r="A116" s="93"/>
      <c r="B116" s="93"/>
      <c r="C116" s="93"/>
      <c r="D116" s="93"/>
      <c r="E116" s="93"/>
      <c r="F116" s="93"/>
      <c r="G116" s="93"/>
      <c r="H116" s="93"/>
      <c r="I116" s="93"/>
      <c r="J116" s="93"/>
      <c r="K116" s="93"/>
      <c r="L116" s="93"/>
      <c r="M116" s="93"/>
      <c r="N116" s="93"/>
    </row>
    <row r="117" spans="1:14" ht="12.75">
      <c r="A117" s="93"/>
      <c r="B117" s="93"/>
      <c r="C117" s="93"/>
      <c r="D117" s="93"/>
      <c r="E117" s="93"/>
      <c r="F117" s="93"/>
      <c r="G117" s="93"/>
      <c r="H117" s="93"/>
      <c r="I117" s="93"/>
      <c r="J117" s="93"/>
      <c r="K117" s="93"/>
      <c r="L117" s="93"/>
      <c r="M117" s="93"/>
      <c r="N117" s="93"/>
    </row>
    <row r="118" spans="1:14" ht="12.75">
      <c r="A118" s="93"/>
      <c r="B118" s="93"/>
      <c r="C118" s="93"/>
      <c r="D118" s="93"/>
      <c r="E118" s="93"/>
      <c r="F118" s="93"/>
      <c r="G118" s="93"/>
      <c r="H118" s="93"/>
      <c r="I118" s="93"/>
      <c r="J118" s="93"/>
      <c r="K118" s="93"/>
      <c r="L118" s="93"/>
      <c r="M118" s="93"/>
      <c r="N118" s="93"/>
    </row>
    <row r="119" spans="1:14" ht="12.75">
      <c r="A119" s="93"/>
      <c r="B119" s="93"/>
      <c r="C119" s="93"/>
      <c r="D119" s="93"/>
      <c r="E119" s="93"/>
      <c r="F119" s="93"/>
      <c r="G119" s="93"/>
      <c r="H119" s="93"/>
      <c r="I119" s="93"/>
      <c r="J119" s="93"/>
      <c r="K119" s="93"/>
      <c r="L119" s="93"/>
      <c r="M119" s="93"/>
      <c r="N119" s="93"/>
    </row>
    <row r="120" spans="1:14" ht="12.75">
      <c r="A120" s="93"/>
      <c r="B120" s="93"/>
      <c r="C120" s="93"/>
      <c r="D120" s="93"/>
      <c r="E120" s="93"/>
      <c r="F120" s="93"/>
      <c r="G120" s="93"/>
      <c r="H120" s="93"/>
      <c r="I120" s="93"/>
      <c r="J120" s="93"/>
      <c r="K120" s="93"/>
      <c r="L120" s="93"/>
      <c r="M120" s="93"/>
      <c r="N120" s="93"/>
    </row>
    <row r="121" spans="1:14" ht="15" customHeight="1">
      <c r="A121" s="93"/>
      <c r="B121" s="93"/>
      <c r="C121" s="93"/>
      <c r="D121" s="93"/>
      <c r="E121" s="93"/>
      <c r="F121" s="93"/>
      <c r="G121" s="93"/>
      <c r="H121" s="93"/>
      <c r="I121" s="93"/>
      <c r="J121" s="93"/>
      <c r="K121" s="93"/>
      <c r="L121" s="93"/>
      <c r="M121" s="93"/>
      <c r="N121" s="93"/>
    </row>
  </sheetData>
  <sheetProtection password="F66A" sheet="1"/>
  <hyperlinks>
    <hyperlink ref="D66" r:id="rId1"/>
    <hyperlink ref="D67" r:id="rId2"/>
  </hyperlinks>
  <printOptions horizontalCentered="1" verticalCentered="1"/>
  <pageMargins left="0.51181102362204722" right="0.51181102362204722" top="0.59055118110236227" bottom="0.59055118110236227" header="0.31496062992125984" footer="0.31496062992125984"/>
  <pageSetup paperSize="9" scale="74"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nnahmen">
    <tabColor rgb="FFFFFF00"/>
    <pageSetUpPr autoPageBreaks="0"/>
  </sheetPr>
  <dimension ref="A1:BU414"/>
  <sheetViews>
    <sheetView showGridLines="0" zoomScaleNormal="100" zoomScaleSheetLayoutView="100" workbookViewId="0"/>
  </sheetViews>
  <sheetFormatPr baseColWidth="10" defaultColWidth="0" defaultRowHeight="12.75" outlineLevelRow="2"/>
  <cols>
    <col min="1" max="2" width="3.5703125" customWidth="1"/>
    <col min="3" max="3" width="76" customWidth="1"/>
    <col min="4" max="4" width="9.7109375" customWidth="1"/>
    <col min="5" max="5" width="26.28515625" customWidth="1"/>
    <col min="6" max="6" width="20.28515625" customWidth="1"/>
    <col min="7" max="10" width="16.85546875" customWidth="1"/>
    <col min="11" max="11" width="12.28515625" customWidth="1"/>
    <col min="12" max="14" width="11.42578125" customWidth="1"/>
    <col min="15" max="15" width="13.140625" customWidth="1"/>
    <col min="16" max="33" width="11.42578125" customWidth="1"/>
    <col min="34" max="73" width="0" hidden="1" customWidth="1"/>
    <col min="74" max="16384" width="11.42578125" hidden="1"/>
  </cols>
  <sheetData>
    <row r="1" spans="1:33" ht="24" customHeight="1">
      <c r="A1" s="41"/>
      <c r="B1" s="41"/>
      <c r="C1" s="189" t="str">
        <f>"Assumptions " &amp;Name_Company</f>
        <v>Assumptions WonderApp Ltd.</v>
      </c>
      <c r="D1" s="41"/>
      <c r="E1" s="41"/>
      <c r="F1" s="41"/>
      <c r="G1" s="41"/>
      <c r="H1" s="41"/>
      <c r="I1" s="41"/>
      <c r="J1" s="41"/>
      <c r="K1" s="41"/>
      <c r="L1" s="41"/>
      <c r="M1" s="41"/>
      <c r="N1" s="41"/>
      <c r="O1" s="41"/>
      <c r="P1" s="180"/>
      <c r="Q1" s="180"/>
      <c r="R1" s="180"/>
      <c r="S1" s="180"/>
      <c r="T1" s="180"/>
      <c r="U1" s="876"/>
      <c r="V1" s="876"/>
      <c r="W1" s="876"/>
      <c r="X1" s="876"/>
      <c r="Y1" s="876"/>
      <c r="Z1" s="876"/>
      <c r="AA1" s="876"/>
      <c r="AB1" s="876"/>
      <c r="AC1" s="876"/>
      <c r="AD1" s="876"/>
      <c r="AE1" s="876"/>
      <c r="AF1" s="876"/>
      <c r="AG1" s="876"/>
    </row>
    <row r="2" spans="1:33" ht="18" customHeight="1">
      <c r="A2" s="285"/>
      <c r="B2" s="285"/>
      <c r="C2" s="286" t="str">
        <f>Timing!C2</f>
        <v>Model: Fictitious 5 Year Forecast</v>
      </c>
      <c r="D2" s="180"/>
      <c r="E2" s="285"/>
      <c r="F2" s="287" t="s">
        <v>148</v>
      </c>
      <c r="G2" s="285"/>
      <c r="H2" s="291" t="s">
        <v>444</v>
      </c>
      <c r="I2" s="285"/>
      <c r="J2" s="285"/>
      <c r="K2" s="285"/>
      <c r="L2" s="285"/>
      <c r="M2" s="285"/>
      <c r="N2" s="285"/>
      <c r="O2" s="285"/>
      <c r="P2" s="876"/>
      <c r="Q2" s="180"/>
      <c r="R2" s="180"/>
      <c r="S2" s="180"/>
      <c r="T2" s="180"/>
      <c r="U2" s="876"/>
      <c r="V2" s="876"/>
      <c r="W2" s="876"/>
      <c r="X2" s="876"/>
      <c r="Y2" s="876"/>
      <c r="Z2" s="876"/>
      <c r="AA2" s="876"/>
      <c r="AB2" s="876"/>
      <c r="AC2" s="876"/>
      <c r="AD2" s="876"/>
      <c r="AE2" s="876"/>
      <c r="AF2" s="876"/>
      <c r="AG2" s="876"/>
    </row>
    <row r="3" spans="1:33" ht="18" customHeight="1">
      <c r="A3" s="285"/>
      <c r="B3" s="285"/>
      <c r="C3" s="286" t="str">
        <f>Timing!C3</f>
        <v>Model Integrity:</v>
      </c>
      <c r="D3" s="626">
        <f ca="1">Timing!D3</f>
        <v>0</v>
      </c>
      <c r="E3" s="292"/>
      <c r="F3" s="287" t="s">
        <v>149</v>
      </c>
      <c r="G3" s="292"/>
      <c r="H3" s="180"/>
      <c r="I3" s="180"/>
      <c r="J3" s="180"/>
      <c r="K3" s="180"/>
      <c r="L3" s="876"/>
      <c r="M3" s="876"/>
      <c r="N3" s="876"/>
      <c r="O3" s="876"/>
      <c r="P3" s="876"/>
      <c r="Q3" s="180"/>
      <c r="R3" s="180"/>
      <c r="S3" s="180"/>
      <c r="T3" s="180"/>
      <c r="U3" s="876"/>
      <c r="V3" s="876"/>
      <c r="W3" s="876"/>
      <c r="X3" s="876"/>
      <c r="Y3" s="876"/>
      <c r="Z3" s="876"/>
      <c r="AA3" s="876"/>
      <c r="AB3" s="876"/>
      <c r="AC3" s="876"/>
      <c r="AD3" s="876"/>
      <c r="AE3" s="876"/>
      <c r="AF3" s="876"/>
      <c r="AG3" s="876"/>
    </row>
    <row r="4" spans="1:33" s="20" customFormat="1" ht="11.25" customHeight="1">
      <c r="A4" s="285"/>
      <c r="B4" s="289"/>
      <c r="C4" s="290"/>
      <c r="D4" s="180"/>
      <c r="E4" s="180"/>
      <c r="F4" s="180"/>
      <c r="G4" s="180"/>
      <c r="H4" s="180"/>
      <c r="I4" s="180"/>
      <c r="J4" s="180"/>
      <c r="K4" s="180"/>
      <c r="L4" s="180"/>
      <c r="M4" s="876"/>
      <c r="N4" s="876"/>
      <c r="O4" s="876"/>
      <c r="P4" s="876"/>
      <c r="Q4" s="180"/>
      <c r="R4" s="180"/>
      <c r="S4" s="180"/>
      <c r="T4" s="180"/>
      <c r="U4" s="876"/>
      <c r="V4" s="876"/>
      <c r="W4" s="876"/>
      <c r="X4" s="876"/>
      <c r="Y4" s="876"/>
      <c r="Z4" s="876"/>
      <c r="AA4" s="876"/>
      <c r="AB4" s="876"/>
      <c r="AC4" s="876"/>
      <c r="AD4" s="876"/>
      <c r="AE4" s="876"/>
      <c r="AF4" s="876"/>
      <c r="AG4" s="876"/>
    </row>
    <row r="5" spans="1:33" s="20" customFormat="1" ht="24" thickBot="1">
      <c r="A5" s="283"/>
      <c r="B5" s="283"/>
      <c r="C5" s="283" t="s">
        <v>443</v>
      </c>
      <c r="D5" s="284"/>
      <c r="E5" s="283"/>
      <c r="F5" s="283"/>
      <c r="G5" s="283"/>
      <c r="H5" s="1101" t="s">
        <v>1070</v>
      </c>
      <c r="I5" s="283"/>
      <c r="J5" s="283"/>
      <c r="K5" s="283"/>
      <c r="L5" s="283"/>
      <c r="M5" s="283"/>
      <c r="N5" s="283"/>
      <c r="O5" s="283"/>
      <c r="P5" s="876"/>
      <c r="Q5" s="180"/>
      <c r="R5" s="180"/>
      <c r="S5" s="180"/>
      <c r="T5" s="180"/>
      <c r="U5" s="876"/>
      <c r="V5" s="876"/>
      <c r="W5" s="876"/>
      <c r="X5" s="876"/>
      <c r="Y5" s="876"/>
      <c r="Z5" s="876"/>
      <c r="AA5" s="876"/>
      <c r="AB5" s="876"/>
      <c r="AC5" s="876"/>
      <c r="AD5" s="876"/>
      <c r="AE5" s="876"/>
      <c r="AF5" s="876"/>
      <c r="AG5" s="876"/>
    </row>
    <row r="6" spans="1:33" s="20" customFormat="1" ht="20.25" outlineLevel="1">
      <c r="A6" s="877"/>
      <c r="B6" s="550"/>
      <c r="C6" s="378" t="s">
        <v>441</v>
      </c>
      <c r="D6" s="550"/>
      <c r="E6" s="550"/>
      <c r="F6" s="898" t="s">
        <v>440</v>
      </c>
      <c r="G6" s="504"/>
      <c r="H6" s="550"/>
      <c r="I6" s="550"/>
      <c r="J6" s="180"/>
      <c r="K6" s="180"/>
      <c r="L6" s="180"/>
      <c r="M6" s="876"/>
      <c r="N6" s="876"/>
      <c r="O6" s="876"/>
      <c r="P6" s="876"/>
      <c r="Q6" s="180"/>
      <c r="R6" s="180"/>
      <c r="S6" s="180"/>
      <c r="T6" s="180"/>
      <c r="U6" s="876"/>
      <c r="V6" s="876"/>
      <c r="W6" s="876"/>
      <c r="X6" s="876"/>
      <c r="Y6" s="876"/>
      <c r="Z6" s="876"/>
      <c r="AA6" s="876"/>
      <c r="AB6" s="876"/>
      <c r="AC6" s="876"/>
      <c r="AD6" s="876"/>
      <c r="AE6" s="876"/>
      <c r="AF6" s="876"/>
      <c r="AG6" s="876"/>
    </row>
    <row r="7" spans="1:33" s="39" customFormat="1" ht="15" outlineLevel="2">
      <c r="A7" s="877"/>
      <c r="B7" s="550"/>
      <c r="C7" s="760"/>
      <c r="D7" s="550"/>
      <c r="E7" s="550"/>
      <c r="F7" s="619"/>
      <c r="G7" s="550"/>
      <c r="H7" s="757"/>
      <c r="I7" s="550"/>
      <c r="J7" s="295"/>
      <c r="K7" s="180"/>
      <c r="L7" s="180"/>
      <c r="M7" s="180"/>
      <c r="N7" s="180"/>
      <c r="O7" s="180"/>
      <c r="P7" s="180"/>
      <c r="Q7" s="180"/>
      <c r="R7" s="180"/>
      <c r="S7" s="180"/>
      <c r="T7" s="180"/>
      <c r="U7" s="876"/>
      <c r="V7" s="876"/>
      <c r="W7" s="876"/>
      <c r="X7" s="876"/>
      <c r="Y7" s="876"/>
      <c r="Z7" s="876"/>
      <c r="AA7" s="876"/>
      <c r="AB7" s="876"/>
      <c r="AC7" s="876"/>
      <c r="AD7" s="876"/>
      <c r="AE7" s="876"/>
      <c r="AF7" s="876"/>
      <c r="AG7" s="876"/>
    </row>
    <row r="8" spans="1:33" s="199" customFormat="1" ht="18" customHeight="1" outlineLevel="2">
      <c r="A8" s="877"/>
      <c r="B8" s="550"/>
      <c r="C8" s="550" t="s">
        <v>176</v>
      </c>
      <c r="D8" s="550"/>
      <c r="E8" s="422" t="s">
        <v>51</v>
      </c>
      <c r="F8" s="616" t="s">
        <v>679</v>
      </c>
      <c r="G8" s="550"/>
      <c r="H8" s="757"/>
      <c r="I8" s="877"/>
      <c r="J8" s="295"/>
      <c r="K8" s="876"/>
      <c r="L8" s="876"/>
      <c r="M8" s="180"/>
      <c r="N8" s="180"/>
      <c r="O8" s="180"/>
      <c r="P8" s="180"/>
      <c r="Q8" s="180"/>
      <c r="R8" s="180"/>
      <c r="S8" s="180"/>
      <c r="T8" s="180"/>
      <c r="U8" s="876"/>
      <c r="V8" s="876"/>
      <c r="W8" s="876"/>
      <c r="X8" s="876"/>
      <c r="Y8" s="876"/>
      <c r="Z8" s="876"/>
      <c r="AA8" s="876"/>
      <c r="AB8" s="876"/>
      <c r="AC8" s="876"/>
      <c r="AD8" s="876"/>
      <c r="AE8" s="876"/>
      <c r="AF8" s="876"/>
      <c r="AG8" s="876"/>
    </row>
    <row r="9" spans="1:33" s="39" customFormat="1" ht="18" customHeight="1" outlineLevel="2">
      <c r="A9" s="877"/>
      <c r="B9" s="550"/>
      <c r="C9" s="550" t="s">
        <v>177</v>
      </c>
      <c r="D9" s="550"/>
      <c r="E9" s="422" t="s">
        <v>51</v>
      </c>
      <c r="F9" s="503" t="s">
        <v>1013</v>
      </c>
      <c r="G9" s="504"/>
      <c r="H9" s="648"/>
      <c r="I9" s="550"/>
      <c r="J9" s="295"/>
      <c r="K9" s="180"/>
      <c r="L9" s="180"/>
      <c r="M9" s="180"/>
      <c r="N9" s="180"/>
      <c r="O9" s="180"/>
      <c r="P9" s="180"/>
      <c r="Q9" s="180"/>
      <c r="R9" s="180"/>
      <c r="S9" s="180"/>
      <c r="T9" s="180"/>
      <c r="U9" s="876"/>
      <c r="V9" s="876"/>
      <c r="W9" s="876"/>
      <c r="X9" s="876"/>
      <c r="Y9" s="876"/>
      <c r="Z9" s="876"/>
      <c r="AA9" s="876"/>
      <c r="AB9" s="876"/>
      <c r="AC9" s="876"/>
      <c r="AD9" s="876"/>
      <c r="AE9" s="876"/>
      <c r="AF9" s="876"/>
      <c r="AG9" s="876"/>
    </row>
    <row r="10" spans="1:33" s="39" customFormat="1" ht="18" customHeight="1" outlineLevel="2">
      <c r="A10" s="877"/>
      <c r="B10" s="550"/>
      <c r="C10" s="550" t="s">
        <v>178</v>
      </c>
      <c r="D10" s="550"/>
      <c r="E10" s="422" t="s">
        <v>51</v>
      </c>
      <c r="F10" s="761" t="s">
        <v>1045</v>
      </c>
      <c r="G10" s="762"/>
      <c r="H10" s="648"/>
      <c r="I10" s="550"/>
      <c r="J10" s="295"/>
      <c r="K10" s="180"/>
      <c r="L10" s="180"/>
      <c r="M10" s="180"/>
      <c r="N10" s="180"/>
      <c r="O10" s="180"/>
      <c r="P10" s="180"/>
      <c r="Q10" s="180"/>
      <c r="R10" s="180"/>
      <c r="S10" s="180"/>
      <c r="T10" s="180"/>
      <c r="U10" s="876"/>
      <c r="V10" s="876"/>
      <c r="W10" s="876"/>
      <c r="X10" s="876"/>
      <c r="Y10" s="876"/>
      <c r="Z10" s="876"/>
      <c r="AA10" s="876"/>
      <c r="AB10" s="876"/>
      <c r="AC10" s="876"/>
      <c r="AD10" s="876"/>
      <c r="AE10" s="876"/>
      <c r="AF10" s="876"/>
      <c r="AG10" s="876"/>
    </row>
    <row r="11" spans="1:33" s="39" customFormat="1" ht="18" customHeight="1" outlineLevel="2">
      <c r="A11" s="877"/>
      <c r="B11" s="550"/>
      <c r="C11" s="186" t="s">
        <v>179</v>
      </c>
      <c r="D11" s="550"/>
      <c r="E11" s="550"/>
      <c r="F11" s="763" t="str">
        <f ca="1">MID(CELL("Filename"),SEARCH("[",CELL("Filename"))+1,SEARCH("]",CELL("Filename"))-SEARCH("[",CELL("Filename"))-1)</f>
        <v>EFM_Digital_Economy_Free_Version (an Alex 002).xlsx</v>
      </c>
      <c r="G11" s="764"/>
      <c r="H11" s="765"/>
      <c r="I11" s="550"/>
      <c r="J11" s="295"/>
      <c r="K11" s="180"/>
      <c r="L11" s="180"/>
      <c r="M11" s="180"/>
      <c r="N11" s="180"/>
      <c r="O11" s="180"/>
      <c r="P11" s="180"/>
      <c r="Q11" s="180"/>
      <c r="R11" s="180"/>
      <c r="S11" s="180"/>
      <c r="T11" s="180"/>
      <c r="U11" s="876"/>
      <c r="V11" s="876"/>
      <c r="W11" s="876"/>
      <c r="X11" s="876"/>
      <c r="Y11" s="876"/>
      <c r="Z11" s="876"/>
      <c r="AA11" s="876"/>
      <c r="AB11" s="876"/>
      <c r="AC11" s="876"/>
      <c r="AD11" s="876"/>
      <c r="AE11" s="876"/>
      <c r="AF11" s="876"/>
      <c r="AG11" s="876"/>
    </row>
    <row r="12" spans="1:33" s="199" customFormat="1" ht="18" customHeight="1" outlineLevel="2">
      <c r="A12" s="877"/>
      <c r="B12" s="550"/>
      <c r="C12" s="186" t="s">
        <v>180</v>
      </c>
      <c r="D12" s="550"/>
      <c r="E12" s="422" t="s">
        <v>51</v>
      </c>
      <c r="F12" s="503" t="s">
        <v>1067</v>
      </c>
      <c r="G12" s="504"/>
      <c r="H12" s="766"/>
      <c r="I12" s="550"/>
      <c r="J12" s="295"/>
      <c r="K12" s="180"/>
      <c r="L12" s="180"/>
      <c r="M12" s="180"/>
      <c r="N12" s="180"/>
      <c r="O12" s="180"/>
      <c r="P12" s="180"/>
      <c r="Q12" s="180"/>
      <c r="R12" s="180"/>
      <c r="S12" s="180"/>
      <c r="T12" s="180"/>
      <c r="U12" s="876"/>
      <c r="V12" s="876"/>
      <c r="W12" s="876"/>
      <c r="X12" s="876"/>
      <c r="Y12" s="876"/>
      <c r="Z12" s="876"/>
      <c r="AA12" s="876"/>
      <c r="AB12" s="876"/>
      <c r="AC12" s="876"/>
      <c r="AD12" s="876"/>
      <c r="AE12" s="876"/>
      <c r="AF12" s="876"/>
      <c r="AG12" s="876"/>
    </row>
    <row r="13" spans="1:33" s="20" customFormat="1" ht="18" customHeight="1" outlineLevel="2">
      <c r="A13" s="877"/>
      <c r="B13" s="550"/>
      <c r="C13" s="186" t="s">
        <v>181</v>
      </c>
      <c r="D13" s="550"/>
      <c r="E13" s="422" t="s">
        <v>76</v>
      </c>
      <c r="F13" s="755">
        <v>42750</v>
      </c>
      <c r="G13" s="550"/>
      <c r="H13" s="550"/>
      <c r="I13" s="295"/>
      <c r="J13" s="295"/>
      <c r="K13" s="180"/>
      <c r="L13" s="180"/>
      <c r="M13" s="180"/>
      <c r="N13" s="180"/>
      <c r="O13" s="180"/>
      <c r="P13" s="180"/>
      <c r="Q13" s="180"/>
      <c r="R13" s="180"/>
      <c r="S13" s="180"/>
      <c r="T13" s="180"/>
      <c r="U13" s="876"/>
      <c r="V13" s="876"/>
      <c r="W13" s="876"/>
      <c r="X13" s="876"/>
      <c r="Y13" s="876"/>
      <c r="Z13" s="876"/>
      <c r="AA13" s="876"/>
      <c r="AB13" s="876"/>
      <c r="AC13" s="876"/>
      <c r="AD13" s="876"/>
      <c r="AE13" s="876"/>
      <c r="AF13" s="876"/>
      <c r="AG13" s="876"/>
    </row>
    <row r="14" spans="1:33" s="199" customFormat="1" ht="18" customHeight="1" outlineLevel="2">
      <c r="A14" s="877"/>
      <c r="B14" s="550"/>
      <c r="C14" s="186" t="s">
        <v>187</v>
      </c>
      <c r="D14" s="550"/>
      <c r="E14" s="422" t="s">
        <v>133</v>
      </c>
      <c r="F14" s="630" t="s">
        <v>183</v>
      </c>
      <c r="G14" s="504"/>
      <c r="H14" s="767">
        <f>VLOOKUP(F14,Formats!$J$85:$K$86,2,FALSE)</f>
        <v>2</v>
      </c>
      <c r="I14" s="295"/>
      <c r="J14" s="295"/>
      <c r="K14" s="180"/>
      <c r="L14" s="180"/>
      <c r="M14" s="180"/>
      <c r="N14" s="180"/>
      <c r="O14" s="180"/>
      <c r="P14" s="180"/>
      <c r="Q14" s="180"/>
      <c r="R14" s="180"/>
      <c r="S14" s="180"/>
      <c r="T14" s="180"/>
      <c r="U14" s="876"/>
      <c r="V14" s="876"/>
      <c r="W14" s="876"/>
      <c r="X14" s="876"/>
      <c r="Y14" s="876"/>
      <c r="Z14" s="876"/>
      <c r="AA14" s="876"/>
      <c r="AB14" s="876"/>
      <c r="AC14" s="876"/>
      <c r="AD14" s="876"/>
      <c r="AE14" s="876"/>
      <c r="AF14" s="876"/>
      <c r="AG14" s="876"/>
    </row>
    <row r="15" spans="1:33" s="199" customFormat="1" ht="18" customHeight="1" outlineLevel="2">
      <c r="A15" s="877"/>
      <c r="B15" s="550"/>
      <c r="C15" s="186" t="s">
        <v>200</v>
      </c>
      <c r="D15" s="550"/>
      <c r="E15" s="422" t="s">
        <v>50</v>
      </c>
      <c r="F15" s="902" t="s">
        <v>1038</v>
      </c>
      <c r="G15" s="768" t="s">
        <v>201</v>
      </c>
      <c r="H15" s="767"/>
      <c r="I15" s="1095" t="s">
        <v>1068</v>
      </c>
      <c r="J15" s="1095"/>
      <c r="K15" s="1096"/>
      <c r="L15" s="180"/>
      <c r="M15" s="180"/>
      <c r="N15" s="180"/>
      <c r="O15" s="180"/>
      <c r="P15" s="180"/>
      <c r="Q15" s="180"/>
      <c r="R15" s="180"/>
      <c r="S15" s="180"/>
      <c r="T15" s="180"/>
      <c r="U15" s="876"/>
      <c r="V15" s="876"/>
      <c r="W15" s="876"/>
      <c r="X15" s="876"/>
      <c r="Y15" s="876"/>
      <c r="Z15" s="876"/>
      <c r="AA15" s="876"/>
      <c r="AB15" s="876"/>
      <c r="AC15" s="876"/>
      <c r="AD15" s="876"/>
      <c r="AE15" s="876"/>
      <c r="AF15" s="876"/>
      <c r="AG15" s="876"/>
    </row>
    <row r="16" spans="1:33" s="199" customFormat="1" ht="18" customHeight="1" outlineLevel="2">
      <c r="A16" s="877"/>
      <c r="B16" s="550"/>
      <c r="C16" s="186" t="s">
        <v>199</v>
      </c>
      <c r="D16" s="550"/>
      <c r="E16" s="422" t="s">
        <v>1025</v>
      </c>
      <c r="F16" s="899">
        <v>1</v>
      </c>
      <c r="G16" s="767"/>
      <c r="H16" s="550"/>
      <c r="I16" s="550"/>
      <c r="J16" s="180"/>
      <c r="K16" s="180"/>
      <c r="L16" s="180"/>
      <c r="M16" s="180"/>
      <c r="N16" s="180"/>
      <c r="O16" s="180"/>
      <c r="P16" s="180"/>
      <c r="Q16" s="180"/>
      <c r="R16" s="180"/>
      <c r="S16" s="180"/>
      <c r="T16" s="180"/>
      <c r="U16" s="876"/>
      <c r="V16" s="876"/>
      <c r="W16" s="876"/>
      <c r="X16" s="876"/>
      <c r="Y16" s="876"/>
      <c r="Z16" s="876"/>
      <c r="AA16" s="876"/>
      <c r="AB16" s="876"/>
      <c r="AC16" s="876"/>
      <c r="AD16" s="876"/>
      <c r="AE16" s="876"/>
      <c r="AF16" s="876"/>
      <c r="AG16" s="876"/>
    </row>
    <row r="17" spans="1:33" s="199" customFormat="1" ht="18" customHeight="1" outlineLevel="2">
      <c r="A17" s="877"/>
      <c r="B17" s="550"/>
      <c r="C17" s="186" t="s">
        <v>198</v>
      </c>
      <c r="D17" s="550"/>
      <c r="E17" s="550"/>
      <c r="F17" s="1094" t="s">
        <v>1038</v>
      </c>
      <c r="G17" s="766"/>
      <c r="H17" s="550"/>
      <c r="I17" s="550"/>
      <c r="J17" s="180"/>
      <c r="K17" s="180"/>
      <c r="L17" s="180"/>
      <c r="M17" s="180"/>
      <c r="N17" s="180"/>
      <c r="O17" s="180"/>
      <c r="P17" s="180"/>
      <c r="Q17" s="180"/>
      <c r="R17" s="180"/>
      <c r="S17" s="180"/>
      <c r="T17" s="180"/>
      <c r="U17" s="876"/>
      <c r="V17" s="876"/>
      <c r="W17" s="876"/>
      <c r="X17" s="876"/>
      <c r="Y17" s="876"/>
      <c r="Z17" s="876"/>
      <c r="AA17" s="876"/>
      <c r="AB17" s="876"/>
      <c r="AC17" s="876"/>
      <c r="AD17" s="876"/>
      <c r="AE17" s="876"/>
      <c r="AF17" s="876"/>
      <c r="AG17" s="876"/>
    </row>
    <row r="18" spans="1:33" s="37" customFormat="1" ht="9" customHeight="1" outlineLevel="2">
      <c r="A18" s="877"/>
      <c r="B18" s="550"/>
      <c r="C18" s="186"/>
      <c r="D18" s="550"/>
      <c r="E18" s="550"/>
      <c r="F18" s="550"/>
      <c r="G18" s="550"/>
      <c r="H18" s="550"/>
      <c r="I18" s="550"/>
      <c r="J18" s="373"/>
      <c r="K18" s="180"/>
      <c r="L18" s="180"/>
      <c r="M18" s="180"/>
      <c r="N18" s="180"/>
      <c r="O18" s="180"/>
      <c r="P18" s="180"/>
      <c r="Q18" s="180"/>
      <c r="R18" s="180"/>
      <c r="S18" s="180"/>
      <c r="T18" s="180"/>
      <c r="U18" s="876"/>
      <c r="V18" s="876"/>
      <c r="W18" s="876"/>
      <c r="X18" s="876"/>
      <c r="Y18" s="876"/>
      <c r="Z18" s="876"/>
      <c r="AA18" s="876"/>
      <c r="AB18" s="876"/>
      <c r="AC18" s="876"/>
      <c r="AD18" s="876"/>
      <c r="AE18" s="876"/>
      <c r="AF18" s="876"/>
      <c r="AG18" s="876"/>
    </row>
    <row r="19" spans="1:33" s="37" customFormat="1" ht="20.25" outlineLevel="1">
      <c r="A19" s="877"/>
      <c r="B19" s="550"/>
      <c r="C19" s="378" t="s">
        <v>442</v>
      </c>
      <c r="D19" s="1097" t="s">
        <v>1069</v>
      </c>
      <c r="E19" s="1098"/>
      <c r="F19" s="1099"/>
      <c r="G19" s="1100"/>
      <c r="H19" s="758"/>
      <c r="I19" s="758" t="s">
        <v>447</v>
      </c>
      <c r="J19" s="550"/>
      <c r="K19" s="550"/>
      <c r="L19" s="180"/>
      <c r="M19" s="180"/>
      <c r="N19" s="180"/>
      <c r="O19" s="180"/>
      <c r="P19" s="180"/>
      <c r="Q19" s="180"/>
      <c r="R19" s="180"/>
      <c r="S19" s="180"/>
      <c r="T19" s="180"/>
      <c r="U19" s="876"/>
      <c r="V19" s="876"/>
      <c r="W19" s="876"/>
      <c r="X19" s="876"/>
      <c r="Y19" s="876"/>
      <c r="Z19" s="876"/>
      <c r="AA19" s="876"/>
      <c r="AB19" s="876"/>
      <c r="AC19" s="876"/>
      <c r="AD19" s="876"/>
      <c r="AE19" s="876"/>
      <c r="AF19" s="876"/>
      <c r="AG19" s="876"/>
    </row>
    <row r="20" spans="1:33" s="37" customFormat="1" ht="18" customHeight="1" outlineLevel="2">
      <c r="A20" s="877"/>
      <c r="B20" s="550"/>
      <c r="C20" s="550" t="s">
        <v>445</v>
      </c>
      <c r="D20" s="550"/>
      <c r="E20" s="422" t="s">
        <v>76</v>
      </c>
      <c r="F20" s="900">
        <v>43132</v>
      </c>
      <c r="G20" s="757"/>
      <c r="H20" s="619" t="s">
        <v>448</v>
      </c>
      <c r="I20" s="902" t="s">
        <v>23</v>
      </c>
      <c r="J20" s="439">
        <v>11</v>
      </c>
      <c r="K20" s="550"/>
      <c r="L20" s="180"/>
      <c r="M20" s="180"/>
      <c r="N20" s="180"/>
      <c r="O20" s="180"/>
      <c r="P20" s="180"/>
      <c r="Q20" s="180"/>
      <c r="R20" s="180"/>
      <c r="S20" s="180"/>
      <c r="T20" s="180"/>
      <c r="U20" s="876"/>
      <c r="V20" s="876"/>
      <c r="W20" s="876"/>
      <c r="X20" s="876"/>
      <c r="Y20" s="876"/>
      <c r="Z20" s="876"/>
      <c r="AA20" s="876"/>
      <c r="AB20" s="876"/>
      <c r="AC20" s="876"/>
      <c r="AD20" s="876"/>
      <c r="AE20" s="876"/>
      <c r="AF20" s="876"/>
      <c r="AG20" s="876"/>
    </row>
    <row r="21" spans="1:33" s="37" customFormat="1" ht="18" customHeight="1" outlineLevel="2">
      <c r="A21" s="877"/>
      <c r="B21" s="550"/>
      <c r="C21" s="186" t="str">
        <f>IF($I$22=1,"Planning horizon: First financial year + x additional yrs","Planning horizon: Short financial year + x additional yrs")</f>
        <v>Planning horizon: Short financial year + x additional yrs</v>
      </c>
      <c r="D21" s="550"/>
      <c r="E21" s="422" t="s">
        <v>452</v>
      </c>
      <c r="F21" s="901">
        <v>1</v>
      </c>
      <c r="G21" s="648"/>
      <c r="H21" s="619" t="s">
        <v>449</v>
      </c>
      <c r="I21" s="759">
        <v>43070</v>
      </c>
      <c r="J21" s="656" t="s">
        <v>451</v>
      </c>
      <c r="K21" s="759">
        <v>43434</v>
      </c>
      <c r="L21" s="180"/>
      <c r="M21" s="365"/>
      <c r="N21" s="180"/>
      <c r="O21" s="180"/>
      <c r="P21" s="180"/>
      <c r="Q21" s="180"/>
      <c r="R21" s="180"/>
      <c r="S21" s="180"/>
      <c r="T21" s="180"/>
      <c r="U21" s="876"/>
      <c r="V21" s="876"/>
      <c r="W21" s="876"/>
      <c r="X21" s="876"/>
      <c r="Y21" s="876"/>
      <c r="Z21" s="876"/>
      <c r="AA21" s="876"/>
      <c r="AB21" s="876"/>
      <c r="AC21" s="876"/>
      <c r="AD21" s="876"/>
      <c r="AE21" s="876"/>
      <c r="AF21" s="876"/>
      <c r="AG21" s="876"/>
    </row>
    <row r="22" spans="1:33" s="37" customFormat="1" ht="18" customHeight="1" outlineLevel="2">
      <c r="A22" s="877"/>
      <c r="B22" s="550"/>
      <c r="C22" s="186" t="s">
        <v>446</v>
      </c>
      <c r="D22" s="550"/>
      <c r="E22" s="422" t="s">
        <v>76</v>
      </c>
      <c r="F22" s="670">
        <v>43799</v>
      </c>
      <c r="G22" s="550"/>
      <c r="H22" s="619" t="s">
        <v>450</v>
      </c>
      <c r="I22" s="756">
        <v>0</v>
      </c>
      <c r="J22" s="550"/>
      <c r="K22" s="550"/>
      <c r="L22" s="180"/>
      <c r="M22" s="180"/>
      <c r="N22" s="180"/>
      <c r="O22" s="180"/>
      <c r="P22" s="180"/>
      <c r="Q22" s="180"/>
      <c r="R22" s="180"/>
      <c r="S22" s="180"/>
      <c r="T22" s="180"/>
      <c r="U22" s="876"/>
      <c r="V22" s="876"/>
      <c r="W22" s="876"/>
      <c r="X22" s="876"/>
      <c r="Y22" s="876"/>
      <c r="Z22" s="876"/>
      <c r="AA22" s="876"/>
      <c r="AB22" s="876"/>
      <c r="AC22" s="876"/>
      <c r="AD22" s="876"/>
      <c r="AE22" s="876"/>
      <c r="AF22" s="876"/>
      <c r="AG22" s="876"/>
    </row>
    <row r="23" spans="1:33" s="88" customFormat="1" ht="18" customHeight="1" outlineLevel="1">
      <c r="A23" s="877"/>
      <c r="B23" s="180"/>
      <c r="C23" s="876"/>
      <c r="D23" s="876"/>
      <c r="E23" s="180"/>
      <c r="F23" s="297"/>
      <c r="G23" s="370"/>
      <c r="H23" s="370"/>
      <c r="I23" s="180"/>
      <c r="J23" s="180"/>
      <c r="K23" s="180"/>
      <c r="L23" s="180"/>
      <c r="M23" s="180"/>
      <c r="N23" s="180"/>
      <c r="O23" s="180"/>
      <c r="P23" s="180"/>
      <c r="Q23" s="180"/>
      <c r="R23" s="180"/>
      <c r="S23" s="180"/>
      <c r="T23" s="180"/>
      <c r="U23" s="876"/>
      <c r="V23" s="876"/>
      <c r="W23" s="876"/>
      <c r="X23" s="876"/>
      <c r="Y23" s="876"/>
      <c r="Z23" s="876"/>
      <c r="AA23" s="876"/>
      <c r="AB23" s="876"/>
      <c r="AC23" s="876"/>
      <c r="AD23" s="876"/>
      <c r="AE23" s="876"/>
      <c r="AF23" s="876"/>
      <c r="AG23" s="876"/>
    </row>
    <row r="24" spans="1:33" s="632" customFormat="1" ht="18" customHeight="1">
      <c r="A24" s="876"/>
      <c r="B24" s="288"/>
      <c r="C24" s="285"/>
      <c r="D24" s="288"/>
      <c r="E24" s="288"/>
      <c r="F24" s="297"/>
      <c r="G24" s="370"/>
      <c r="H24" s="370"/>
      <c r="I24" s="288"/>
      <c r="J24" s="288"/>
      <c r="K24" s="288"/>
      <c r="L24" s="288"/>
      <c r="M24" s="288"/>
      <c r="N24" s="288"/>
      <c r="O24" s="288"/>
      <c r="P24" s="288"/>
      <c r="Q24" s="288"/>
      <c r="R24" s="288"/>
      <c r="S24" s="288"/>
      <c r="T24" s="288"/>
      <c r="U24" s="876"/>
      <c r="V24" s="876"/>
      <c r="W24" s="876"/>
      <c r="X24" s="876"/>
      <c r="Y24" s="876"/>
      <c r="Z24" s="876"/>
      <c r="AA24" s="876"/>
      <c r="AB24" s="876"/>
      <c r="AC24" s="876"/>
      <c r="AD24" s="876"/>
      <c r="AE24" s="876"/>
      <c r="AF24" s="876"/>
      <c r="AG24" s="876"/>
    </row>
    <row r="25" spans="1:33" s="632" customFormat="1" ht="24" customHeight="1" thickBot="1">
      <c r="A25" s="283"/>
      <c r="B25" s="283"/>
      <c r="C25" s="283" t="s">
        <v>973</v>
      </c>
      <c r="D25" s="284"/>
      <c r="E25" s="284"/>
      <c r="F25" s="367"/>
      <c r="G25" s="284"/>
      <c r="H25" s="284"/>
      <c r="I25" s="284"/>
      <c r="J25" s="284"/>
      <c r="K25" s="284"/>
      <c r="L25" s="284"/>
      <c r="M25" s="284"/>
      <c r="N25" s="284"/>
      <c r="O25" s="284"/>
      <c r="P25" s="288"/>
      <c r="Q25" s="288"/>
      <c r="R25" s="288"/>
      <c r="S25" s="288"/>
      <c r="T25" s="288"/>
      <c r="U25" s="876"/>
      <c r="V25" s="876"/>
      <c r="W25" s="876"/>
      <c r="X25" s="876"/>
      <c r="Y25" s="876"/>
      <c r="Z25" s="876"/>
      <c r="AA25" s="876"/>
      <c r="AB25" s="876"/>
      <c r="AC25" s="876"/>
      <c r="AD25" s="876"/>
      <c r="AE25" s="876"/>
      <c r="AF25" s="876"/>
      <c r="AG25" s="876"/>
    </row>
    <row r="26" spans="1:33" s="878" customFormat="1" ht="11.25" customHeight="1" outlineLevel="1">
      <c r="A26" s="876"/>
      <c r="B26" s="876"/>
      <c r="C26" s="285"/>
      <c r="D26" s="876"/>
      <c r="E26" s="876"/>
      <c r="F26" s="297"/>
      <c r="G26" s="370"/>
      <c r="H26" s="370"/>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row>
    <row r="27" spans="1:33" s="878" customFormat="1" ht="24" customHeight="1" outlineLevel="1">
      <c r="A27" s="876"/>
      <c r="B27" s="876"/>
      <c r="C27" s="293" t="s">
        <v>962</v>
      </c>
      <c r="D27" s="876"/>
      <c r="E27" s="876"/>
      <c r="F27" s="1019">
        <f>F28</f>
        <v>1</v>
      </c>
      <c r="G27" s="370"/>
      <c r="H27" s="370"/>
      <c r="I27" s="876"/>
      <c r="J27" s="876"/>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row>
    <row r="28" spans="1:33" s="878" customFormat="1" ht="22.5" customHeight="1" outlineLevel="2">
      <c r="A28" s="877"/>
      <c r="B28" s="877"/>
      <c r="C28" s="378" t="str">
        <f>"Assumptions for Product/Service 1: "&amp;$F$30</f>
        <v>Assumptions for Product/Service 1: WonderApp</v>
      </c>
      <c r="D28" s="975"/>
      <c r="E28" s="975" t="s">
        <v>1012</v>
      </c>
      <c r="F28" s="769">
        <v>1</v>
      </c>
      <c r="G28" s="877"/>
      <c r="H28" s="370"/>
      <c r="I28" s="877"/>
      <c r="J28" s="877"/>
      <c r="K28" s="877"/>
      <c r="L28" s="876"/>
      <c r="M28" s="876"/>
      <c r="N28" s="876"/>
      <c r="O28" s="876"/>
      <c r="P28" s="876"/>
      <c r="Q28" s="876"/>
      <c r="R28" s="876"/>
      <c r="S28" s="876"/>
      <c r="T28" s="876"/>
      <c r="U28" s="876"/>
      <c r="V28" s="876"/>
      <c r="W28" s="876"/>
      <c r="X28" s="876"/>
      <c r="Y28" s="876"/>
      <c r="Z28" s="876"/>
      <c r="AA28" s="876"/>
      <c r="AB28" s="876"/>
      <c r="AC28" s="876"/>
      <c r="AD28" s="876"/>
      <c r="AE28" s="876"/>
      <c r="AF28" s="876"/>
      <c r="AG28" s="876"/>
    </row>
    <row r="29" spans="1:33" s="878" customFormat="1" ht="17.25" customHeight="1" outlineLevel="2">
      <c r="A29" s="877"/>
      <c r="B29" s="877"/>
      <c r="C29" s="760" t="s">
        <v>843</v>
      </c>
      <c r="D29" s="877"/>
      <c r="E29" s="877"/>
      <c r="F29" s="877"/>
      <c r="G29" s="877"/>
      <c r="H29" s="877"/>
      <c r="I29" s="877"/>
      <c r="J29" s="877"/>
      <c r="K29" s="877"/>
      <c r="L29" s="876"/>
      <c r="M29" s="876"/>
      <c r="N29" s="876"/>
      <c r="O29" s="876"/>
      <c r="P29" s="876"/>
      <c r="Q29" s="876"/>
      <c r="R29" s="876"/>
      <c r="S29" s="876"/>
      <c r="T29" s="876"/>
      <c r="U29" s="876"/>
      <c r="V29" s="876"/>
      <c r="W29" s="876"/>
      <c r="X29" s="876"/>
      <c r="Y29" s="876"/>
      <c r="Z29" s="876"/>
      <c r="AA29" s="876"/>
      <c r="AB29" s="876"/>
      <c r="AC29" s="876"/>
      <c r="AD29" s="876"/>
      <c r="AE29" s="876"/>
      <c r="AF29" s="876"/>
      <c r="AG29" s="876"/>
    </row>
    <row r="30" spans="1:33" s="878" customFormat="1" ht="17.25" customHeight="1" outlineLevel="2">
      <c r="A30" s="877"/>
      <c r="B30" s="877"/>
      <c r="C30" s="181" t="s">
        <v>842</v>
      </c>
      <c r="D30" s="877"/>
      <c r="E30" s="976" t="s">
        <v>51</v>
      </c>
      <c r="F30" s="1020" t="s">
        <v>841</v>
      </c>
      <c r="G30" s="877"/>
      <c r="H30" s="877"/>
      <c r="I30" s="877"/>
      <c r="J30" s="877"/>
      <c r="K30" s="877"/>
      <c r="L30" s="876"/>
      <c r="M30" s="876"/>
      <c r="N30" s="876"/>
      <c r="O30" s="876"/>
      <c r="P30" s="876"/>
      <c r="Q30" s="876"/>
      <c r="R30" s="876"/>
      <c r="S30" s="876"/>
      <c r="T30" s="876"/>
      <c r="U30" s="876"/>
      <c r="V30" s="876"/>
      <c r="W30" s="876"/>
      <c r="X30" s="876"/>
      <c r="Y30" s="876"/>
      <c r="Z30" s="876"/>
      <c r="AA30" s="876"/>
      <c r="AB30" s="876"/>
      <c r="AC30" s="876"/>
      <c r="AD30" s="876"/>
      <c r="AE30" s="876"/>
      <c r="AF30" s="876"/>
      <c r="AG30" s="876"/>
    </row>
    <row r="31" spans="1:33" s="878" customFormat="1" ht="17.25" customHeight="1" outlineLevel="2">
      <c r="A31" s="877"/>
      <c r="B31" s="877"/>
      <c r="C31" s="181" t="s">
        <v>840</v>
      </c>
      <c r="D31" s="877"/>
      <c r="E31" s="976" t="s">
        <v>839</v>
      </c>
      <c r="F31" s="969" t="s">
        <v>195</v>
      </c>
      <c r="G31" s="619" t="s">
        <v>838</v>
      </c>
      <c r="H31" s="977">
        <f>VLOOKUP(F31,Formats!$J$77:$K$80,2,FALSE)</f>
        <v>3</v>
      </c>
      <c r="I31" s="877"/>
      <c r="J31" s="877"/>
      <c r="K31" s="877"/>
      <c r="L31" s="876"/>
      <c r="M31" s="876"/>
      <c r="N31" s="876"/>
      <c r="O31" s="876"/>
      <c r="P31" s="876"/>
      <c r="Q31" s="876"/>
      <c r="R31" s="876"/>
      <c r="S31" s="876"/>
      <c r="T31" s="876"/>
      <c r="U31" s="876"/>
      <c r="V31" s="876"/>
      <c r="W31" s="876"/>
      <c r="X31" s="876"/>
      <c r="Y31" s="876"/>
      <c r="Z31" s="876"/>
      <c r="AA31" s="876"/>
      <c r="AB31" s="876"/>
      <c r="AC31" s="876"/>
      <c r="AD31" s="876"/>
      <c r="AE31" s="876"/>
      <c r="AF31" s="876"/>
      <c r="AG31" s="876"/>
    </row>
    <row r="32" spans="1:33" s="878" customFormat="1" ht="17.25" customHeight="1" outlineLevel="2">
      <c r="A32" s="877"/>
      <c r="B32" s="877"/>
      <c r="C32" s="181" t="s">
        <v>837</v>
      </c>
      <c r="D32" s="877"/>
      <c r="E32" s="976" t="s">
        <v>133</v>
      </c>
      <c r="F32" s="969" t="s">
        <v>836</v>
      </c>
      <c r="G32" s="971">
        <f>IF(F32="Recurring",1,2)</f>
        <v>1</v>
      </c>
      <c r="H32" s="877"/>
      <c r="I32" s="877"/>
      <c r="J32" s="877"/>
      <c r="K32" s="877"/>
      <c r="L32" s="876"/>
      <c r="M32" s="876"/>
      <c r="N32" s="876"/>
      <c r="O32" s="876"/>
      <c r="P32" s="876"/>
      <c r="Q32" s="876"/>
      <c r="R32" s="876"/>
      <c r="S32" s="876"/>
      <c r="T32" s="876"/>
      <c r="U32" s="876"/>
      <c r="V32" s="876"/>
      <c r="W32" s="876"/>
      <c r="X32" s="876"/>
      <c r="Y32" s="876"/>
      <c r="Z32" s="876"/>
      <c r="AA32" s="876"/>
      <c r="AB32" s="876"/>
      <c r="AC32" s="876"/>
      <c r="AD32" s="876"/>
      <c r="AE32" s="876"/>
      <c r="AF32" s="876"/>
      <c r="AG32" s="876"/>
    </row>
    <row r="33" spans="1:33" s="878" customFormat="1" ht="17.25" customHeight="1" outlineLevel="2">
      <c r="A33" s="877"/>
      <c r="B33" s="877"/>
      <c r="C33" s="181" t="s">
        <v>835</v>
      </c>
      <c r="D33" s="877"/>
      <c r="E33" s="976" t="s">
        <v>833</v>
      </c>
      <c r="F33" s="1021">
        <v>0.95</v>
      </c>
      <c r="G33" s="877" t="s">
        <v>832</v>
      </c>
      <c r="H33" s="877"/>
      <c r="I33" s="877"/>
      <c r="J33" s="877"/>
      <c r="K33" s="877"/>
      <c r="L33" s="876"/>
      <c r="M33" s="876"/>
      <c r="N33" s="876"/>
      <c r="O33" s="876"/>
      <c r="P33" s="876"/>
      <c r="Q33" s="876"/>
      <c r="R33" s="876"/>
      <c r="S33" s="876"/>
      <c r="T33" s="876"/>
      <c r="U33" s="876"/>
      <c r="V33" s="876"/>
      <c r="W33" s="876"/>
      <c r="X33" s="876"/>
      <c r="Y33" s="876"/>
      <c r="Z33" s="876"/>
      <c r="AA33" s="876"/>
      <c r="AB33" s="876"/>
      <c r="AC33" s="876"/>
      <c r="AD33" s="876"/>
      <c r="AE33" s="876"/>
      <c r="AF33" s="876"/>
      <c r="AG33" s="876"/>
    </row>
    <row r="34" spans="1:33" s="878" customFormat="1" ht="17.25" customHeight="1" outlineLevel="2">
      <c r="A34" s="877"/>
      <c r="B34" s="877"/>
      <c r="C34" s="181" t="s">
        <v>834</v>
      </c>
      <c r="D34" s="877"/>
      <c r="E34" s="976" t="s">
        <v>833</v>
      </c>
      <c r="F34" s="1021">
        <v>0.2</v>
      </c>
      <c r="G34" s="877" t="s">
        <v>832</v>
      </c>
      <c r="H34" s="877"/>
      <c r="I34" s="877"/>
      <c r="J34" s="877"/>
      <c r="K34" s="877"/>
      <c r="L34" s="876"/>
      <c r="M34" s="876"/>
      <c r="N34" s="876"/>
      <c r="O34" s="876"/>
      <c r="P34" s="876"/>
      <c r="Q34" s="876"/>
      <c r="R34" s="876"/>
      <c r="S34" s="876"/>
      <c r="T34" s="876"/>
      <c r="U34" s="876"/>
      <c r="V34" s="876"/>
      <c r="W34" s="876"/>
      <c r="X34" s="876"/>
      <c r="Y34" s="876"/>
      <c r="Z34" s="876"/>
      <c r="AA34" s="876"/>
      <c r="AB34" s="876"/>
      <c r="AC34" s="876"/>
      <c r="AD34" s="876"/>
      <c r="AE34" s="876"/>
      <c r="AF34" s="876"/>
      <c r="AG34" s="876"/>
    </row>
    <row r="35" spans="1:33" s="878" customFormat="1" ht="17.25" customHeight="1" outlineLevel="2">
      <c r="A35" s="877"/>
      <c r="B35" s="877"/>
      <c r="C35" s="880" t="s">
        <v>831</v>
      </c>
      <c r="D35" s="877"/>
      <c r="E35" s="877"/>
      <c r="F35" s="877"/>
      <c r="G35" s="975"/>
      <c r="H35" s="877"/>
      <c r="I35" s="877"/>
      <c r="J35" s="877"/>
      <c r="K35" s="877"/>
      <c r="L35" s="876"/>
      <c r="M35" s="876"/>
      <c r="N35" s="876"/>
      <c r="O35" s="876"/>
      <c r="P35" s="876"/>
      <c r="Q35" s="876"/>
      <c r="R35" s="876"/>
      <c r="S35" s="876"/>
      <c r="T35" s="876"/>
      <c r="U35" s="876"/>
      <c r="V35" s="876"/>
      <c r="W35" s="876"/>
      <c r="X35" s="876"/>
      <c r="Y35" s="876"/>
      <c r="Z35" s="876"/>
      <c r="AA35" s="876"/>
      <c r="AB35" s="876"/>
      <c r="AC35" s="876"/>
      <c r="AD35" s="876"/>
      <c r="AE35" s="876"/>
      <c r="AF35" s="876"/>
      <c r="AG35" s="876"/>
    </row>
    <row r="36" spans="1:33" s="878" customFormat="1" ht="17.25" customHeight="1" outlineLevel="2">
      <c r="A36" s="877"/>
      <c r="B36" s="877"/>
      <c r="C36" s="737" t="s">
        <v>782</v>
      </c>
      <c r="D36" s="877"/>
      <c r="E36" s="976" t="s">
        <v>39</v>
      </c>
      <c r="F36" s="263">
        <v>120</v>
      </c>
      <c r="G36" s="877" t="s">
        <v>830</v>
      </c>
      <c r="H36" s="877"/>
      <c r="I36" s="877"/>
      <c r="J36" s="877"/>
      <c r="K36" s="877"/>
      <c r="L36" s="876"/>
      <c r="M36" s="876"/>
      <c r="N36" s="876"/>
      <c r="O36" s="876"/>
      <c r="P36" s="876"/>
      <c r="Q36" s="876"/>
      <c r="R36" s="876"/>
      <c r="S36" s="876"/>
      <c r="T36" s="876"/>
      <c r="U36" s="876"/>
      <c r="V36" s="876"/>
      <c r="W36" s="876"/>
      <c r="X36" s="876"/>
      <c r="Y36" s="876"/>
      <c r="Z36" s="876"/>
      <c r="AA36" s="876"/>
      <c r="AB36" s="876"/>
      <c r="AC36" s="876"/>
      <c r="AD36" s="876"/>
      <c r="AE36" s="876"/>
      <c r="AF36" s="876"/>
      <c r="AG36" s="876"/>
    </row>
    <row r="37" spans="1:33" s="878" customFormat="1" ht="17.25" customHeight="1" outlineLevel="2">
      <c r="A37" s="877"/>
      <c r="B37" s="877"/>
      <c r="C37" s="737" t="s">
        <v>780</v>
      </c>
      <c r="D37" s="877"/>
      <c r="E37" s="976" t="s">
        <v>39</v>
      </c>
      <c r="F37" s="263">
        <v>37</v>
      </c>
      <c r="G37" s="877" t="s">
        <v>830</v>
      </c>
      <c r="H37" s="877"/>
      <c r="I37" s="877"/>
      <c r="J37" s="877"/>
      <c r="K37" s="877"/>
      <c r="L37" s="876"/>
      <c r="M37" s="876"/>
      <c r="N37" s="876"/>
      <c r="O37" s="876"/>
      <c r="P37" s="876"/>
      <c r="Q37" s="876"/>
      <c r="R37" s="876"/>
      <c r="S37" s="876"/>
      <c r="T37" s="876"/>
      <c r="U37" s="876"/>
      <c r="V37" s="876"/>
      <c r="W37" s="876"/>
      <c r="X37" s="876"/>
      <c r="Y37" s="876"/>
      <c r="Z37" s="876"/>
      <c r="AA37" s="876"/>
      <c r="AB37" s="876"/>
      <c r="AC37" s="876"/>
      <c r="AD37" s="876"/>
      <c r="AE37" s="876"/>
      <c r="AF37" s="876"/>
      <c r="AG37" s="876"/>
    </row>
    <row r="38" spans="1:33" s="878" customFormat="1" ht="17.25" customHeight="1" outlineLevel="2">
      <c r="A38" s="877"/>
      <c r="B38" s="877"/>
      <c r="C38" s="881" t="str">
        <f>" =&gt; Number of new customers each month to be planned on sheet Offering 1 (row " &amp;ROW('Offering 1'!C14) &amp;")"</f>
        <v xml:space="preserve"> =&gt; Number of new customers each month to be planned on sheet Offering 1 (row 14)</v>
      </c>
      <c r="D38" s="877"/>
      <c r="E38" s="877"/>
      <c r="F38" s="877"/>
      <c r="G38" s="975"/>
      <c r="H38" s="877"/>
      <c r="I38" s="877"/>
      <c r="J38" s="877"/>
      <c r="K38" s="877"/>
      <c r="L38" s="876"/>
      <c r="M38" s="876"/>
      <c r="N38" s="876"/>
      <c r="O38" s="876"/>
      <c r="P38" s="876"/>
      <c r="Q38" s="876"/>
      <c r="R38" s="876"/>
      <c r="S38" s="876"/>
      <c r="T38" s="876"/>
      <c r="U38" s="876"/>
      <c r="V38" s="876"/>
      <c r="W38" s="876"/>
      <c r="X38" s="876"/>
      <c r="Y38" s="876"/>
      <c r="Z38" s="876"/>
      <c r="AA38" s="876"/>
      <c r="AB38" s="876"/>
      <c r="AC38" s="876"/>
      <c r="AD38" s="876"/>
      <c r="AE38" s="876"/>
      <c r="AF38" s="876"/>
      <c r="AG38" s="876"/>
    </row>
    <row r="39" spans="1:33" s="878" customFormat="1" ht="17.25" customHeight="1" outlineLevel="2">
      <c r="A39" s="877"/>
      <c r="B39" s="877"/>
      <c r="C39" s="880"/>
      <c r="D39" s="877"/>
      <c r="E39" s="877"/>
      <c r="F39" s="877"/>
      <c r="G39" s="975"/>
      <c r="H39" s="877"/>
      <c r="I39" s="877"/>
      <c r="J39" s="877"/>
      <c r="K39" s="877"/>
      <c r="L39" s="876"/>
      <c r="M39" s="876"/>
      <c r="N39" s="876"/>
      <c r="O39" s="876"/>
      <c r="P39" s="876"/>
      <c r="Q39" s="876"/>
      <c r="R39" s="876"/>
      <c r="S39" s="876"/>
      <c r="T39" s="876"/>
      <c r="U39" s="876"/>
      <c r="V39" s="876"/>
      <c r="W39" s="876"/>
      <c r="X39" s="876"/>
      <c r="Y39" s="876"/>
      <c r="Z39" s="876"/>
      <c r="AA39" s="876"/>
      <c r="AB39" s="876"/>
      <c r="AC39" s="876"/>
      <c r="AD39" s="876"/>
      <c r="AE39" s="876"/>
      <c r="AF39" s="876"/>
      <c r="AG39" s="876"/>
    </row>
    <row r="40" spans="1:33" s="878" customFormat="1" ht="17.25" customHeight="1" outlineLevel="2">
      <c r="A40" s="877"/>
      <c r="B40" s="877"/>
      <c r="C40" s="760" t="s">
        <v>829</v>
      </c>
      <c r="D40" s="877"/>
      <c r="E40" s="877"/>
      <c r="F40" s="877"/>
      <c r="G40" s="975"/>
      <c r="H40" s="877"/>
      <c r="I40" s="877"/>
      <c r="J40" s="877"/>
      <c r="K40" s="877"/>
      <c r="L40" s="876"/>
      <c r="M40" s="876"/>
      <c r="N40" s="876"/>
      <c r="O40" s="876"/>
      <c r="P40" s="876"/>
      <c r="Q40" s="876"/>
      <c r="R40" s="876"/>
      <c r="S40" s="876"/>
      <c r="T40" s="876"/>
      <c r="U40" s="876"/>
      <c r="V40" s="876"/>
      <c r="W40" s="876"/>
      <c r="X40" s="876"/>
      <c r="Y40" s="876"/>
      <c r="Z40" s="876"/>
      <c r="AA40" s="876"/>
      <c r="AB40" s="876"/>
      <c r="AC40" s="876"/>
      <c r="AD40" s="876"/>
      <c r="AE40" s="876"/>
      <c r="AF40" s="876"/>
      <c r="AG40" s="876"/>
    </row>
    <row r="41" spans="1:33" s="878" customFormat="1" ht="17.25" customHeight="1" outlineLevel="2">
      <c r="A41" s="877"/>
      <c r="B41" s="877"/>
      <c r="C41" s="880" t="s">
        <v>828</v>
      </c>
      <c r="D41" s="877"/>
      <c r="E41" s="975"/>
      <c r="F41" s="432">
        <f>YEAR(Startdatum)</f>
        <v>2018</v>
      </c>
      <c r="G41" s="432">
        <f>F41+1</f>
        <v>2019</v>
      </c>
      <c r="H41" s="877"/>
      <c r="I41" s="877"/>
      <c r="J41" s="877"/>
      <c r="K41" s="877"/>
      <c r="L41" s="876"/>
      <c r="M41" s="876"/>
      <c r="N41" s="876"/>
      <c r="O41" s="876"/>
      <c r="P41" s="876"/>
      <c r="Q41" s="876"/>
      <c r="R41" s="876"/>
      <c r="S41" s="876"/>
      <c r="T41" s="876"/>
      <c r="U41" s="876"/>
      <c r="V41" s="876"/>
      <c r="W41" s="876"/>
      <c r="X41" s="876"/>
      <c r="Y41" s="876"/>
      <c r="Z41" s="876"/>
      <c r="AA41" s="876"/>
      <c r="AB41" s="876"/>
      <c r="AC41" s="876"/>
      <c r="AD41" s="876"/>
      <c r="AE41" s="876"/>
      <c r="AF41" s="876"/>
      <c r="AG41" s="876"/>
    </row>
    <row r="42" spans="1:33" s="878" customFormat="1" ht="17.25" customHeight="1" outlineLevel="2">
      <c r="A42" s="877" t="s">
        <v>47</v>
      </c>
      <c r="B42" s="877"/>
      <c r="C42" s="181" t="s">
        <v>827</v>
      </c>
      <c r="D42" s="877"/>
      <c r="E42" s="976" t="str">
        <f>Currency_Label&amp;" per month"</f>
        <v>USD per month</v>
      </c>
      <c r="F42" s="264">
        <v>40</v>
      </c>
      <c r="G42" s="264">
        <v>40</v>
      </c>
      <c r="H42" s="877"/>
      <c r="I42" s="877"/>
      <c r="J42" s="877"/>
      <c r="K42" s="877"/>
      <c r="L42" s="876"/>
      <c r="M42" s="876"/>
      <c r="N42" s="876"/>
      <c r="O42" s="876"/>
      <c r="P42" s="876"/>
      <c r="Q42" s="876"/>
      <c r="R42" s="876"/>
      <c r="S42" s="876"/>
      <c r="T42" s="876"/>
      <c r="U42" s="876"/>
      <c r="V42" s="876"/>
      <c r="W42" s="876"/>
      <c r="X42" s="876"/>
      <c r="Y42" s="876"/>
      <c r="Z42" s="876"/>
      <c r="AA42" s="876"/>
      <c r="AB42" s="876"/>
      <c r="AC42" s="876"/>
      <c r="AD42" s="876"/>
      <c r="AE42" s="876"/>
      <c r="AF42" s="876"/>
      <c r="AG42" s="876"/>
    </row>
    <row r="43" spans="1:33" s="878" customFormat="1" ht="17.25" customHeight="1" outlineLevel="2">
      <c r="A43" s="877"/>
      <c r="B43" s="877"/>
      <c r="C43" s="181" t="s">
        <v>826</v>
      </c>
      <c r="D43" s="877"/>
      <c r="E43" s="976" t="str">
        <f>Currency_Label&amp;" per month"</f>
        <v>USD per month</v>
      </c>
      <c r="F43" s="264">
        <v>80</v>
      </c>
      <c r="G43" s="264">
        <v>70</v>
      </c>
      <c r="H43" s="877"/>
      <c r="I43" s="877"/>
      <c r="J43" s="877"/>
      <c r="K43" s="877"/>
      <c r="L43" s="876"/>
      <c r="M43" s="876"/>
      <c r="N43" s="876"/>
      <c r="O43" s="876"/>
      <c r="P43" s="876"/>
      <c r="Q43" s="876"/>
      <c r="R43" s="876"/>
      <c r="S43" s="876"/>
      <c r="T43" s="876"/>
      <c r="U43" s="876"/>
      <c r="V43" s="876"/>
      <c r="W43" s="876"/>
      <c r="X43" s="876"/>
      <c r="Y43" s="876"/>
      <c r="Z43" s="876"/>
      <c r="AA43" s="876"/>
      <c r="AB43" s="876"/>
      <c r="AC43" s="876"/>
      <c r="AD43" s="876"/>
      <c r="AE43" s="876"/>
      <c r="AF43" s="876"/>
      <c r="AG43" s="876"/>
    </row>
    <row r="44" spans="1:33" s="878" customFormat="1" ht="17.25" customHeight="1" outlineLevel="2">
      <c r="A44" s="877"/>
      <c r="B44" s="877"/>
      <c r="C44" s="181" t="s">
        <v>781</v>
      </c>
      <c r="D44" s="877"/>
      <c r="E44" s="422" t="str">
        <f>Currency_Label</f>
        <v>USD</v>
      </c>
      <c r="F44" s="264">
        <v>25</v>
      </c>
      <c r="G44" s="974" t="s">
        <v>893</v>
      </c>
      <c r="H44" s="974"/>
      <c r="I44" s="974"/>
      <c r="J44" s="974"/>
      <c r="K44" s="877"/>
      <c r="L44" s="876"/>
      <c r="M44" s="876"/>
      <c r="N44" s="876"/>
      <c r="O44" s="876"/>
      <c r="P44" s="876"/>
      <c r="Q44" s="876"/>
      <c r="R44" s="876"/>
      <c r="S44" s="876"/>
      <c r="T44" s="876"/>
      <c r="U44" s="876"/>
      <c r="V44" s="876"/>
      <c r="W44" s="876"/>
      <c r="X44" s="876"/>
      <c r="Y44" s="876"/>
      <c r="Z44" s="876"/>
      <c r="AA44" s="876"/>
      <c r="AB44" s="876"/>
      <c r="AC44" s="876"/>
      <c r="AD44" s="876"/>
      <c r="AE44" s="876"/>
      <c r="AF44" s="876"/>
      <c r="AG44" s="876"/>
    </row>
    <row r="45" spans="1:33" s="878" customFormat="1" ht="17.25" customHeight="1" outlineLevel="2">
      <c r="A45" s="877"/>
      <c r="B45" s="877"/>
      <c r="C45" s="181" t="str">
        <f>Name_VAT &amp; " - Percentage and applied rate on sales"</f>
        <v>VAT - Percentage and applied rate on sales</v>
      </c>
      <c r="D45" s="877"/>
      <c r="E45" s="976" t="s">
        <v>26</v>
      </c>
      <c r="F45" s="1022">
        <v>0.8</v>
      </c>
      <c r="G45" s="619" t="s">
        <v>793</v>
      </c>
      <c r="H45" s="625" t="s">
        <v>130</v>
      </c>
      <c r="I45" s="797">
        <f>VLOOKUP(H45,Inputs!$C$211:$F$214,4,FALSE)</f>
        <v>0.2</v>
      </c>
      <c r="J45" s="877"/>
      <c r="K45" s="877"/>
      <c r="L45" s="876"/>
      <c r="M45" s="876"/>
      <c r="N45" s="876"/>
      <c r="O45" s="876"/>
      <c r="P45" s="876"/>
      <c r="Q45" s="876"/>
      <c r="R45" s="876"/>
      <c r="S45" s="876"/>
      <c r="T45" s="876"/>
      <c r="U45" s="876"/>
      <c r="V45" s="876"/>
      <c r="W45" s="876"/>
      <c r="X45" s="876"/>
      <c r="Y45" s="876"/>
      <c r="Z45" s="876"/>
      <c r="AA45" s="876"/>
      <c r="AB45" s="876"/>
      <c r="AC45" s="876"/>
      <c r="AD45" s="876"/>
      <c r="AE45" s="876"/>
      <c r="AF45" s="876"/>
      <c r="AG45" s="876"/>
    </row>
    <row r="46" spans="1:33" s="878" customFormat="1" ht="17.25" customHeight="1" outlineLevel="2">
      <c r="A46" s="877"/>
      <c r="B46" s="877"/>
      <c r="C46" s="181" t="s">
        <v>202</v>
      </c>
      <c r="D46" s="877"/>
      <c r="E46" s="976" t="s">
        <v>849</v>
      </c>
      <c r="F46" s="266">
        <v>0.01</v>
      </c>
      <c r="G46" s="974"/>
      <c r="H46" s="974"/>
      <c r="I46" s="974"/>
      <c r="J46" s="974"/>
      <c r="K46" s="877"/>
      <c r="L46" s="876"/>
      <c r="M46" s="876"/>
      <c r="N46" s="876"/>
      <c r="O46" s="876"/>
      <c r="P46" s="876"/>
      <c r="Q46" s="876"/>
      <c r="R46" s="876"/>
      <c r="S46" s="876"/>
      <c r="T46" s="876"/>
      <c r="U46" s="876"/>
      <c r="V46" s="876"/>
      <c r="W46" s="876"/>
      <c r="X46" s="876"/>
      <c r="Y46" s="876"/>
      <c r="Z46" s="876"/>
      <c r="AA46" s="876"/>
      <c r="AB46" s="876"/>
      <c r="AC46" s="876"/>
      <c r="AD46" s="876"/>
      <c r="AE46" s="876"/>
      <c r="AF46" s="876"/>
      <c r="AG46" s="876"/>
    </row>
    <row r="47" spans="1:33" s="878" customFormat="1" ht="17.25" customHeight="1" outlineLevel="2">
      <c r="A47" s="877"/>
      <c r="B47" s="877"/>
      <c r="C47" s="881" t="str">
        <f>" =&gt; Optional: Manual input of additional revenue on sheet Offering 1 (row " &amp;ROW('Offering 1'!$C$38) &amp;" et seq.)"</f>
        <v xml:space="preserve"> =&gt; Optional: Manual input of additional revenue on sheet Offering 1 (row 38 et seq.)</v>
      </c>
      <c r="D47" s="877"/>
      <c r="E47" s="978"/>
      <c r="F47" s="877"/>
      <c r="G47" s="974"/>
      <c r="H47" s="974"/>
      <c r="I47" s="974"/>
      <c r="J47" s="974"/>
      <c r="K47" s="877"/>
      <c r="L47" s="876"/>
      <c r="M47" s="876"/>
      <c r="N47" s="876"/>
      <c r="O47" s="876"/>
      <c r="P47" s="876"/>
      <c r="Q47" s="876"/>
      <c r="R47" s="876"/>
      <c r="S47" s="876"/>
      <c r="T47" s="876"/>
      <c r="U47" s="876"/>
      <c r="V47" s="876"/>
      <c r="W47" s="876"/>
      <c r="X47" s="876"/>
      <c r="Y47" s="876"/>
      <c r="Z47" s="876"/>
      <c r="AA47" s="876"/>
      <c r="AB47" s="876"/>
      <c r="AC47" s="876"/>
      <c r="AD47" s="876"/>
      <c r="AE47" s="876"/>
      <c r="AF47" s="876"/>
      <c r="AG47" s="876"/>
    </row>
    <row r="48" spans="1:33" s="878" customFormat="1" ht="17.25" customHeight="1" outlineLevel="2">
      <c r="A48" s="877"/>
      <c r="B48" s="877"/>
      <c r="C48" s="881"/>
      <c r="D48" s="877"/>
      <c r="E48" s="978"/>
      <c r="F48" s="877"/>
      <c r="G48" s="974"/>
      <c r="H48" s="974"/>
      <c r="I48" s="974"/>
      <c r="J48" s="974"/>
      <c r="K48" s="877"/>
      <c r="L48" s="876"/>
      <c r="M48" s="876"/>
      <c r="N48" s="876"/>
      <c r="O48" s="876"/>
      <c r="P48" s="876"/>
      <c r="Q48" s="876"/>
      <c r="R48" s="876"/>
      <c r="S48" s="876"/>
      <c r="T48" s="876"/>
      <c r="U48" s="876"/>
      <c r="V48" s="876"/>
      <c r="W48" s="876"/>
      <c r="X48" s="876"/>
      <c r="Y48" s="876"/>
      <c r="Z48" s="876"/>
      <c r="AA48" s="876"/>
      <c r="AB48" s="876"/>
      <c r="AC48" s="876"/>
      <c r="AD48" s="876"/>
      <c r="AE48" s="876"/>
      <c r="AF48" s="876"/>
      <c r="AG48" s="876"/>
    </row>
    <row r="49" spans="1:33" s="878" customFormat="1" ht="17.25" customHeight="1" outlineLevel="2">
      <c r="A49" s="877"/>
      <c r="B49" s="877"/>
      <c r="C49" s="880" t="s">
        <v>286</v>
      </c>
      <c r="D49" s="877"/>
      <c r="E49" s="978"/>
      <c r="F49" s="877"/>
      <c r="G49" s="974"/>
      <c r="H49" s="974"/>
      <c r="I49" s="974"/>
      <c r="J49" s="974"/>
      <c r="K49" s="974"/>
      <c r="L49" s="974"/>
      <c r="M49" s="876"/>
      <c r="N49" s="876"/>
      <c r="O49" s="876"/>
      <c r="P49" s="876"/>
      <c r="Q49" s="876"/>
      <c r="R49" s="876"/>
      <c r="S49" s="876"/>
      <c r="T49" s="876"/>
      <c r="U49" s="876"/>
      <c r="V49" s="876"/>
      <c r="W49" s="876"/>
      <c r="X49" s="876"/>
      <c r="Y49" s="876"/>
      <c r="Z49" s="876"/>
      <c r="AA49" s="876"/>
      <c r="AB49" s="876"/>
      <c r="AC49" s="876"/>
      <c r="AD49" s="876"/>
      <c r="AE49" s="876"/>
      <c r="AF49" s="876"/>
      <c r="AG49" s="876"/>
    </row>
    <row r="50" spans="1:33" s="878" customFormat="1" ht="17.25" customHeight="1" outlineLevel="2">
      <c r="A50" s="877"/>
      <c r="B50" s="877"/>
      <c r="C50" s="181" t="s">
        <v>825</v>
      </c>
      <c r="D50" s="877"/>
      <c r="E50" s="976" t="s">
        <v>26</v>
      </c>
      <c r="F50" s="266">
        <v>0.5</v>
      </c>
      <c r="G50" s="974"/>
      <c r="H50" s="974"/>
      <c r="I50" s="974"/>
      <c r="J50" s="974"/>
      <c r="K50" s="974"/>
      <c r="L50" s="974"/>
      <c r="M50" s="876"/>
      <c r="N50" s="876"/>
      <c r="O50" s="876"/>
      <c r="P50" s="876"/>
      <c r="Q50" s="876"/>
      <c r="R50" s="876"/>
      <c r="S50" s="876"/>
      <c r="T50" s="876"/>
      <c r="U50" s="876"/>
      <c r="V50" s="876"/>
      <c r="W50" s="876"/>
      <c r="X50" s="876"/>
      <c r="Y50" s="876"/>
      <c r="Z50" s="876"/>
      <c r="AA50" s="876"/>
      <c r="AB50" s="876"/>
      <c r="AC50" s="876"/>
      <c r="AD50" s="876"/>
      <c r="AE50" s="876"/>
      <c r="AF50" s="876"/>
      <c r="AG50" s="876"/>
    </row>
    <row r="51" spans="1:33" s="878" customFormat="1" ht="17.25" customHeight="1" outlineLevel="2">
      <c r="A51" s="877"/>
      <c r="B51" s="877"/>
      <c r="C51" s="181" t="s">
        <v>286</v>
      </c>
      <c r="D51" s="877"/>
      <c r="E51" s="976" t="s">
        <v>26</v>
      </c>
      <c r="F51" s="266">
        <v>7.4999999999999997E-2</v>
      </c>
      <c r="G51" s="974"/>
      <c r="H51" s="974"/>
      <c r="I51" s="285"/>
      <c r="J51" s="974"/>
      <c r="K51" s="974"/>
      <c r="L51" s="974"/>
      <c r="M51" s="876"/>
      <c r="N51" s="876"/>
      <c r="O51" s="876"/>
      <c r="P51" s="876"/>
      <c r="Q51" s="876"/>
      <c r="R51" s="876"/>
      <c r="S51" s="876"/>
      <c r="T51" s="876"/>
      <c r="U51" s="876"/>
      <c r="V51" s="876"/>
      <c r="W51" s="876"/>
      <c r="X51" s="876"/>
      <c r="Y51" s="876"/>
      <c r="Z51" s="876"/>
      <c r="AA51" s="876"/>
      <c r="AB51" s="876"/>
      <c r="AC51" s="876"/>
      <c r="AD51" s="876"/>
      <c r="AE51" s="876"/>
      <c r="AF51" s="876"/>
      <c r="AG51" s="876"/>
    </row>
    <row r="52" spans="1:33" s="878" customFormat="1" ht="17.25" customHeight="1" outlineLevel="2">
      <c r="A52" s="877"/>
      <c r="B52" s="877"/>
      <c r="C52" s="181" t="s">
        <v>824</v>
      </c>
      <c r="D52" s="877"/>
      <c r="E52" s="976" t="s">
        <v>133</v>
      </c>
      <c r="F52" s="625" t="s">
        <v>823</v>
      </c>
      <c r="G52" s="971">
        <f>VLOOKUP(F52,Formats!$B$93:$C$96,2,FALSE)</f>
        <v>1</v>
      </c>
      <c r="H52" s="974"/>
      <c r="I52" s="974"/>
      <c r="J52" s="974"/>
      <c r="K52" s="974"/>
      <c r="L52" s="974"/>
      <c r="M52" s="876"/>
      <c r="N52" s="876"/>
      <c r="O52" s="876"/>
      <c r="P52" s="876"/>
      <c r="Q52" s="876"/>
      <c r="R52" s="876"/>
      <c r="S52" s="876"/>
      <c r="T52" s="876"/>
      <c r="U52" s="876"/>
      <c r="V52" s="876"/>
      <c r="W52" s="876"/>
      <c r="X52" s="876"/>
      <c r="Y52" s="876"/>
      <c r="Z52" s="876"/>
      <c r="AA52" s="876"/>
      <c r="AB52" s="876"/>
      <c r="AC52" s="876"/>
      <c r="AD52" s="876"/>
      <c r="AE52" s="876"/>
      <c r="AF52" s="876"/>
      <c r="AG52" s="876"/>
    </row>
    <row r="53" spans="1:33" s="878" customFormat="1" ht="17.25" customHeight="1" outlineLevel="2">
      <c r="A53" s="877"/>
      <c r="B53" s="877"/>
      <c r="C53" s="880" t="s">
        <v>822</v>
      </c>
      <c r="D53" s="877"/>
      <c r="E53" s="978"/>
      <c r="F53" s="877"/>
      <c r="G53" s="974"/>
      <c r="H53" s="974"/>
      <c r="I53" s="974"/>
      <c r="J53" s="974"/>
      <c r="K53" s="974"/>
      <c r="L53" s="974"/>
      <c r="M53" s="876"/>
      <c r="N53" s="876"/>
      <c r="O53" s="876"/>
      <c r="P53" s="876"/>
      <c r="Q53" s="876"/>
      <c r="R53" s="876"/>
      <c r="S53" s="876"/>
      <c r="T53" s="876"/>
      <c r="U53" s="876"/>
      <c r="V53" s="876"/>
      <c r="W53" s="876"/>
      <c r="X53" s="876"/>
      <c r="Y53" s="876"/>
      <c r="Z53" s="876"/>
      <c r="AA53" s="876"/>
      <c r="AB53" s="876"/>
      <c r="AC53" s="876"/>
      <c r="AD53" s="876"/>
      <c r="AE53" s="876"/>
      <c r="AF53" s="876"/>
      <c r="AG53" s="876"/>
    </row>
    <row r="54" spans="1:33" s="878" customFormat="1" ht="17.25" customHeight="1" outlineLevel="2">
      <c r="A54" s="877"/>
      <c r="B54" s="877"/>
      <c r="C54" s="181" t="s">
        <v>821</v>
      </c>
      <c r="D54" s="877"/>
      <c r="E54" s="976" t="s">
        <v>133</v>
      </c>
      <c r="F54" s="969" t="s">
        <v>960</v>
      </c>
      <c r="G54" s="971">
        <f>IF(F54="Direct",1,2)</f>
        <v>2</v>
      </c>
      <c r="H54" s="974"/>
      <c r="I54" s="974"/>
      <c r="J54" s="974"/>
      <c r="K54" s="974"/>
      <c r="L54" s="974"/>
      <c r="M54" s="876"/>
      <c r="N54" s="876"/>
      <c r="O54" s="876"/>
      <c r="P54" s="876"/>
      <c r="Q54" s="876"/>
      <c r="R54" s="876"/>
      <c r="S54" s="876"/>
      <c r="T54" s="876"/>
      <c r="U54" s="876"/>
      <c r="V54" s="876"/>
      <c r="W54" s="876"/>
      <c r="X54" s="876"/>
      <c r="Y54" s="876"/>
      <c r="Z54" s="876"/>
      <c r="AA54" s="876"/>
      <c r="AB54" s="876"/>
      <c r="AC54" s="876"/>
      <c r="AD54" s="876"/>
      <c r="AE54" s="876"/>
      <c r="AF54" s="876"/>
      <c r="AG54" s="876"/>
    </row>
    <row r="55" spans="1:33" s="878" customFormat="1" ht="17.25" customHeight="1" outlineLevel="2">
      <c r="A55" s="877"/>
      <c r="B55" s="877"/>
      <c r="C55" s="181" t="s">
        <v>776</v>
      </c>
      <c r="D55" s="877"/>
      <c r="E55" s="976" t="s">
        <v>133</v>
      </c>
      <c r="F55" s="969" t="s">
        <v>195</v>
      </c>
      <c r="G55" s="973" t="str">
        <f>IF(VLOOKUP(F55,Formats!$J$77:$K$80,2,FALSE)&lt;=H31,""," Billing frequency must be equal or less contract length. Adjust one assumption !")</f>
        <v/>
      </c>
      <c r="H55" s="974"/>
      <c r="I55" s="974"/>
      <c r="J55" s="974"/>
      <c r="K55" s="974"/>
      <c r="L55" s="974"/>
      <c r="M55" s="876"/>
      <c r="N55" s="876"/>
      <c r="O55" s="876"/>
      <c r="P55" s="876"/>
      <c r="Q55" s="876"/>
      <c r="R55" s="876"/>
      <c r="S55" s="876"/>
      <c r="T55" s="876"/>
      <c r="U55" s="876"/>
      <c r="V55" s="876"/>
      <c r="W55" s="876"/>
      <c r="X55" s="876"/>
      <c r="Y55" s="876"/>
      <c r="Z55" s="876"/>
      <c r="AA55" s="876"/>
      <c r="AB55" s="876"/>
      <c r="AC55" s="876"/>
      <c r="AD55" s="876"/>
      <c r="AE55" s="876"/>
      <c r="AF55" s="876"/>
      <c r="AG55" s="876"/>
    </row>
    <row r="56" spans="1:33" s="878" customFormat="1" ht="17.25" customHeight="1" outlineLevel="2">
      <c r="A56" s="877"/>
      <c r="B56" s="877"/>
      <c r="C56" s="181" t="s">
        <v>774</v>
      </c>
      <c r="D56" s="877"/>
      <c r="E56" s="976" t="s">
        <v>133</v>
      </c>
      <c r="F56" s="969" t="s">
        <v>846</v>
      </c>
      <c r="G56" s="974"/>
      <c r="H56" s="974"/>
      <c r="I56" s="974"/>
      <c r="J56" s="974"/>
      <c r="K56" s="974"/>
      <c r="L56" s="974"/>
      <c r="M56" s="876"/>
      <c r="N56" s="876"/>
      <c r="O56" s="876"/>
      <c r="P56" s="876"/>
      <c r="Q56" s="876"/>
      <c r="R56" s="876"/>
      <c r="S56" s="876"/>
      <c r="T56" s="876"/>
      <c r="U56" s="876"/>
      <c r="V56" s="876"/>
      <c r="W56" s="876"/>
      <c r="X56" s="876"/>
      <c r="Y56" s="876"/>
      <c r="Z56" s="876"/>
      <c r="AA56" s="876"/>
      <c r="AB56" s="876"/>
      <c r="AC56" s="876"/>
      <c r="AD56" s="876"/>
      <c r="AE56" s="876"/>
      <c r="AF56" s="876"/>
      <c r="AG56" s="876"/>
    </row>
    <row r="57" spans="1:33" s="878" customFormat="1" ht="17.25" customHeight="1" outlineLevel="2">
      <c r="A57" s="877"/>
      <c r="B57" s="975"/>
      <c r="C57" s="975"/>
      <c r="D57" s="975"/>
      <c r="E57" s="975"/>
      <c r="F57" s="975"/>
      <c r="G57" s="975"/>
      <c r="H57" s="877"/>
      <c r="I57" s="877"/>
      <c r="J57" s="877"/>
      <c r="K57" s="877"/>
      <c r="L57" s="877"/>
      <c r="M57" s="876"/>
      <c r="N57" s="876"/>
      <c r="O57" s="876"/>
      <c r="P57" s="876"/>
      <c r="Q57" s="876"/>
      <c r="R57" s="876"/>
      <c r="S57" s="876"/>
      <c r="T57" s="876"/>
      <c r="U57" s="876"/>
      <c r="V57" s="876"/>
      <c r="W57" s="876"/>
      <c r="X57" s="876"/>
      <c r="Y57" s="876"/>
      <c r="Z57" s="876"/>
      <c r="AA57" s="876"/>
      <c r="AB57" s="876"/>
      <c r="AC57" s="876"/>
      <c r="AD57" s="876"/>
      <c r="AE57" s="876"/>
      <c r="AF57" s="876"/>
      <c r="AG57" s="876"/>
    </row>
    <row r="58" spans="1:33" s="878" customFormat="1" ht="17.25" customHeight="1" outlineLevel="2">
      <c r="A58" s="877"/>
      <c r="B58" s="877"/>
      <c r="C58" s="760" t="s">
        <v>819</v>
      </c>
      <c r="D58" s="877"/>
      <c r="E58" s="978"/>
      <c r="F58" s="877"/>
      <c r="G58" s="974"/>
      <c r="H58" s="974"/>
      <c r="I58" s="877"/>
      <c r="J58" s="877"/>
      <c r="K58" s="877"/>
      <c r="L58" s="877"/>
      <c r="M58" s="876"/>
      <c r="N58" s="876"/>
      <c r="O58" s="876"/>
      <c r="P58" s="876"/>
      <c r="Q58" s="876"/>
      <c r="R58" s="876"/>
      <c r="S58" s="876"/>
      <c r="T58" s="876"/>
      <c r="U58" s="876"/>
      <c r="V58" s="876"/>
      <c r="W58" s="876"/>
      <c r="X58" s="876"/>
      <c r="Y58" s="876"/>
      <c r="Z58" s="876"/>
      <c r="AA58" s="876"/>
      <c r="AB58" s="876"/>
      <c r="AC58" s="876"/>
      <c r="AD58" s="876"/>
      <c r="AE58" s="876"/>
      <c r="AF58" s="876"/>
      <c r="AG58" s="876"/>
    </row>
    <row r="59" spans="1:33" s="878" customFormat="1" ht="17.25" customHeight="1" outlineLevel="2">
      <c r="A59" s="877"/>
      <c r="B59" s="877"/>
      <c r="C59" s="181" t="s">
        <v>818</v>
      </c>
      <c r="D59" s="877"/>
      <c r="E59" s="422" t="str">
        <f>Currency_Label</f>
        <v>USD</v>
      </c>
      <c r="F59" s="264">
        <v>5</v>
      </c>
      <c r="G59" s="975"/>
      <c r="H59" s="877"/>
      <c r="I59" s="877"/>
      <c r="J59" s="877"/>
      <c r="K59" s="877"/>
      <c r="L59" s="877"/>
      <c r="M59" s="876"/>
      <c r="N59" s="876"/>
      <c r="O59" s="876"/>
      <c r="P59" s="876"/>
      <c r="Q59" s="876"/>
      <c r="R59" s="876"/>
      <c r="S59" s="876"/>
      <c r="T59" s="876"/>
      <c r="U59" s="876"/>
      <c r="V59" s="876"/>
      <c r="W59" s="876"/>
      <c r="X59" s="876"/>
      <c r="Y59" s="876"/>
      <c r="Z59" s="876"/>
      <c r="AA59" s="876"/>
      <c r="AB59" s="876"/>
      <c r="AC59" s="876"/>
      <c r="AD59" s="876"/>
      <c r="AE59" s="876"/>
      <c r="AF59" s="876"/>
      <c r="AG59" s="876"/>
    </row>
    <row r="60" spans="1:33" s="878" customFormat="1" ht="17.25" customHeight="1" outlineLevel="2">
      <c r="A60" s="877"/>
      <c r="B60" s="877"/>
      <c r="C60" s="181" t="s">
        <v>817</v>
      </c>
      <c r="D60" s="877"/>
      <c r="E60" s="976" t="s">
        <v>816</v>
      </c>
      <c r="F60" s="266">
        <v>0.03</v>
      </c>
      <c r="G60" s="877" t="s">
        <v>815</v>
      </c>
      <c r="H60" s="877"/>
      <c r="I60" s="877"/>
      <c r="J60" s="877"/>
      <c r="K60" s="877"/>
      <c r="L60" s="877"/>
      <c r="M60" s="876"/>
      <c r="N60" s="876"/>
      <c r="O60" s="876"/>
      <c r="P60" s="876"/>
      <c r="Q60" s="876"/>
      <c r="R60" s="876"/>
      <c r="S60" s="876"/>
      <c r="T60" s="876"/>
      <c r="U60" s="876"/>
      <c r="V60" s="876"/>
      <c r="W60" s="876"/>
      <c r="X60" s="876"/>
      <c r="Y60" s="876"/>
      <c r="Z60" s="876"/>
      <c r="AA60" s="876"/>
      <c r="AB60" s="876"/>
      <c r="AC60" s="876"/>
      <c r="AD60" s="876"/>
      <c r="AE60" s="876"/>
      <c r="AF60" s="876"/>
      <c r="AG60" s="876"/>
    </row>
    <row r="61" spans="1:33" s="878" customFormat="1" ht="17.25" customHeight="1" outlineLevel="2">
      <c r="A61" s="877"/>
      <c r="B61" s="877"/>
      <c r="C61" s="970" t="str">
        <f>CHOOSE(language,"Direct Labour","Direct Labor")</f>
        <v>Direct Labor</v>
      </c>
      <c r="D61" s="877"/>
      <c r="E61" s="978"/>
      <c r="F61" s="877"/>
      <c r="G61" s="877"/>
      <c r="H61" s="877"/>
      <c r="I61" s="877"/>
      <c r="J61" s="877"/>
      <c r="K61" s="877"/>
      <c r="L61" s="876"/>
      <c r="M61" s="876"/>
      <c r="N61" s="876"/>
      <c r="O61" s="876"/>
      <c r="P61" s="876"/>
      <c r="Q61" s="876"/>
      <c r="R61" s="876"/>
      <c r="S61" s="876"/>
      <c r="T61" s="876"/>
      <c r="U61" s="876"/>
      <c r="V61" s="876"/>
      <c r="W61" s="876"/>
      <c r="X61" s="876"/>
      <c r="Y61" s="876"/>
      <c r="Z61" s="876"/>
      <c r="AA61" s="876"/>
      <c r="AB61" s="876"/>
      <c r="AC61" s="876"/>
      <c r="AD61" s="876"/>
      <c r="AE61" s="876"/>
      <c r="AF61" s="876"/>
      <c r="AG61" s="876"/>
    </row>
    <row r="62" spans="1:33" s="878" customFormat="1" ht="17.25" customHeight="1" outlineLevel="2">
      <c r="A62" s="877"/>
      <c r="B62" s="877"/>
      <c r="C62" s="249" t="s">
        <v>1028</v>
      </c>
      <c r="D62" s="877"/>
      <c r="E62" s="976" t="s">
        <v>1029</v>
      </c>
      <c r="F62" s="263">
        <v>180</v>
      </c>
      <c r="G62" s="877" t="s">
        <v>1030</v>
      </c>
      <c r="H62" s="877"/>
      <c r="I62" s="877"/>
      <c r="J62" s="877"/>
      <c r="K62" s="877"/>
      <c r="L62" s="876"/>
      <c r="M62" s="876"/>
      <c r="N62" s="876"/>
      <c r="O62" s="876"/>
      <c r="P62" s="876"/>
      <c r="Q62" s="876"/>
      <c r="R62" s="876"/>
      <c r="S62" s="876"/>
      <c r="T62" s="876"/>
      <c r="U62" s="876"/>
      <c r="V62" s="876"/>
      <c r="W62" s="876"/>
      <c r="X62" s="876"/>
      <c r="Y62" s="876"/>
      <c r="Z62" s="876"/>
      <c r="AA62" s="876"/>
      <c r="AB62" s="876"/>
      <c r="AC62" s="876"/>
      <c r="AD62" s="876"/>
      <c r="AE62" s="876"/>
      <c r="AF62" s="876"/>
      <c r="AG62" s="876"/>
    </row>
    <row r="63" spans="1:33" s="878" customFormat="1" ht="17.25" customHeight="1" outlineLevel="2">
      <c r="A63" s="877"/>
      <c r="B63" s="877"/>
      <c r="C63" s="181" t="s">
        <v>796</v>
      </c>
      <c r="D63" s="877"/>
      <c r="E63" s="976" t="s">
        <v>133</v>
      </c>
      <c r="F63" s="969" t="s">
        <v>795</v>
      </c>
      <c r="G63" s="971">
        <f>IF(F63="fully variable",1,2)</f>
        <v>1</v>
      </c>
      <c r="H63" s="877" t="s">
        <v>1031</v>
      </c>
      <c r="I63" s="877"/>
      <c r="J63" s="877"/>
      <c r="K63" s="877"/>
      <c r="L63" s="876"/>
      <c r="M63" s="876"/>
      <c r="N63" s="876"/>
      <c r="O63" s="876"/>
      <c r="P63" s="876"/>
      <c r="Q63" s="876"/>
      <c r="R63" s="876"/>
      <c r="S63" s="876"/>
      <c r="T63" s="876"/>
      <c r="U63" s="876"/>
      <c r="V63" s="876"/>
      <c r="W63" s="876"/>
      <c r="X63" s="876"/>
      <c r="Y63" s="876"/>
      <c r="Z63" s="876"/>
      <c r="AA63" s="876"/>
      <c r="AB63" s="876"/>
      <c r="AC63" s="876"/>
      <c r="AD63" s="876"/>
      <c r="AE63" s="876"/>
      <c r="AF63" s="876"/>
      <c r="AG63" s="876"/>
    </row>
    <row r="64" spans="1:33" s="878" customFormat="1" ht="17.25" customHeight="1" outlineLevel="2">
      <c r="A64" s="877"/>
      <c r="B64" s="877"/>
      <c r="C64" s="181" t="s">
        <v>814</v>
      </c>
      <c r="D64" s="877"/>
      <c r="E64" s="422" t="str">
        <f>Currency_Label &amp;" p.a."</f>
        <v>USD p.a.</v>
      </c>
      <c r="F64" s="263">
        <v>30000</v>
      </c>
      <c r="G64" s="877"/>
      <c r="H64" s="877"/>
      <c r="I64" s="877"/>
      <c r="J64" s="877"/>
      <c r="K64" s="877"/>
      <c r="L64" s="876"/>
      <c r="M64" s="876"/>
      <c r="N64" s="876"/>
      <c r="O64" s="876"/>
      <c r="P64" s="876"/>
      <c r="Q64" s="876"/>
      <c r="R64" s="876"/>
      <c r="S64" s="876"/>
      <c r="T64" s="876"/>
      <c r="U64" s="876"/>
      <c r="V64" s="876"/>
      <c r="W64" s="876"/>
      <c r="X64" s="876"/>
      <c r="Y64" s="876"/>
      <c r="Z64" s="876"/>
      <c r="AA64" s="876"/>
      <c r="AB64" s="876"/>
      <c r="AC64" s="876"/>
      <c r="AD64" s="876"/>
      <c r="AE64" s="876"/>
      <c r="AF64" s="876"/>
      <c r="AG64" s="876"/>
    </row>
    <row r="65" spans="1:33" s="878" customFormat="1" ht="17.25" customHeight="1" outlineLevel="2">
      <c r="A65" s="877"/>
      <c r="B65" s="877"/>
      <c r="C65" s="181" t="s">
        <v>794</v>
      </c>
      <c r="D65" s="877"/>
      <c r="E65" s="422" t="s">
        <v>26</v>
      </c>
      <c r="F65" s="266">
        <v>0.01</v>
      </c>
      <c r="G65" s="877"/>
      <c r="H65" s="877"/>
      <c r="I65" s="877"/>
      <c r="J65" s="877"/>
      <c r="K65" s="877"/>
      <c r="L65" s="876"/>
      <c r="M65" s="876"/>
      <c r="N65" s="876"/>
      <c r="O65" s="876"/>
      <c r="P65" s="876"/>
      <c r="Q65" s="876"/>
      <c r="R65" s="876"/>
      <c r="S65" s="876"/>
      <c r="T65" s="876"/>
      <c r="U65" s="876"/>
      <c r="V65" s="876"/>
      <c r="W65" s="876"/>
      <c r="X65" s="876"/>
      <c r="Y65" s="876"/>
      <c r="Z65" s="876"/>
      <c r="AA65" s="876"/>
      <c r="AB65" s="876"/>
      <c r="AC65" s="876"/>
      <c r="AD65" s="876"/>
      <c r="AE65" s="876"/>
      <c r="AF65" s="876"/>
      <c r="AG65" s="876"/>
    </row>
    <row r="66" spans="1:33" s="878" customFormat="1" ht="17.25" customHeight="1" outlineLevel="2">
      <c r="A66" s="877"/>
      <c r="B66" s="877"/>
      <c r="C66" s="877"/>
      <c r="D66" s="877"/>
      <c r="E66" s="877"/>
      <c r="F66" s="877"/>
      <c r="G66" s="877"/>
      <c r="H66" s="877"/>
      <c r="I66" s="877"/>
      <c r="J66" s="877"/>
      <c r="K66" s="877"/>
      <c r="L66" s="876"/>
      <c r="M66" s="876"/>
      <c r="N66" s="876"/>
      <c r="O66" s="876"/>
      <c r="P66" s="876"/>
      <c r="Q66" s="876"/>
      <c r="R66" s="876"/>
      <c r="S66" s="876"/>
      <c r="T66" s="876"/>
      <c r="U66" s="876"/>
      <c r="V66" s="876"/>
      <c r="W66" s="876"/>
      <c r="X66" s="876"/>
      <c r="Y66" s="876"/>
      <c r="Z66" s="876"/>
      <c r="AA66" s="876"/>
      <c r="AB66" s="876"/>
      <c r="AC66" s="876"/>
      <c r="AD66" s="876"/>
      <c r="AE66" s="876"/>
      <c r="AF66" s="876"/>
      <c r="AG66" s="876"/>
    </row>
    <row r="67" spans="1:33" s="878" customFormat="1" ht="17.25" customHeight="1" outlineLevel="2">
      <c r="A67" s="877"/>
      <c r="B67" s="877"/>
      <c r="C67" s="760" t="s">
        <v>813</v>
      </c>
      <c r="D67" s="877"/>
      <c r="E67" s="978"/>
      <c r="F67" s="877"/>
      <c r="G67" s="974"/>
      <c r="H67" s="877"/>
      <c r="I67" s="877"/>
      <c r="J67" s="877"/>
      <c r="K67" s="877"/>
      <c r="L67" s="876"/>
      <c r="M67" s="876"/>
      <c r="N67" s="876"/>
      <c r="O67" s="876"/>
      <c r="P67" s="876"/>
      <c r="Q67" s="876"/>
      <c r="R67" s="876"/>
      <c r="S67" s="876"/>
      <c r="T67" s="876"/>
      <c r="U67" s="876"/>
      <c r="V67" s="876"/>
      <c r="W67" s="876"/>
      <c r="X67" s="876"/>
      <c r="Y67" s="876"/>
      <c r="Z67" s="876"/>
      <c r="AA67" s="876"/>
      <c r="AB67" s="876"/>
      <c r="AC67" s="876"/>
      <c r="AD67" s="876"/>
      <c r="AE67" s="876"/>
      <c r="AF67" s="876"/>
      <c r="AG67" s="876"/>
    </row>
    <row r="68" spans="1:33" s="878" customFormat="1" ht="17.25" customHeight="1" outlineLevel="2">
      <c r="A68" s="877"/>
      <c r="B68" s="877"/>
      <c r="C68" s="972" t="s">
        <v>812</v>
      </c>
      <c r="D68" s="877"/>
      <c r="E68" s="976" t="str">
        <f>Currency_Label&amp;" per month"</f>
        <v>USD per month</v>
      </c>
      <c r="F68" s="264">
        <v>1.5</v>
      </c>
      <c r="G68" s="877" t="s">
        <v>811</v>
      </c>
      <c r="H68" s="877"/>
      <c r="I68" s="877"/>
      <c r="J68" s="877"/>
      <c r="K68" s="877"/>
      <c r="L68" s="876"/>
      <c r="M68" s="876"/>
      <c r="N68" s="876"/>
      <c r="O68" s="876"/>
      <c r="P68" s="876"/>
      <c r="Q68" s="876"/>
      <c r="R68" s="876"/>
      <c r="S68" s="876"/>
      <c r="T68" s="876"/>
      <c r="U68" s="876"/>
      <c r="V68" s="876"/>
      <c r="W68" s="876"/>
      <c r="X68" s="876"/>
      <c r="Y68" s="876"/>
      <c r="Z68" s="876"/>
      <c r="AA68" s="876"/>
      <c r="AB68" s="876"/>
      <c r="AC68" s="876"/>
      <c r="AD68" s="876"/>
      <c r="AE68" s="876"/>
      <c r="AF68" s="876"/>
      <c r="AG68" s="876"/>
    </row>
    <row r="69" spans="1:33" s="878" customFormat="1" ht="17.25" customHeight="1" outlineLevel="2">
      <c r="A69" s="877"/>
      <c r="B69" s="877"/>
      <c r="C69" s="181" t="s">
        <v>810</v>
      </c>
      <c r="D69" s="877"/>
      <c r="E69" s="976" t="str">
        <f>Currency_Label&amp;" per month"</f>
        <v>USD per month</v>
      </c>
      <c r="F69" s="1055">
        <v>0.8</v>
      </c>
      <c r="G69" s="877" t="s">
        <v>1032</v>
      </c>
      <c r="H69" s="877"/>
      <c r="I69" s="877"/>
      <c r="J69" s="877"/>
      <c r="K69" s="877"/>
      <c r="L69" s="876"/>
      <c r="M69" s="876"/>
      <c r="N69" s="876"/>
      <c r="O69" s="876"/>
      <c r="P69" s="876"/>
      <c r="Q69" s="876"/>
      <c r="R69" s="876"/>
      <c r="S69" s="876"/>
      <c r="T69" s="876"/>
      <c r="U69" s="876"/>
      <c r="V69" s="876"/>
      <c r="W69" s="876"/>
      <c r="X69" s="876"/>
      <c r="Y69" s="876"/>
      <c r="Z69" s="876"/>
      <c r="AA69" s="876"/>
      <c r="AB69" s="876"/>
      <c r="AC69" s="876"/>
      <c r="AD69" s="876"/>
      <c r="AE69" s="876"/>
      <c r="AF69" s="876"/>
      <c r="AG69" s="876"/>
    </row>
    <row r="70" spans="1:33" s="878" customFormat="1" ht="17.25" customHeight="1" outlineLevel="2">
      <c r="A70" s="877"/>
      <c r="B70" s="877"/>
      <c r="C70" s="181" t="s">
        <v>945</v>
      </c>
      <c r="D70" s="877"/>
      <c r="E70" s="422" t="s">
        <v>805</v>
      </c>
      <c r="F70" s="266">
        <v>0.02</v>
      </c>
      <c r="G70" s="877"/>
      <c r="H70" s="877"/>
      <c r="I70" s="877"/>
      <c r="J70" s="877"/>
      <c r="K70" s="877"/>
      <c r="L70" s="876"/>
      <c r="M70" s="876"/>
      <c r="N70" s="876"/>
      <c r="O70" s="876"/>
      <c r="P70" s="876"/>
      <c r="Q70" s="876"/>
      <c r="R70" s="876"/>
      <c r="S70" s="876"/>
      <c r="T70" s="876"/>
      <c r="U70" s="876"/>
      <c r="V70" s="876"/>
      <c r="W70" s="876"/>
      <c r="X70" s="876"/>
      <c r="Y70" s="876"/>
      <c r="Z70" s="876"/>
      <c r="AA70" s="876"/>
      <c r="AB70" s="876"/>
      <c r="AC70" s="876"/>
      <c r="AD70" s="876"/>
      <c r="AE70" s="876"/>
      <c r="AF70" s="876"/>
      <c r="AG70" s="876"/>
    </row>
    <row r="71" spans="1:33" s="878" customFormat="1" ht="17.25" customHeight="1" outlineLevel="2">
      <c r="A71" s="877"/>
      <c r="B71" s="877"/>
      <c r="C71" s="181" t="s">
        <v>809</v>
      </c>
      <c r="D71" s="877"/>
      <c r="E71" s="976" t="str">
        <f>Currency_Label&amp;" per month"</f>
        <v>USD per month</v>
      </c>
      <c r="F71" s="264">
        <v>1.5</v>
      </c>
      <c r="G71" s="877" t="s">
        <v>1058</v>
      </c>
      <c r="H71" s="877"/>
      <c r="I71" s="877"/>
      <c r="J71" s="877"/>
      <c r="K71" s="877"/>
      <c r="L71" s="876"/>
      <c r="M71" s="876"/>
      <c r="N71" s="876"/>
      <c r="O71" s="876"/>
      <c r="P71" s="876"/>
      <c r="Q71" s="876"/>
      <c r="R71" s="876"/>
      <c r="S71" s="876"/>
      <c r="T71" s="876"/>
      <c r="U71" s="876"/>
      <c r="V71" s="876"/>
      <c r="W71" s="876"/>
      <c r="X71" s="876"/>
      <c r="Y71" s="876"/>
      <c r="Z71" s="876"/>
      <c r="AA71" s="876"/>
      <c r="AB71" s="876"/>
      <c r="AC71" s="876"/>
      <c r="AD71" s="876"/>
      <c r="AE71" s="876"/>
      <c r="AF71" s="876"/>
      <c r="AG71" s="876"/>
    </row>
    <row r="72" spans="1:33" s="878" customFormat="1" ht="17.25" customHeight="1" outlineLevel="2">
      <c r="A72" s="877"/>
      <c r="B72" s="877"/>
      <c r="C72" s="181" t="s">
        <v>808</v>
      </c>
      <c r="D72" s="877"/>
      <c r="E72" s="976" t="str">
        <f>Currency_Label&amp;" per month"</f>
        <v>USD per month</v>
      </c>
      <c r="F72" s="264">
        <v>0</v>
      </c>
      <c r="G72" s="877" t="s">
        <v>807</v>
      </c>
      <c r="H72" s="877"/>
      <c r="I72" s="877"/>
      <c r="J72" s="877"/>
      <c r="K72" s="877"/>
      <c r="L72" s="876"/>
      <c r="M72" s="876"/>
      <c r="N72" s="876"/>
      <c r="O72" s="876"/>
      <c r="P72" s="876"/>
      <c r="Q72" s="876"/>
      <c r="R72" s="876"/>
      <c r="S72" s="876"/>
      <c r="T72" s="876"/>
      <c r="U72" s="876"/>
      <c r="V72" s="876"/>
      <c r="W72" s="876"/>
      <c r="X72" s="876"/>
      <c r="Y72" s="876"/>
      <c r="Z72" s="876"/>
      <c r="AA72" s="876"/>
      <c r="AB72" s="876"/>
      <c r="AC72" s="876"/>
      <c r="AD72" s="876"/>
      <c r="AE72" s="876"/>
      <c r="AF72" s="876"/>
      <c r="AG72" s="876"/>
    </row>
    <row r="73" spans="1:33" s="878" customFormat="1" ht="17.25" customHeight="1" outlineLevel="2">
      <c r="A73" s="877"/>
      <c r="B73" s="877"/>
      <c r="C73" s="625" t="s">
        <v>806</v>
      </c>
      <c r="D73" s="877"/>
      <c r="E73" s="422" t="s">
        <v>805</v>
      </c>
      <c r="F73" s="266">
        <v>0</v>
      </c>
      <c r="G73" s="877" t="s">
        <v>804</v>
      </c>
      <c r="H73" s="877"/>
      <c r="I73" s="877"/>
      <c r="J73" s="877"/>
      <c r="K73" s="877"/>
      <c r="L73" s="876"/>
      <c r="M73" s="876"/>
      <c r="N73" s="876"/>
      <c r="O73" s="876"/>
      <c r="P73" s="876"/>
      <c r="Q73" s="876"/>
      <c r="R73" s="876"/>
      <c r="S73" s="876"/>
      <c r="T73" s="876"/>
      <c r="U73" s="876"/>
      <c r="V73" s="876"/>
      <c r="W73" s="876"/>
      <c r="X73" s="876"/>
      <c r="Y73" s="876"/>
      <c r="Z73" s="876"/>
      <c r="AA73" s="876"/>
      <c r="AB73" s="876"/>
      <c r="AC73" s="876"/>
      <c r="AD73" s="876"/>
      <c r="AE73" s="876"/>
      <c r="AF73" s="876"/>
      <c r="AG73" s="876"/>
    </row>
    <row r="74" spans="1:33" s="878" customFormat="1" ht="17.25" customHeight="1" outlineLevel="2">
      <c r="A74" s="877"/>
      <c r="B74" s="877"/>
      <c r="C74" s="881" t="str">
        <f>" =&gt; Optional: Two additional rows for manual input on sheet Offering 1 (row " &amp;ROW('Offering 1'!$C$67) &amp;" et seq.)"</f>
        <v xml:space="preserve"> =&gt; Optional: Two additional rows for manual input on sheet Offering 1 (row 67 et seq.)</v>
      </c>
      <c r="D74" s="877"/>
      <c r="E74" s="877"/>
      <c r="F74" s="877"/>
      <c r="G74" s="877"/>
      <c r="H74" s="877"/>
      <c r="I74" s="877"/>
      <c r="J74" s="877"/>
      <c r="K74" s="877"/>
      <c r="L74" s="876"/>
      <c r="M74" s="876"/>
      <c r="N74" s="876"/>
      <c r="O74" s="876"/>
      <c r="P74" s="876"/>
      <c r="Q74" s="876"/>
      <c r="R74" s="876"/>
      <c r="S74" s="876"/>
      <c r="T74" s="876"/>
      <c r="U74" s="876"/>
      <c r="V74" s="876"/>
      <c r="W74" s="876"/>
      <c r="X74" s="876"/>
      <c r="Y74" s="876"/>
      <c r="Z74" s="876"/>
      <c r="AA74" s="876"/>
      <c r="AB74" s="876"/>
      <c r="AC74" s="876"/>
      <c r="AD74" s="876"/>
      <c r="AE74" s="876"/>
      <c r="AF74" s="876"/>
      <c r="AG74" s="876"/>
    </row>
    <row r="75" spans="1:33" s="878" customFormat="1" ht="17.25" customHeight="1" outlineLevel="2">
      <c r="A75" s="877"/>
      <c r="B75" s="985" t="s">
        <v>803</v>
      </c>
      <c r="C75" s="970" t="str">
        <f>CHOOSE(language,"Direct Labour","Direct Labor")</f>
        <v>Direct Labor</v>
      </c>
      <c r="D75" s="877"/>
      <c r="E75" s="877"/>
      <c r="F75" s="877"/>
      <c r="G75" s="877"/>
      <c r="H75" s="877"/>
      <c r="I75" s="877"/>
      <c r="J75" s="877"/>
      <c r="K75" s="877"/>
      <c r="L75" s="876"/>
      <c r="M75" s="876"/>
      <c r="N75" s="876"/>
      <c r="O75" s="876"/>
      <c r="P75" s="876"/>
      <c r="Q75" s="876"/>
      <c r="R75" s="876"/>
      <c r="S75" s="876"/>
      <c r="T75" s="876"/>
      <c r="U75" s="876"/>
      <c r="V75" s="876"/>
      <c r="W75" s="876"/>
      <c r="X75" s="876"/>
      <c r="Y75" s="876"/>
      <c r="Z75" s="876"/>
      <c r="AA75" s="876"/>
      <c r="AB75" s="876"/>
      <c r="AC75" s="876"/>
      <c r="AD75" s="876"/>
      <c r="AE75" s="876"/>
      <c r="AF75" s="876"/>
      <c r="AG75" s="876"/>
    </row>
    <row r="76" spans="1:33" s="878" customFormat="1" ht="17.25" customHeight="1" outlineLevel="2">
      <c r="A76" s="877"/>
      <c r="B76" s="877"/>
      <c r="C76" s="181" t="s">
        <v>802</v>
      </c>
      <c r="D76" s="877"/>
      <c r="E76" s="976" t="s">
        <v>1027</v>
      </c>
      <c r="F76" s="264">
        <v>0.5</v>
      </c>
      <c r="G76" s="877"/>
      <c r="H76" s="877"/>
      <c r="I76" s="877"/>
      <c r="J76" s="877"/>
      <c r="K76" s="877"/>
      <c r="L76" s="876"/>
      <c r="M76" s="876"/>
      <c r="N76" s="876"/>
      <c r="O76" s="876"/>
      <c r="P76" s="876"/>
      <c r="Q76" s="876"/>
      <c r="R76" s="876"/>
      <c r="S76" s="876"/>
      <c r="T76" s="876"/>
      <c r="U76" s="876"/>
      <c r="V76" s="876"/>
      <c r="W76" s="876"/>
      <c r="X76" s="876"/>
      <c r="Y76" s="876"/>
      <c r="Z76" s="876"/>
      <c r="AA76" s="876"/>
      <c r="AB76" s="876"/>
      <c r="AC76" s="876"/>
      <c r="AD76" s="876"/>
      <c r="AE76" s="876"/>
      <c r="AF76" s="876"/>
      <c r="AG76" s="876"/>
    </row>
    <row r="77" spans="1:33" s="878" customFormat="1" ht="17.25" customHeight="1" outlineLevel="2">
      <c r="A77" s="877"/>
      <c r="B77" s="877"/>
      <c r="C77" s="181" t="s">
        <v>801</v>
      </c>
      <c r="D77" s="877"/>
      <c r="E77" s="976" t="str">
        <f>Currency_Label&amp;" per hour"</f>
        <v>USD per hour</v>
      </c>
      <c r="F77" s="264">
        <v>12</v>
      </c>
      <c r="G77" s="877"/>
      <c r="H77" s="877"/>
      <c r="I77" s="877"/>
      <c r="J77" s="877"/>
      <c r="K77" s="877"/>
      <c r="L77" s="876"/>
      <c r="M77" s="876"/>
      <c r="N77" s="876"/>
      <c r="O77" s="876"/>
      <c r="P77" s="876"/>
      <c r="Q77" s="876"/>
      <c r="R77" s="876"/>
      <c r="S77" s="876"/>
      <c r="T77" s="876"/>
      <c r="U77" s="876"/>
      <c r="V77" s="876"/>
      <c r="W77" s="876"/>
      <c r="X77" s="876"/>
      <c r="Y77" s="876"/>
      <c r="Z77" s="876"/>
      <c r="AA77" s="876"/>
      <c r="AB77" s="876"/>
      <c r="AC77" s="876"/>
      <c r="AD77" s="876"/>
      <c r="AE77" s="876"/>
      <c r="AF77" s="876"/>
      <c r="AG77" s="876"/>
    </row>
    <row r="78" spans="1:33" s="878" customFormat="1" ht="17.25" customHeight="1" outlineLevel="2">
      <c r="A78" s="877"/>
      <c r="B78" s="877"/>
      <c r="C78" s="877" t="s">
        <v>865</v>
      </c>
      <c r="D78" s="877"/>
      <c r="E78" s="877"/>
      <c r="F78" s="877"/>
      <c r="G78" s="877"/>
      <c r="H78" s="877"/>
      <c r="I78" s="877"/>
      <c r="J78" s="877"/>
      <c r="K78" s="877"/>
      <c r="L78" s="876"/>
      <c r="M78" s="876"/>
      <c r="N78" s="876"/>
      <c r="O78" s="876"/>
      <c r="P78" s="876"/>
      <c r="Q78" s="876"/>
      <c r="R78" s="876"/>
      <c r="S78" s="876"/>
      <c r="T78" s="876"/>
      <c r="U78" s="876"/>
      <c r="V78" s="876"/>
      <c r="W78" s="876"/>
      <c r="X78" s="876"/>
      <c r="Y78" s="876"/>
      <c r="Z78" s="876"/>
      <c r="AA78" s="876"/>
      <c r="AB78" s="876"/>
      <c r="AC78" s="876"/>
      <c r="AD78" s="876"/>
      <c r="AE78" s="876"/>
      <c r="AF78" s="876"/>
      <c r="AG78" s="876"/>
    </row>
    <row r="79" spans="1:33" s="878" customFormat="1" ht="17.25" customHeight="1" outlineLevel="2">
      <c r="A79" s="877"/>
      <c r="B79" s="877"/>
      <c r="C79" s="181" t="s">
        <v>862</v>
      </c>
      <c r="D79" s="877"/>
      <c r="E79" s="976" t="s">
        <v>860</v>
      </c>
      <c r="F79" s="263">
        <f>8*20*12</f>
        <v>1920</v>
      </c>
      <c r="G79" s="877" t="s">
        <v>861</v>
      </c>
      <c r="H79" s="877"/>
      <c r="I79" s="877"/>
      <c r="J79" s="877"/>
      <c r="K79" s="877"/>
      <c r="L79" s="876"/>
      <c r="M79" s="876"/>
      <c r="N79" s="876"/>
      <c r="O79" s="876"/>
      <c r="P79" s="876"/>
      <c r="Q79" s="876"/>
      <c r="R79" s="876"/>
      <c r="S79" s="876"/>
      <c r="T79" s="876"/>
      <c r="U79" s="876"/>
      <c r="V79" s="876"/>
      <c r="W79" s="876"/>
      <c r="X79" s="876"/>
      <c r="Y79" s="876"/>
      <c r="Z79" s="876"/>
      <c r="AA79" s="876"/>
      <c r="AB79" s="876"/>
      <c r="AC79" s="876"/>
      <c r="AD79" s="876"/>
      <c r="AE79" s="876"/>
      <c r="AF79" s="876"/>
      <c r="AG79" s="876"/>
    </row>
    <row r="80" spans="1:33" s="878" customFormat="1" ht="17.25" customHeight="1" outlineLevel="2">
      <c r="A80" s="877"/>
      <c r="B80" s="877"/>
      <c r="C80" s="181" t="s">
        <v>864</v>
      </c>
      <c r="D80" s="877"/>
      <c r="E80" s="422" t="str">
        <f>Currency_Label &amp;" p.a."</f>
        <v>USD p.a.</v>
      </c>
      <c r="F80" s="70">
        <f>F77*F79</f>
        <v>23040</v>
      </c>
      <c r="G80" s="877"/>
      <c r="H80" s="877"/>
      <c r="I80" s="877"/>
      <c r="J80" s="877"/>
      <c r="K80" s="877"/>
      <c r="L80" s="876"/>
      <c r="M80" s="876"/>
      <c r="N80" s="876"/>
      <c r="O80" s="876"/>
      <c r="P80" s="876"/>
      <c r="Q80" s="876"/>
      <c r="R80" s="876"/>
      <c r="S80" s="876"/>
      <c r="T80" s="876"/>
      <c r="U80" s="876"/>
      <c r="V80" s="876"/>
      <c r="W80" s="876"/>
      <c r="X80" s="876"/>
      <c r="Y80" s="876"/>
      <c r="Z80" s="876"/>
      <c r="AA80" s="876"/>
      <c r="AB80" s="876"/>
      <c r="AC80" s="876"/>
      <c r="AD80" s="876"/>
      <c r="AE80" s="876"/>
      <c r="AF80" s="876"/>
      <c r="AG80" s="876"/>
    </row>
    <row r="81" spans="1:33" s="878" customFormat="1" ht="17.25" customHeight="1" outlineLevel="2">
      <c r="A81" s="877"/>
      <c r="B81" s="985" t="s">
        <v>800</v>
      </c>
      <c r="C81" s="970" t="s">
        <v>924</v>
      </c>
      <c r="D81" s="877"/>
      <c r="E81" s="877"/>
      <c r="F81" s="877"/>
      <c r="G81" s="877"/>
      <c r="H81" s="877"/>
      <c r="I81" s="877"/>
      <c r="J81" s="877"/>
      <c r="K81" s="877"/>
      <c r="L81" s="876"/>
      <c r="M81" s="876"/>
      <c r="N81" s="876"/>
      <c r="O81" s="876"/>
      <c r="P81" s="876"/>
      <c r="Q81" s="876"/>
      <c r="R81" s="876"/>
      <c r="S81" s="876"/>
      <c r="T81" s="876"/>
      <c r="U81" s="876"/>
      <c r="V81" s="876"/>
      <c r="W81" s="876"/>
      <c r="X81" s="876"/>
      <c r="Y81" s="876"/>
      <c r="Z81" s="876"/>
      <c r="AA81" s="876"/>
      <c r="AB81" s="876"/>
      <c r="AC81" s="876"/>
      <c r="AD81" s="876"/>
      <c r="AE81" s="876"/>
      <c r="AF81" s="876"/>
      <c r="AG81" s="876"/>
    </row>
    <row r="82" spans="1:33" s="878" customFormat="1" ht="17.25" customHeight="1" outlineLevel="2">
      <c r="A82" s="877"/>
      <c r="B82" s="877"/>
      <c r="C82" s="181" t="s">
        <v>799</v>
      </c>
      <c r="D82" s="877"/>
      <c r="E82" s="789" t="s">
        <v>798</v>
      </c>
      <c r="F82" s="263">
        <v>500</v>
      </c>
      <c r="G82" s="877" t="s">
        <v>797</v>
      </c>
      <c r="H82" s="877"/>
      <c r="I82" s="877"/>
      <c r="J82" s="877"/>
      <c r="K82" s="877"/>
      <c r="L82" s="876"/>
      <c r="M82" s="876"/>
      <c r="N82" s="876"/>
      <c r="O82" s="876"/>
      <c r="P82" s="876"/>
      <c r="Q82" s="876"/>
      <c r="R82" s="876"/>
      <c r="S82" s="876"/>
      <c r="T82" s="876"/>
      <c r="U82" s="876"/>
      <c r="V82" s="876"/>
      <c r="W82" s="876"/>
      <c r="X82" s="876"/>
      <c r="Y82" s="876"/>
      <c r="Z82" s="876"/>
      <c r="AA82" s="876"/>
      <c r="AB82" s="876"/>
      <c r="AC82" s="876"/>
      <c r="AD82" s="876"/>
      <c r="AE82" s="876"/>
      <c r="AF82" s="876"/>
      <c r="AG82" s="876"/>
    </row>
    <row r="83" spans="1:33" s="878" customFormat="1" ht="17.25" customHeight="1" outlineLevel="2">
      <c r="A83" s="877"/>
      <c r="B83" s="877"/>
      <c r="C83" s="181" t="s">
        <v>796</v>
      </c>
      <c r="D83" s="877"/>
      <c r="E83" s="976" t="s">
        <v>133</v>
      </c>
      <c r="F83" s="969" t="s">
        <v>795</v>
      </c>
      <c r="G83" s="971">
        <f>IF(F83="fully variable",1,2)</f>
        <v>1</v>
      </c>
      <c r="H83" s="877" t="s">
        <v>1031</v>
      </c>
      <c r="I83" s="877"/>
      <c r="J83" s="877"/>
      <c r="K83" s="877"/>
      <c r="L83" s="876"/>
      <c r="M83" s="876"/>
      <c r="N83" s="876"/>
      <c r="O83" s="876"/>
      <c r="P83" s="876"/>
      <c r="Q83" s="876"/>
      <c r="R83" s="876"/>
      <c r="S83" s="876"/>
      <c r="T83" s="876"/>
      <c r="U83" s="876"/>
      <c r="V83" s="876"/>
      <c r="W83" s="876"/>
      <c r="X83" s="876"/>
      <c r="Y83" s="876"/>
      <c r="Z83" s="876"/>
      <c r="AA83" s="876"/>
      <c r="AB83" s="876"/>
      <c r="AC83" s="876"/>
      <c r="AD83" s="876"/>
      <c r="AE83" s="876"/>
      <c r="AF83" s="876"/>
      <c r="AG83" s="876"/>
    </row>
    <row r="84" spans="1:33" s="878" customFormat="1" ht="17.25" customHeight="1" outlineLevel="2">
      <c r="A84" s="877"/>
      <c r="B84" s="877"/>
      <c r="C84" s="181" t="s">
        <v>856</v>
      </c>
      <c r="D84" s="877"/>
      <c r="E84" s="422" t="str">
        <f>Currency_Label &amp;" p.a."</f>
        <v>USD p.a.</v>
      </c>
      <c r="F84" s="263">
        <v>32000</v>
      </c>
      <c r="G84" s="877"/>
      <c r="H84" s="877"/>
      <c r="I84" s="877"/>
      <c r="J84" s="877"/>
      <c r="K84" s="877"/>
      <c r="L84" s="876"/>
      <c r="M84" s="876"/>
      <c r="N84" s="876"/>
      <c r="O84" s="876"/>
      <c r="P84" s="876"/>
      <c r="Q84" s="876"/>
      <c r="R84" s="876"/>
      <c r="S84" s="876"/>
      <c r="T84" s="876"/>
      <c r="U84" s="876"/>
      <c r="V84" s="876"/>
      <c r="W84" s="876"/>
      <c r="X84" s="876"/>
      <c r="Y84" s="876"/>
      <c r="Z84" s="876"/>
      <c r="AA84" s="876"/>
      <c r="AB84" s="876"/>
      <c r="AC84" s="876"/>
      <c r="AD84" s="876"/>
      <c r="AE84" s="876"/>
      <c r="AF84" s="876"/>
      <c r="AG84" s="876"/>
    </row>
    <row r="85" spans="1:33" s="878" customFormat="1" ht="17.25" customHeight="1" outlineLevel="2">
      <c r="A85" s="877"/>
      <c r="B85" s="877"/>
      <c r="C85" s="181" t="s">
        <v>794</v>
      </c>
      <c r="D85" s="877"/>
      <c r="E85" s="422" t="s">
        <v>26</v>
      </c>
      <c r="F85" s="266">
        <v>1.4999999999999999E-2</v>
      </c>
      <c r="G85" s="877"/>
      <c r="H85" s="877"/>
      <c r="I85" s="877"/>
      <c r="J85" s="877"/>
      <c r="K85" s="877"/>
      <c r="L85" s="876"/>
      <c r="M85" s="876"/>
      <c r="N85" s="876"/>
      <c r="O85" s="876"/>
      <c r="P85" s="876"/>
      <c r="Q85" s="876"/>
      <c r="R85" s="876"/>
      <c r="S85" s="876"/>
      <c r="T85" s="876"/>
      <c r="U85" s="876"/>
      <c r="V85" s="876"/>
      <c r="W85" s="876"/>
      <c r="X85" s="876"/>
      <c r="Y85" s="876"/>
      <c r="Z85" s="876"/>
      <c r="AA85" s="876"/>
      <c r="AB85" s="876"/>
      <c r="AC85" s="876"/>
      <c r="AD85" s="876"/>
      <c r="AE85" s="876"/>
      <c r="AF85" s="876"/>
      <c r="AG85" s="876"/>
    </row>
    <row r="86" spans="1:33" s="878" customFormat="1" ht="17.25" customHeight="1" outlineLevel="2">
      <c r="A86" s="877"/>
      <c r="B86" s="877"/>
      <c r="C86" s="877"/>
      <c r="D86" s="877"/>
      <c r="E86" s="877"/>
      <c r="F86" s="877"/>
      <c r="G86" s="877"/>
      <c r="H86" s="877"/>
      <c r="I86" s="877"/>
      <c r="J86" s="877"/>
      <c r="K86" s="877"/>
      <c r="L86" s="876"/>
      <c r="M86" s="876"/>
      <c r="N86" s="876"/>
      <c r="O86" s="876"/>
      <c r="P86" s="876"/>
      <c r="Q86" s="876"/>
      <c r="R86" s="876"/>
      <c r="S86" s="876"/>
      <c r="T86" s="876"/>
      <c r="U86" s="876"/>
      <c r="V86" s="876"/>
      <c r="W86" s="876"/>
      <c r="X86" s="876"/>
      <c r="Y86" s="876"/>
      <c r="Z86" s="876"/>
      <c r="AA86" s="876"/>
      <c r="AB86" s="876"/>
      <c r="AC86" s="876"/>
      <c r="AD86" s="876"/>
      <c r="AE86" s="876"/>
      <c r="AF86" s="876"/>
      <c r="AG86" s="876"/>
    </row>
    <row r="87" spans="1:33" s="878" customFormat="1" ht="17.25" customHeight="1" outlineLevel="2">
      <c r="A87" s="877"/>
      <c r="B87" s="877"/>
      <c r="C87" s="970" t="str">
        <f>Name_VAT &amp; " - Cost of Sales"</f>
        <v>VAT - Cost of Sales</v>
      </c>
      <c r="D87" s="877"/>
      <c r="E87" s="877"/>
      <c r="F87" s="877"/>
      <c r="G87" s="877"/>
      <c r="H87" s="877"/>
      <c r="I87" s="877"/>
      <c r="J87" s="877"/>
      <c r="K87" s="877"/>
      <c r="L87" s="876"/>
      <c r="M87" s="876"/>
      <c r="N87" s="876"/>
      <c r="O87" s="876"/>
      <c r="P87" s="876"/>
      <c r="Q87" s="876"/>
      <c r="R87" s="876"/>
      <c r="S87" s="876"/>
      <c r="T87" s="876"/>
      <c r="U87" s="876"/>
      <c r="V87" s="876"/>
      <c r="W87" s="876"/>
      <c r="X87" s="876"/>
      <c r="Y87" s="876"/>
      <c r="Z87" s="876"/>
      <c r="AA87" s="876"/>
      <c r="AB87" s="876"/>
      <c r="AC87" s="876"/>
      <c r="AD87" s="876"/>
      <c r="AE87" s="876"/>
      <c r="AF87" s="876"/>
      <c r="AG87" s="876"/>
    </row>
    <row r="88" spans="1:33" s="878" customFormat="1" ht="17.25" customHeight="1" outlineLevel="2">
      <c r="A88" s="877"/>
      <c r="B88" s="877"/>
      <c r="C88" s="181" t="str">
        <f>Name_VAT &amp; " - Percentage and applied rate on cost of sales"</f>
        <v>VAT - Percentage and applied rate on cost of sales</v>
      </c>
      <c r="D88" s="877"/>
      <c r="E88" s="976" t="s">
        <v>26</v>
      </c>
      <c r="F88" s="1022">
        <v>0.8</v>
      </c>
      <c r="G88" s="619" t="s">
        <v>793</v>
      </c>
      <c r="H88" s="625" t="s">
        <v>130</v>
      </c>
      <c r="I88" s="797">
        <f>VLOOKUP(H88,Inputs!$C$211:$F$214,4,FALSE)</f>
        <v>0.2</v>
      </c>
      <c r="J88" s="877"/>
      <c r="K88" s="877"/>
      <c r="L88" s="876"/>
      <c r="M88" s="876"/>
      <c r="N88" s="876"/>
      <c r="O88" s="876"/>
      <c r="P88" s="876"/>
      <c r="Q88" s="876"/>
      <c r="R88" s="876"/>
      <c r="S88" s="876"/>
      <c r="T88" s="876"/>
      <c r="U88" s="876"/>
      <c r="V88" s="876"/>
      <c r="W88" s="876"/>
      <c r="X88" s="876"/>
      <c r="Y88" s="876"/>
      <c r="Z88" s="876"/>
      <c r="AA88" s="876"/>
      <c r="AB88" s="876"/>
      <c r="AC88" s="876"/>
      <c r="AD88" s="876"/>
      <c r="AE88" s="876"/>
      <c r="AF88" s="876"/>
      <c r="AG88" s="876"/>
    </row>
    <row r="89" spans="1:33" s="878" customFormat="1" ht="17.25" customHeight="1" outlineLevel="2">
      <c r="A89" s="876"/>
      <c r="B89" s="876"/>
      <c r="C89" s="285"/>
      <c r="D89" s="876"/>
      <c r="E89" s="876"/>
      <c r="F89" s="297"/>
      <c r="G89" s="370"/>
      <c r="H89" s="370"/>
      <c r="I89" s="876"/>
      <c r="J89" s="876"/>
      <c r="K89" s="876"/>
      <c r="L89" s="876"/>
      <c r="M89" s="876"/>
      <c r="N89" s="876"/>
      <c r="O89" s="876"/>
      <c r="P89" s="876"/>
      <c r="Q89" s="876"/>
      <c r="R89" s="876"/>
      <c r="S89" s="876"/>
      <c r="T89" s="876"/>
      <c r="U89" s="876"/>
      <c r="V89" s="876"/>
      <c r="W89" s="876"/>
      <c r="X89" s="876"/>
      <c r="Y89" s="876"/>
      <c r="Z89" s="876"/>
      <c r="AA89" s="876"/>
      <c r="AB89" s="876"/>
      <c r="AC89" s="876"/>
      <c r="AD89" s="876"/>
      <c r="AE89" s="876"/>
      <c r="AF89" s="876"/>
      <c r="AG89" s="876"/>
    </row>
    <row r="90" spans="1:33" s="878" customFormat="1" ht="22.5" customHeight="1" outlineLevel="1">
      <c r="A90" s="876"/>
      <c r="B90" s="876"/>
      <c r="C90" s="293" t="s">
        <v>963</v>
      </c>
      <c r="D90" s="876"/>
      <c r="E90" s="876"/>
      <c r="F90" s="1019">
        <f>F91</f>
        <v>0</v>
      </c>
      <c r="G90" s="370"/>
      <c r="H90" s="370"/>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c r="AG90" s="876"/>
    </row>
    <row r="91" spans="1:33" s="878" customFormat="1" ht="17.25" customHeight="1" outlineLevel="2">
      <c r="A91" s="877"/>
      <c r="B91" s="877"/>
      <c r="C91" s="378" t="str">
        <f>"Assumptions for Product/Service 2: "&amp;$F$93</f>
        <v>Assumptions for Product/Service 2: WonderMoreX</v>
      </c>
      <c r="D91" s="975"/>
      <c r="E91" s="975" t="s">
        <v>1012</v>
      </c>
      <c r="F91" s="769">
        <v>0</v>
      </c>
      <c r="G91" s="877"/>
      <c r="H91" s="370"/>
      <c r="I91" s="877"/>
      <c r="J91" s="877"/>
      <c r="K91" s="877"/>
      <c r="L91" s="876"/>
      <c r="M91" s="876"/>
      <c r="N91" s="876"/>
      <c r="O91" s="876"/>
      <c r="P91" s="876"/>
      <c r="Q91" s="876"/>
      <c r="R91" s="876"/>
      <c r="S91" s="876"/>
      <c r="T91" s="876"/>
      <c r="U91" s="876"/>
      <c r="V91" s="876"/>
      <c r="W91" s="876"/>
      <c r="X91" s="876"/>
      <c r="Y91" s="876"/>
      <c r="Z91" s="876"/>
      <c r="AA91" s="876"/>
      <c r="AB91" s="876"/>
      <c r="AC91" s="876"/>
      <c r="AD91" s="876"/>
      <c r="AE91" s="876"/>
      <c r="AF91" s="876"/>
      <c r="AG91" s="876"/>
    </row>
    <row r="92" spans="1:33" s="878" customFormat="1" ht="17.25" customHeight="1" outlineLevel="2">
      <c r="A92" s="877"/>
      <c r="B92" s="877"/>
      <c r="C92" s="760" t="s">
        <v>843</v>
      </c>
      <c r="D92" s="877"/>
      <c r="E92" s="877"/>
      <c r="F92" s="877"/>
      <c r="G92" s="877"/>
      <c r="H92" s="877"/>
      <c r="I92" s="877"/>
      <c r="J92" s="877"/>
      <c r="K92" s="877"/>
      <c r="L92" s="876"/>
      <c r="M92" s="876"/>
      <c r="N92" s="876"/>
      <c r="O92" s="876"/>
      <c r="P92" s="876"/>
      <c r="Q92" s="876"/>
      <c r="R92" s="876"/>
      <c r="S92" s="876"/>
      <c r="T92" s="876"/>
      <c r="U92" s="876"/>
      <c r="V92" s="876"/>
      <c r="W92" s="876"/>
      <c r="X92" s="876"/>
      <c r="Y92" s="876"/>
      <c r="Z92" s="876"/>
      <c r="AA92" s="876"/>
      <c r="AB92" s="876"/>
      <c r="AC92" s="876"/>
      <c r="AD92" s="876"/>
      <c r="AE92" s="876"/>
      <c r="AF92" s="876"/>
      <c r="AG92" s="876"/>
    </row>
    <row r="93" spans="1:33" s="878" customFormat="1" ht="17.25" customHeight="1" outlineLevel="2">
      <c r="A93" s="877"/>
      <c r="B93" s="877"/>
      <c r="C93" s="181" t="s">
        <v>842</v>
      </c>
      <c r="D93" s="877"/>
      <c r="E93" s="976" t="s">
        <v>51</v>
      </c>
      <c r="F93" s="1020" t="s">
        <v>1026</v>
      </c>
      <c r="G93" s="877"/>
      <c r="H93" s="877"/>
      <c r="I93" s="877"/>
      <c r="J93" s="877"/>
      <c r="K93" s="877"/>
      <c r="L93" s="876"/>
      <c r="M93" s="876"/>
      <c r="N93" s="876"/>
      <c r="O93" s="876"/>
      <c r="P93" s="876"/>
      <c r="Q93" s="876"/>
      <c r="R93" s="876"/>
      <c r="S93" s="876"/>
      <c r="T93" s="876"/>
      <c r="U93" s="876"/>
      <c r="V93" s="876"/>
      <c r="W93" s="876"/>
      <c r="X93" s="876"/>
      <c r="Y93" s="876"/>
      <c r="Z93" s="876"/>
      <c r="AA93" s="876"/>
      <c r="AB93" s="876"/>
      <c r="AC93" s="876"/>
      <c r="AD93" s="876"/>
      <c r="AE93" s="876"/>
      <c r="AF93" s="876"/>
      <c r="AG93" s="876"/>
    </row>
    <row r="94" spans="1:33" s="878" customFormat="1" ht="17.25" customHeight="1" outlineLevel="2">
      <c r="A94" s="876"/>
      <c r="B94" s="876"/>
      <c r="C94" s="285"/>
      <c r="D94" s="876"/>
      <c r="E94" s="876"/>
      <c r="F94" s="297"/>
      <c r="G94" s="370"/>
      <c r="H94" s="370"/>
      <c r="I94" s="876"/>
      <c r="J94" s="876"/>
      <c r="K94" s="876"/>
      <c r="L94" s="876"/>
      <c r="M94" s="876"/>
      <c r="N94" s="876"/>
      <c r="O94" s="876"/>
      <c r="P94" s="876"/>
      <c r="Q94" s="876"/>
      <c r="R94" s="876"/>
      <c r="S94" s="876"/>
      <c r="T94" s="876"/>
      <c r="U94" s="876"/>
      <c r="V94" s="876"/>
      <c r="W94" s="876"/>
      <c r="X94" s="876"/>
      <c r="Y94" s="876"/>
      <c r="Z94" s="876"/>
      <c r="AA94" s="876"/>
      <c r="AB94" s="876"/>
      <c r="AC94" s="876"/>
      <c r="AD94" s="876"/>
      <c r="AE94" s="876"/>
      <c r="AF94" s="876"/>
      <c r="AG94" s="876"/>
    </row>
    <row r="95" spans="1:33" s="878" customFormat="1" ht="22.5" customHeight="1" outlineLevel="1">
      <c r="A95" s="876"/>
      <c r="B95" s="876"/>
      <c r="C95" s="293" t="s">
        <v>964</v>
      </c>
      <c r="D95" s="876"/>
      <c r="E95" s="876"/>
      <c r="F95" s="1019">
        <f>F96</f>
        <v>0</v>
      </c>
      <c r="G95" s="370"/>
      <c r="H95" s="370"/>
      <c r="I95" s="876"/>
      <c r="J95" s="876"/>
      <c r="K95" s="876"/>
      <c r="L95" s="876"/>
      <c r="M95" s="876"/>
      <c r="N95" s="876"/>
      <c r="O95" s="876"/>
      <c r="P95" s="876"/>
      <c r="Q95" s="876"/>
      <c r="R95" s="876"/>
      <c r="S95" s="876"/>
      <c r="T95" s="876"/>
      <c r="U95" s="876"/>
      <c r="V95" s="876"/>
      <c r="W95" s="876"/>
      <c r="X95" s="876"/>
      <c r="Y95" s="876"/>
      <c r="Z95" s="876"/>
      <c r="AA95" s="876"/>
      <c r="AB95" s="876"/>
      <c r="AC95" s="876"/>
      <c r="AD95" s="876"/>
      <c r="AE95" s="876"/>
      <c r="AF95" s="876"/>
      <c r="AG95" s="876"/>
    </row>
    <row r="96" spans="1:33" s="878" customFormat="1" ht="17.25" customHeight="1" outlineLevel="2">
      <c r="A96" s="877"/>
      <c r="B96" s="877"/>
      <c r="C96" s="378" t="str">
        <f>"Assumptions for Product/Service 3: "&amp;$F$98</f>
        <v>Assumptions for Product/Service 3: Customizing Services</v>
      </c>
      <c r="D96" s="975"/>
      <c r="E96" s="975" t="s">
        <v>1012</v>
      </c>
      <c r="F96" s="769">
        <v>0</v>
      </c>
      <c r="G96" s="877"/>
      <c r="H96" s="370"/>
      <c r="I96" s="877"/>
      <c r="J96" s="877"/>
      <c r="K96" s="877"/>
      <c r="L96" s="876"/>
      <c r="M96" s="876"/>
      <c r="N96" s="876"/>
      <c r="O96" s="876"/>
      <c r="P96" s="876"/>
      <c r="Q96" s="876"/>
      <c r="R96" s="876"/>
      <c r="S96" s="876"/>
      <c r="T96" s="876"/>
      <c r="U96" s="876"/>
      <c r="V96" s="876"/>
      <c r="W96" s="876"/>
      <c r="X96" s="876"/>
      <c r="Y96" s="876"/>
      <c r="Z96" s="876"/>
      <c r="AA96" s="876"/>
      <c r="AB96" s="876"/>
      <c r="AC96" s="876"/>
      <c r="AD96" s="876"/>
      <c r="AE96" s="876"/>
      <c r="AF96" s="876"/>
      <c r="AG96" s="876"/>
    </row>
    <row r="97" spans="1:33" s="878" customFormat="1" ht="17.25" customHeight="1" outlineLevel="2">
      <c r="A97" s="877"/>
      <c r="B97" s="877"/>
      <c r="C97" s="760" t="s">
        <v>843</v>
      </c>
      <c r="D97" s="877"/>
      <c r="E97" s="877"/>
      <c r="F97" s="877"/>
      <c r="G97" s="877"/>
      <c r="H97" s="877"/>
      <c r="I97" s="877"/>
      <c r="J97" s="877"/>
      <c r="K97" s="877"/>
      <c r="L97" s="876"/>
      <c r="M97" s="876"/>
      <c r="N97" s="876"/>
      <c r="O97" s="876"/>
      <c r="P97" s="876"/>
      <c r="Q97" s="876"/>
      <c r="R97" s="876"/>
      <c r="S97" s="876"/>
      <c r="T97" s="876"/>
      <c r="U97" s="876"/>
      <c r="V97" s="876"/>
      <c r="W97" s="876"/>
      <c r="X97" s="876"/>
      <c r="Y97" s="876"/>
      <c r="Z97" s="876"/>
      <c r="AA97" s="876"/>
      <c r="AB97" s="876"/>
      <c r="AC97" s="876"/>
      <c r="AD97" s="876"/>
      <c r="AE97" s="876"/>
      <c r="AF97" s="876"/>
      <c r="AG97" s="876"/>
    </row>
    <row r="98" spans="1:33" s="878" customFormat="1" ht="17.25" customHeight="1" outlineLevel="2">
      <c r="A98" s="877"/>
      <c r="B98" s="877"/>
      <c r="C98" s="181" t="s">
        <v>842</v>
      </c>
      <c r="D98" s="877"/>
      <c r="E98" s="976" t="s">
        <v>51</v>
      </c>
      <c r="F98" s="1020" t="s">
        <v>1019</v>
      </c>
      <c r="G98" s="877"/>
      <c r="H98" s="877"/>
      <c r="I98" s="877"/>
      <c r="J98" s="877"/>
      <c r="K98" s="877"/>
      <c r="L98" s="876"/>
      <c r="M98" s="876"/>
      <c r="N98" s="876"/>
      <c r="O98" s="876"/>
      <c r="P98" s="876"/>
      <c r="Q98" s="876"/>
      <c r="R98" s="876"/>
      <c r="S98" s="876"/>
      <c r="T98" s="876"/>
      <c r="U98" s="876"/>
      <c r="V98" s="876"/>
      <c r="W98" s="876"/>
      <c r="X98" s="876"/>
      <c r="Y98" s="876"/>
      <c r="Z98" s="876"/>
      <c r="AA98" s="876"/>
      <c r="AB98" s="876"/>
      <c r="AC98" s="876"/>
      <c r="AD98" s="876"/>
      <c r="AE98" s="876"/>
      <c r="AF98" s="876"/>
      <c r="AG98" s="876"/>
    </row>
    <row r="99" spans="1:33" s="878" customFormat="1" ht="17.25" customHeight="1" outlineLevel="2">
      <c r="A99" s="876"/>
      <c r="B99" s="876"/>
      <c r="C99" s="285"/>
      <c r="D99" s="876"/>
      <c r="E99" s="876"/>
      <c r="F99" s="297"/>
      <c r="G99" s="370"/>
      <c r="H99" s="370"/>
      <c r="I99" s="876"/>
      <c r="J99" s="876"/>
      <c r="K99" s="876"/>
      <c r="L99" s="876"/>
      <c r="M99" s="876"/>
      <c r="N99" s="876"/>
      <c r="O99" s="876"/>
      <c r="P99" s="876"/>
      <c r="Q99" s="876"/>
      <c r="R99" s="876"/>
      <c r="S99" s="876"/>
      <c r="T99" s="876"/>
      <c r="U99" s="876"/>
      <c r="V99" s="876"/>
      <c r="W99" s="876"/>
      <c r="X99" s="876"/>
      <c r="Y99" s="876"/>
      <c r="Z99" s="876"/>
      <c r="AA99" s="876"/>
      <c r="AB99" s="876"/>
      <c r="AC99" s="876"/>
      <c r="AD99" s="876"/>
      <c r="AE99" s="876"/>
      <c r="AF99" s="876"/>
      <c r="AG99" s="876"/>
    </row>
    <row r="100" spans="1:33" s="878" customFormat="1" ht="22.5" customHeight="1" outlineLevel="1">
      <c r="A100" s="876"/>
      <c r="B100" s="876"/>
      <c r="C100" s="293" t="s">
        <v>965</v>
      </c>
      <c r="D100" s="876"/>
      <c r="E100" s="876"/>
      <c r="F100" s="1019">
        <f>F101</f>
        <v>0</v>
      </c>
      <c r="G100" s="370"/>
      <c r="H100" s="370"/>
      <c r="I100" s="876"/>
      <c r="J100" s="876"/>
      <c r="K100" s="876"/>
      <c r="L100" s="876"/>
      <c r="M100" s="876"/>
      <c r="N100" s="876"/>
      <c r="O100" s="876"/>
      <c r="P100" s="876"/>
      <c r="Q100" s="876"/>
      <c r="R100" s="876"/>
      <c r="S100" s="876"/>
      <c r="T100" s="876"/>
      <c r="U100" s="876"/>
      <c r="V100" s="876"/>
      <c r="W100" s="876"/>
      <c r="X100" s="876"/>
      <c r="Y100" s="876"/>
      <c r="Z100" s="876"/>
      <c r="AA100" s="876"/>
      <c r="AB100" s="876"/>
      <c r="AC100" s="876"/>
      <c r="AD100" s="876"/>
      <c r="AE100" s="876"/>
      <c r="AF100" s="876"/>
      <c r="AG100" s="876"/>
    </row>
    <row r="101" spans="1:33" s="878" customFormat="1" ht="17.25" customHeight="1" outlineLevel="2">
      <c r="A101" s="877"/>
      <c r="B101" s="877"/>
      <c r="C101" s="378" t="str">
        <f>"Assumptions for Product/Service 4: "&amp;$F$103</f>
        <v>Assumptions for Product/Service 4: FutureApp</v>
      </c>
      <c r="D101" s="975"/>
      <c r="E101" s="975" t="s">
        <v>1012</v>
      </c>
      <c r="F101" s="769">
        <v>0</v>
      </c>
      <c r="G101" s="877"/>
      <c r="H101" s="370"/>
      <c r="I101" s="877"/>
      <c r="J101" s="877"/>
      <c r="K101" s="877"/>
      <c r="L101" s="876"/>
      <c r="M101" s="876"/>
      <c r="N101" s="876"/>
      <c r="O101" s="876"/>
      <c r="P101" s="876"/>
      <c r="Q101" s="876"/>
      <c r="R101" s="876"/>
      <c r="S101" s="876"/>
      <c r="T101" s="876"/>
      <c r="U101" s="876"/>
      <c r="V101" s="876"/>
      <c r="W101" s="876"/>
      <c r="X101" s="876"/>
      <c r="Y101" s="876"/>
      <c r="Z101" s="876"/>
      <c r="AA101" s="876"/>
      <c r="AB101" s="876"/>
      <c r="AC101" s="876"/>
      <c r="AD101" s="876"/>
      <c r="AE101" s="876"/>
      <c r="AF101" s="876"/>
      <c r="AG101" s="876"/>
    </row>
    <row r="102" spans="1:33" s="878" customFormat="1" ht="17.25" customHeight="1" outlineLevel="2">
      <c r="A102" s="877"/>
      <c r="B102" s="877"/>
      <c r="C102" s="760" t="s">
        <v>843</v>
      </c>
      <c r="D102" s="877"/>
      <c r="E102" s="877"/>
      <c r="F102" s="877"/>
      <c r="G102" s="877"/>
      <c r="H102" s="877"/>
      <c r="I102" s="877"/>
      <c r="J102" s="877"/>
      <c r="K102" s="877"/>
      <c r="L102" s="876"/>
      <c r="M102" s="876"/>
      <c r="N102" s="876"/>
      <c r="O102" s="876"/>
      <c r="P102" s="876"/>
      <c r="Q102" s="876"/>
      <c r="R102" s="876"/>
      <c r="S102" s="876"/>
      <c r="T102" s="876"/>
      <c r="U102" s="876"/>
      <c r="V102" s="876"/>
      <c r="W102" s="876"/>
      <c r="X102" s="876"/>
      <c r="Y102" s="876"/>
      <c r="Z102" s="876"/>
      <c r="AA102" s="876"/>
      <c r="AB102" s="876"/>
      <c r="AC102" s="876"/>
      <c r="AD102" s="876"/>
      <c r="AE102" s="876"/>
      <c r="AF102" s="876"/>
      <c r="AG102" s="876"/>
    </row>
    <row r="103" spans="1:33" s="878" customFormat="1" ht="17.25" customHeight="1" outlineLevel="2">
      <c r="A103" s="877"/>
      <c r="B103" s="877"/>
      <c r="C103" s="181" t="s">
        <v>842</v>
      </c>
      <c r="D103" s="877"/>
      <c r="E103" s="976" t="s">
        <v>51</v>
      </c>
      <c r="F103" s="1054" t="s">
        <v>1052</v>
      </c>
      <c r="G103" s="877"/>
      <c r="H103" s="877"/>
      <c r="I103" s="877"/>
      <c r="J103" s="877"/>
      <c r="K103" s="877"/>
      <c r="L103" s="876"/>
      <c r="M103" s="876"/>
      <c r="N103" s="876"/>
      <c r="O103" s="876"/>
      <c r="P103" s="876"/>
      <c r="Q103" s="876"/>
      <c r="R103" s="876"/>
      <c r="S103" s="876"/>
      <c r="T103" s="876"/>
      <c r="U103" s="876"/>
      <c r="V103" s="876"/>
      <c r="W103" s="876"/>
      <c r="X103" s="876"/>
      <c r="Y103" s="876"/>
      <c r="Z103" s="876"/>
      <c r="AA103" s="876"/>
      <c r="AB103" s="876"/>
      <c r="AC103" s="876"/>
      <c r="AD103" s="876"/>
      <c r="AE103" s="876"/>
      <c r="AF103" s="876"/>
      <c r="AG103" s="876"/>
    </row>
    <row r="104" spans="1:33" s="878" customFormat="1" ht="17.25" customHeight="1" outlineLevel="2">
      <c r="A104" s="877"/>
      <c r="B104" s="877"/>
      <c r="C104" s="877"/>
      <c r="D104" s="877"/>
      <c r="E104" s="877"/>
      <c r="F104" s="877"/>
      <c r="G104" s="877"/>
      <c r="H104" s="877"/>
      <c r="I104" s="877"/>
      <c r="J104" s="877"/>
      <c r="K104" s="877"/>
      <c r="L104" s="876"/>
      <c r="M104" s="876"/>
      <c r="N104" s="876"/>
      <c r="O104" s="876"/>
      <c r="P104" s="876"/>
      <c r="Q104" s="876"/>
      <c r="R104" s="876"/>
      <c r="S104" s="876"/>
      <c r="T104" s="876"/>
      <c r="U104" s="876"/>
      <c r="V104" s="876"/>
      <c r="W104" s="876"/>
      <c r="X104" s="876"/>
      <c r="Y104" s="876"/>
      <c r="Z104" s="876"/>
      <c r="AA104" s="876"/>
      <c r="AB104" s="876"/>
      <c r="AC104" s="876"/>
      <c r="AD104" s="876"/>
      <c r="AE104" s="876"/>
      <c r="AF104" s="876"/>
      <c r="AG104" s="876"/>
    </row>
    <row r="105" spans="1:33" s="878" customFormat="1" ht="17.25" customHeight="1" outlineLevel="1">
      <c r="A105" s="876"/>
      <c r="B105" s="876"/>
      <c r="C105" s="285"/>
      <c r="D105" s="876"/>
      <c r="E105" s="876"/>
      <c r="F105" s="297"/>
      <c r="G105" s="370"/>
      <c r="H105" s="370"/>
      <c r="I105" s="876"/>
      <c r="J105" s="876"/>
      <c r="K105" s="876"/>
      <c r="L105" s="876"/>
      <c r="M105" s="876"/>
      <c r="N105" s="876"/>
      <c r="O105" s="876"/>
      <c r="P105" s="876"/>
      <c r="Q105" s="876"/>
      <c r="R105" s="876"/>
      <c r="S105" s="876"/>
      <c r="T105" s="876"/>
      <c r="U105" s="876"/>
      <c r="V105" s="876"/>
      <c r="W105" s="876"/>
      <c r="X105" s="876"/>
      <c r="Y105" s="876"/>
      <c r="Z105" s="876"/>
      <c r="AA105" s="876"/>
      <c r="AB105" s="876"/>
      <c r="AC105" s="876"/>
      <c r="AD105" s="876"/>
      <c r="AE105" s="876"/>
      <c r="AF105" s="876"/>
      <c r="AG105" s="876"/>
    </row>
    <row r="106" spans="1:33" s="116" customFormat="1" ht="24.75" customHeight="1" thickBot="1">
      <c r="A106" s="283"/>
      <c r="B106" s="283"/>
      <c r="C106" s="283" t="s">
        <v>222</v>
      </c>
      <c r="D106" s="284"/>
      <c r="E106" s="284"/>
      <c r="F106" s="367"/>
      <c r="G106" s="284"/>
      <c r="H106" s="284"/>
      <c r="I106" s="284"/>
      <c r="J106" s="284"/>
      <c r="K106" s="284"/>
      <c r="L106" s="284"/>
      <c r="M106" s="284"/>
      <c r="N106" s="284"/>
      <c r="O106" s="284"/>
      <c r="P106" s="180"/>
      <c r="Q106" s="180"/>
      <c r="R106" s="180"/>
      <c r="S106" s="180"/>
      <c r="T106" s="180"/>
      <c r="U106" s="876"/>
      <c r="V106" s="876"/>
      <c r="W106" s="876"/>
      <c r="X106" s="876"/>
      <c r="Y106" s="876"/>
      <c r="Z106" s="876"/>
      <c r="AA106" s="876"/>
      <c r="AB106" s="876"/>
      <c r="AC106" s="876"/>
      <c r="AD106" s="876"/>
      <c r="AE106" s="876"/>
      <c r="AF106" s="876"/>
      <c r="AG106" s="876"/>
    </row>
    <row r="107" spans="1:33" s="116" customFormat="1" ht="20.25" outlineLevel="1">
      <c r="A107" s="876"/>
      <c r="B107" s="180"/>
      <c r="C107" s="293" t="s">
        <v>221</v>
      </c>
      <c r="D107" s="180"/>
      <c r="E107" s="180"/>
      <c r="F107" s="298"/>
      <c r="G107" s="298"/>
      <c r="H107" s="298"/>
      <c r="I107" s="298"/>
      <c r="J107" s="298"/>
      <c r="K107" s="180"/>
      <c r="L107" s="180"/>
      <c r="M107" s="180"/>
      <c r="N107" s="180"/>
      <c r="O107" s="180"/>
      <c r="P107" s="180"/>
      <c r="Q107" s="180"/>
      <c r="R107" s="180"/>
      <c r="S107" s="180"/>
      <c r="T107" s="180"/>
      <c r="U107" s="876"/>
      <c r="V107" s="876"/>
      <c r="W107" s="876"/>
      <c r="X107" s="876"/>
      <c r="Y107" s="876"/>
      <c r="Z107" s="876"/>
      <c r="AA107" s="876"/>
      <c r="AB107" s="876"/>
      <c r="AC107" s="876"/>
      <c r="AD107" s="876"/>
      <c r="AE107" s="876"/>
      <c r="AF107" s="876"/>
      <c r="AG107" s="876"/>
    </row>
    <row r="108" spans="1:33" s="116" customFormat="1" ht="16.5" customHeight="1" outlineLevel="2">
      <c r="A108" s="876"/>
      <c r="B108" s="180"/>
      <c r="C108" s="299" t="s">
        <v>863</v>
      </c>
      <c r="D108" s="285"/>
      <c r="E108" s="285"/>
      <c r="F108" s="285"/>
      <c r="G108" s="126" t="s">
        <v>224</v>
      </c>
      <c r="H108" s="298"/>
      <c r="I108" s="298"/>
      <c r="J108" s="298"/>
      <c r="K108" s="298"/>
      <c r="L108" s="180"/>
      <c r="M108" s="180"/>
      <c r="N108" s="180"/>
      <c r="O108" s="180"/>
      <c r="P108" s="180"/>
      <c r="Q108" s="180"/>
      <c r="R108" s="180"/>
      <c r="S108" s="180"/>
      <c r="T108" s="180"/>
      <c r="U108" s="876"/>
      <c r="V108" s="876"/>
      <c r="W108" s="876"/>
      <c r="X108" s="876"/>
      <c r="Y108" s="876"/>
      <c r="Z108" s="876"/>
      <c r="AA108" s="876"/>
      <c r="AB108" s="876"/>
      <c r="AC108" s="876"/>
      <c r="AD108" s="876"/>
      <c r="AE108" s="876"/>
      <c r="AF108" s="876"/>
      <c r="AG108" s="876"/>
    </row>
    <row r="109" spans="1:33" s="116" customFormat="1" ht="18.75" customHeight="1" outlineLevel="2">
      <c r="A109" s="876"/>
      <c r="B109" s="415" t="s">
        <v>33</v>
      </c>
      <c r="C109" s="414" t="str">
        <f>CHOOSE(language,"Direct Labour Staff","Direct Labor Staff")</f>
        <v>Direct Labor Staff</v>
      </c>
      <c r="D109" s="288"/>
      <c r="E109" s="180"/>
      <c r="F109" s="11" t="s">
        <v>223</v>
      </c>
      <c r="G109" s="11">
        <f>YEAR(Startdatum)</f>
        <v>2018</v>
      </c>
      <c r="H109" s="11">
        <f>G109+1</f>
        <v>2019</v>
      </c>
      <c r="I109" s="876"/>
      <c r="J109" s="876"/>
      <c r="K109" s="876"/>
      <c r="L109" s="180"/>
      <c r="M109" s="876"/>
      <c r="N109" s="876"/>
      <c r="O109" s="876"/>
      <c r="P109" s="876"/>
      <c r="Q109" s="180"/>
      <c r="R109" s="180"/>
      <c r="S109" s="180"/>
      <c r="T109" s="180"/>
      <c r="U109" s="876"/>
      <c r="V109" s="876"/>
      <c r="W109" s="876"/>
      <c r="X109" s="876"/>
      <c r="Y109" s="876"/>
      <c r="Z109" s="876"/>
      <c r="AA109" s="876"/>
      <c r="AB109" s="876"/>
      <c r="AC109" s="876"/>
      <c r="AD109" s="876"/>
      <c r="AE109" s="876"/>
      <c r="AF109" s="876"/>
      <c r="AG109" s="876"/>
    </row>
    <row r="110" spans="1:33" s="116" customFormat="1" ht="17.25" customHeight="1" outlineLevel="2">
      <c r="A110" s="876"/>
      <c r="B110" s="876"/>
      <c r="C110" s="70" t="str">
        <f>"FTE for Offering 1: "&amp;PS_01</f>
        <v>FTE for Offering 1: WonderApp</v>
      </c>
      <c r="D110" s="876"/>
      <c r="E110" s="8" t="str">
        <f>Currency_Label</f>
        <v>USD</v>
      </c>
      <c r="F110" s="266">
        <v>0.01</v>
      </c>
      <c r="G110" s="144">
        <f>Inputs!$F$80</f>
        <v>23040</v>
      </c>
      <c r="H110" s="70">
        <f t="shared" ref="H110" si="0">G110*(1+$F110)</f>
        <v>23270.400000000001</v>
      </c>
      <c r="I110" s="876"/>
      <c r="J110" s="876"/>
      <c r="K110" s="876"/>
      <c r="L110" s="180"/>
      <c r="M110" s="180"/>
      <c r="N110" s="180"/>
      <c r="O110" s="876"/>
      <c r="P110" s="180"/>
      <c r="Q110" s="180"/>
      <c r="R110" s="180"/>
      <c r="S110" s="180"/>
      <c r="T110" s="180"/>
      <c r="U110" s="876"/>
      <c r="V110" s="876"/>
      <c r="W110" s="876"/>
      <c r="X110" s="876"/>
      <c r="Y110" s="876"/>
      <c r="Z110" s="876"/>
      <c r="AA110" s="876"/>
      <c r="AB110" s="876"/>
      <c r="AC110" s="876"/>
      <c r="AD110" s="876"/>
      <c r="AE110" s="876"/>
      <c r="AF110" s="876"/>
      <c r="AG110" s="876"/>
    </row>
    <row r="111" spans="1:33" s="199" customFormat="1" ht="22.5" customHeight="1" outlineLevel="2">
      <c r="A111" s="876"/>
      <c r="B111" s="288"/>
      <c r="C111" s="286"/>
      <c r="D111" s="288"/>
      <c r="E111" s="299"/>
      <c r="F111" s="285"/>
      <c r="G111" s="881" t="str">
        <f>" =&gt; base salary will be calculated based on inputs for product/service 1 to 4 =&gt; don't forget to enter other staff costs in row " &amp;ROW(Inputs!$C$139) &amp;" et seq."</f>
        <v xml:space="preserve"> =&gt; base salary will be calculated based on inputs for product/service 1 to 4 =&gt; don't forget to enter other staff costs in row 139 et seq.</v>
      </c>
      <c r="H111" s="298"/>
      <c r="I111" s="298"/>
      <c r="J111" s="298"/>
      <c r="K111" s="180"/>
      <c r="L111" s="298"/>
      <c r="M111" s="180"/>
      <c r="N111" s="180"/>
      <c r="O111" s="180"/>
      <c r="P111" s="180"/>
      <c r="Q111" s="180"/>
      <c r="R111" s="180"/>
      <c r="S111" s="180"/>
      <c r="T111" s="180"/>
      <c r="U111" s="876"/>
      <c r="V111" s="876"/>
      <c r="W111" s="876"/>
      <c r="X111" s="876"/>
      <c r="Y111" s="876"/>
      <c r="Z111" s="876"/>
      <c r="AA111" s="876"/>
      <c r="AB111" s="876"/>
      <c r="AC111" s="876"/>
      <c r="AD111" s="876"/>
      <c r="AE111" s="876"/>
      <c r="AF111" s="876"/>
      <c r="AG111" s="876"/>
    </row>
    <row r="112" spans="1:33" s="116" customFormat="1" ht="24.75" customHeight="1" outlineLevel="2">
      <c r="A112" s="876"/>
      <c r="B112" s="415" t="s">
        <v>34</v>
      </c>
      <c r="C112" s="414" t="s">
        <v>897</v>
      </c>
      <c r="D112" s="876"/>
      <c r="E112" s="299"/>
      <c r="F112" s="298"/>
      <c r="G112" s="298"/>
      <c r="H112" s="298"/>
      <c r="I112" s="298"/>
      <c r="J112" s="298"/>
      <c r="K112" s="180"/>
      <c r="L112" s="298"/>
      <c r="M112" s="180"/>
      <c r="N112" s="180"/>
      <c r="O112" s="180"/>
      <c r="P112" s="180"/>
      <c r="Q112" s="180"/>
      <c r="R112" s="180"/>
      <c r="S112" s="180"/>
      <c r="T112" s="180"/>
      <c r="U112" s="876"/>
      <c r="V112" s="876"/>
      <c r="W112" s="876"/>
      <c r="X112" s="876"/>
      <c r="Y112" s="876"/>
      <c r="Z112" s="876"/>
      <c r="AA112" s="876"/>
      <c r="AB112" s="876"/>
      <c r="AC112" s="876"/>
      <c r="AD112" s="876"/>
      <c r="AE112" s="876"/>
      <c r="AF112" s="876"/>
      <c r="AG112" s="876"/>
    </row>
    <row r="113" spans="1:33" s="116" customFormat="1" ht="17.25" customHeight="1" outlineLevel="2">
      <c r="A113" s="876"/>
      <c r="B113" s="876"/>
      <c r="C113" s="70" t="s">
        <v>952</v>
      </c>
      <c r="D113" s="288"/>
      <c r="E113" s="8" t="str">
        <f t="shared" ref="E113:E114" si="1">Currency_Label</f>
        <v>USD</v>
      </c>
      <c r="F113" s="84">
        <f>Inputs!F65</f>
        <v>0.01</v>
      </c>
      <c r="G113" s="144">
        <f>Inputs!F64</f>
        <v>30000</v>
      </c>
      <c r="H113" s="70">
        <f t="shared" ref="H113" si="2">G113*(1+$F113)</f>
        <v>30300</v>
      </c>
      <c r="I113" s="876"/>
      <c r="J113" s="876"/>
      <c r="K113" s="876"/>
      <c r="L113" s="180"/>
      <c r="M113" s="180"/>
      <c r="N113" s="180"/>
      <c r="O113" s="180"/>
      <c r="P113" s="180"/>
      <c r="Q113" s="180"/>
      <c r="R113" s="180"/>
      <c r="S113" s="180"/>
      <c r="T113" s="180"/>
      <c r="U113" s="876"/>
      <c r="V113" s="876"/>
      <c r="W113" s="876"/>
      <c r="X113" s="876"/>
      <c r="Y113" s="876"/>
      <c r="Z113" s="876"/>
      <c r="AA113" s="876"/>
      <c r="AB113" s="876"/>
      <c r="AC113" s="876"/>
      <c r="AD113" s="876"/>
      <c r="AE113" s="876"/>
      <c r="AF113" s="876"/>
      <c r="AG113" s="876"/>
    </row>
    <row r="114" spans="1:33" s="878" customFormat="1" ht="17.25" customHeight="1" outlineLevel="2">
      <c r="A114" s="876"/>
      <c r="B114" s="876"/>
      <c r="C114" s="70" t="s">
        <v>953</v>
      </c>
      <c r="D114" s="876"/>
      <c r="E114" s="8" t="str">
        <f t="shared" si="1"/>
        <v>USD</v>
      </c>
      <c r="F114" s="84">
        <f>Inputs!F85</f>
        <v>1.4999999999999999E-2</v>
      </c>
      <c r="G114" s="144">
        <f>Inputs!F84</f>
        <v>32000</v>
      </c>
      <c r="H114" s="70">
        <f t="shared" ref="H114" si="3">G114*(1+$F114)</f>
        <v>32479.999999999996</v>
      </c>
      <c r="I114" s="876"/>
      <c r="J114" s="876"/>
      <c r="K114" s="876"/>
      <c r="L114" s="876"/>
      <c r="M114" s="876"/>
      <c r="N114" s="876"/>
      <c r="O114" s="876"/>
      <c r="P114" s="876"/>
      <c r="Q114" s="876"/>
      <c r="R114" s="876"/>
      <c r="S114" s="876"/>
      <c r="T114" s="876"/>
      <c r="U114" s="876"/>
      <c r="V114" s="876"/>
      <c r="W114" s="876"/>
      <c r="X114" s="876"/>
      <c r="Y114" s="876"/>
      <c r="Z114" s="876"/>
      <c r="AA114" s="876"/>
      <c r="AB114" s="876"/>
      <c r="AC114" s="876"/>
      <c r="AD114" s="876"/>
      <c r="AE114" s="876"/>
      <c r="AF114" s="876"/>
      <c r="AG114" s="876"/>
    </row>
    <row r="115" spans="1:33" s="116" customFormat="1" ht="17.25" customHeight="1" outlineLevel="2">
      <c r="A115" s="876"/>
      <c r="B115" s="288"/>
      <c r="C115" s="296"/>
      <c r="D115" s="288"/>
      <c r="E115" s="299"/>
      <c r="F115" s="285"/>
      <c r="G115" s="881" t="str">
        <f>" =&gt; base salary will be calculated based on inputs for product/service 1 to 4 =&gt; don't forget to enter other staff costs in row " &amp;ROW(Inputs!$C$139) &amp;" et seq."</f>
        <v xml:space="preserve"> =&gt; base salary will be calculated based on inputs for product/service 1 to 4 =&gt; don't forget to enter other staff costs in row 139 et seq.</v>
      </c>
      <c r="H115" s="298"/>
      <c r="I115" s="298"/>
      <c r="J115" s="298"/>
      <c r="K115" s="298"/>
      <c r="L115" s="298"/>
      <c r="M115" s="180"/>
      <c r="N115" s="180"/>
      <c r="O115" s="180"/>
      <c r="P115" s="180"/>
      <c r="Q115" s="180"/>
      <c r="R115" s="180"/>
      <c r="S115" s="180"/>
      <c r="T115" s="180"/>
      <c r="U115" s="876"/>
      <c r="V115" s="876"/>
      <c r="W115" s="876"/>
      <c r="X115" s="876"/>
      <c r="Y115" s="876"/>
      <c r="Z115" s="876"/>
      <c r="AA115" s="876"/>
      <c r="AB115" s="876"/>
      <c r="AC115" s="876"/>
      <c r="AD115" s="876"/>
      <c r="AE115" s="876"/>
      <c r="AF115" s="876"/>
      <c r="AG115" s="876"/>
    </row>
    <row r="116" spans="1:33" s="116" customFormat="1" ht="24.75" customHeight="1" outlineLevel="2">
      <c r="A116" s="876"/>
      <c r="B116" s="415" t="s">
        <v>35</v>
      </c>
      <c r="C116" s="414" t="s">
        <v>852</v>
      </c>
      <c r="D116" s="288"/>
      <c r="E116" s="299"/>
      <c r="F116" s="285"/>
      <c r="G116" s="298"/>
      <c r="H116" s="298"/>
      <c r="I116" s="298"/>
      <c r="J116" s="298"/>
      <c r="K116" s="298"/>
      <c r="L116" s="298"/>
      <c r="M116" s="180"/>
      <c r="N116" s="180"/>
      <c r="O116" s="180"/>
      <c r="P116" s="180"/>
      <c r="Q116" s="180"/>
      <c r="R116" s="180"/>
      <c r="S116" s="180"/>
      <c r="T116" s="180"/>
      <c r="U116" s="876"/>
      <c r="V116" s="876"/>
      <c r="W116" s="876"/>
      <c r="X116" s="876"/>
      <c r="Y116" s="876"/>
      <c r="Z116" s="876"/>
      <c r="AA116" s="876"/>
      <c r="AB116" s="876"/>
      <c r="AC116" s="876"/>
      <c r="AD116" s="876"/>
      <c r="AE116" s="876"/>
      <c r="AF116" s="876"/>
      <c r="AG116" s="876"/>
    </row>
    <row r="117" spans="1:33" s="116" customFormat="1" ht="17.25" customHeight="1" outlineLevel="2">
      <c r="A117" s="876"/>
      <c r="B117" s="288"/>
      <c r="C117" s="625" t="s">
        <v>671</v>
      </c>
      <c r="D117" s="288"/>
      <c r="E117" s="8" t="str">
        <f t="shared" ref="E117:E124" si="4">Currency_Label</f>
        <v>USD</v>
      </c>
      <c r="F117" s="266">
        <v>0.01</v>
      </c>
      <c r="G117" s="263">
        <v>35000</v>
      </c>
      <c r="H117" s="70">
        <f t="shared" ref="H117:H124" si="5">G117*(1+$F117)</f>
        <v>35350</v>
      </c>
      <c r="I117" s="876"/>
      <c r="J117" s="876"/>
      <c r="K117" s="876"/>
      <c r="L117" s="180"/>
      <c r="M117" s="180"/>
      <c r="N117" s="180"/>
      <c r="O117" s="180"/>
      <c r="P117" s="180"/>
      <c r="Q117" s="180"/>
      <c r="R117" s="180"/>
      <c r="S117" s="180"/>
      <c r="T117" s="180"/>
      <c r="U117" s="876"/>
      <c r="V117" s="876"/>
      <c r="W117" s="876"/>
      <c r="X117" s="876"/>
      <c r="Y117" s="876"/>
      <c r="Z117" s="876"/>
      <c r="AA117" s="876"/>
      <c r="AB117" s="876"/>
      <c r="AC117" s="876"/>
      <c r="AD117" s="876"/>
      <c r="AE117" s="876"/>
      <c r="AF117" s="876"/>
      <c r="AG117" s="876"/>
    </row>
    <row r="118" spans="1:33" s="116" customFormat="1" ht="17.25" customHeight="1" outlineLevel="2">
      <c r="A118" s="876"/>
      <c r="B118" s="288"/>
      <c r="C118" s="625" t="s">
        <v>671</v>
      </c>
      <c r="D118" s="288"/>
      <c r="E118" s="8" t="str">
        <f t="shared" si="4"/>
        <v>USD</v>
      </c>
      <c r="F118" s="266">
        <v>0.01</v>
      </c>
      <c r="G118" s="263">
        <v>30000</v>
      </c>
      <c r="H118" s="70">
        <f t="shared" si="5"/>
        <v>30300</v>
      </c>
      <c r="I118" s="876"/>
      <c r="J118" s="876"/>
      <c r="K118" s="876"/>
      <c r="L118" s="180"/>
      <c r="M118" s="180"/>
      <c r="N118" s="180"/>
      <c r="O118" s="180"/>
      <c r="P118" s="180"/>
      <c r="Q118" s="180"/>
      <c r="R118" s="180"/>
      <c r="S118" s="180"/>
      <c r="T118" s="180"/>
      <c r="U118" s="876"/>
      <c r="V118" s="876"/>
      <c r="W118" s="876"/>
      <c r="X118" s="876"/>
      <c r="Y118" s="876"/>
      <c r="Z118" s="876"/>
      <c r="AA118" s="876"/>
      <c r="AB118" s="876"/>
      <c r="AC118" s="876"/>
      <c r="AD118" s="876"/>
      <c r="AE118" s="876"/>
      <c r="AF118" s="876"/>
      <c r="AG118" s="876"/>
    </row>
    <row r="119" spans="1:33" s="199" customFormat="1" ht="17.25" customHeight="1" outlineLevel="2">
      <c r="A119" s="876"/>
      <c r="B119" s="288"/>
      <c r="C119" s="625" t="s">
        <v>671</v>
      </c>
      <c r="D119" s="288"/>
      <c r="E119" s="8" t="str">
        <f t="shared" si="4"/>
        <v>USD</v>
      </c>
      <c r="F119" s="266"/>
      <c r="G119" s="263"/>
      <c r="H119" s="70">
        <f t="shared" ref="H119" si="6">G119*(1+$F119)</f>
        <v>0</v>
      </c>
      <c r="I119" s="876"/>
      <c r="J119" s="876"/>
      <c r="K119" s="876"/>
      <c r="L119" s="180"/>
      <c r="M119" s="180"/>
      <c r="N119" s="180"/>
      <c r="O119" s="180"/>
      <c r="P119" s="180"/>
      <c r="Q119" s="180"/>
      <c r="R119" s="180"/>
      <c r="S119" s="180"/>
      <c r="T119" s="180"/>
      <c r="U119" s="876"/>
      <c r="V119" s="876"/>
      <c r="W119" s="876"/>
      <c r="X119" s="876"/>
      <c r="Y119" s="876"/>
      <c r="Z119" s="876"/>
      <c r="AA119" s="876"/>
      <c r="AB119" s="876"/>
      <c r="AC119" s="876"/>
      <c r="AD119" s="876"/>
      <c r="AE119" s="876"/>
      <c r="AF119" s="876"/>
      <c r="AG119" s="876"/>
    </row>
    <row r="120" spans="1:33" s="878" customFormat="1" ht="17.25" customHeight="1" outlineLevel="2">
      <c r="A120" s="876"/>
      <c r="B120" s="876"/>
      <c r="C120" s="625" t="s">
        <v>671</v>
      </c>
      <c r="D120" s="876"/>
      <c r="E120" s="8" t="str">
        <f t="shared" si="4"/>
        <v>USD</v>
      </c>
      <c r="F120" s="266"/>
      <c r="G120" s="263"/>
      <c r="H120" s="70">
        <f t="shared" ref="H120:H123" si="7">G120*(1+$F120)</f>
        <v>0</v>
      </c>
      <c r="I120" s="876"/>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row>
    <row r="121" spans="1:33" s="878" customFormat="1" ht="17.25" customHeight="1" outlineLevel="2">
      <c r="A121" s="876"/>
      <c r="B121" s="876"/>
      <c r="C121" s="625" t="s">
        <v>671</v>
      </c>
      <c r="D121" s="876"/>
      <c r="E121" s="8" t="str">
        <f t="shared" si="4"/>
        <v>USD</v>
      </c>
      <c r="F121" s="266"/>
      <c r="G121" s="263"/>
      <c r="H121" s="70">
        <f t="shared" si="7"/>
        <v>0</v>
      </c>
      <c r="I121" s="876"/>
      <c r="J121" s="876"/>
      <c r="K121" s="876"/>
      <c r="L121" s="876"/>
      <c r="M121" s="876"/>
      <c r="N121" s="876"/>
      <c r="O121" s="876"/>
      <c r="P121" s="876"/>
      <c r="Q121" s="876"/>
      <c r="R121" s="876"/>
      <c r="S121" s="876"/>
      <c r="T121" s="876"/>
      <c r="U121" s="876"/>
      <c r="V121" s="876"/>
      <c r="W121" s="876"/>
      <c r="X121" s="876"/>
      <c r="Y121" s="876"/>
      <c r="Z121" s="876"/>
      <c r="AA121" s="876"/>
      <c r="AB121" s="876"/>
      <c r="AC121" s="876"/>
      <c r="AD121" s="876"/>
      <c r="AE121" s="876"/>
      <c r="AF121" s="876"/>
      <c r="AG121" s="876"/>
    </row>
    <row r="122" spans="1:33" s="878" customFormat="1" ht="17.25" customHeight="1" outlineLevel="2">
      <c r="A122" s="876"/>
      <c r="B122" s="876"/>
      <c r="C122" s="625" t="s">
        <v>671</v>
      </c>
      <c r="D122" s="876"/>
      <c r="E122" s="8" t="str">
        <f t="shared" si="4"/>
        <v>USD</v>
      </c>
      <c r="F122" s="266"/>
      <c r="G122" s="263"/>
      <c r="H122" s="70">
        <f t="shared" si="7"/>
        <v>0</v>
      </c>
      <c r="I122" s="876"/>
      <c r="J122" s="876"/>
      <c r="K122" s="876"/>
      <c r="L122" s="876"/>
      <c r="M122" s="876"/>
      <c r="N122" s="876"/>
      <c r="O122" s="876"/>
      <c r="P122" s="876"/>
      <c r="Q122" s="876"/>
      <c r="R122" s="876"/>
      <c r="S122" s="876"/>
      <c r="T122" s="876"/>
      <c r="U122" s="876"/>
      <c r="V122" s="876"/>
      <c r="W122" s="876"/>
      <c r="X122" s="876"/>
      <c r="Y122" s="876"/>
      <c r="Z122" s="876"/>
      <c r="AA122" s="876"/>
      <c r="AB122" s="876"/>
      <c r="AC122" s="876"/>
      <c r="AD122" s="876"/>
      <c r="AE122" s="876"/>
      <c r="AF122" s="876"/>
      <c r="AG122" s="876"/>
    </row>
    <row r="123" spans="1:33" s="878" customFormat="1" ht="17.25" customHeight="1" outlineLevel="2">
      <c r="A123" s="876"/>
      <c r="B123" s="876"/>
      <c r="C123" s="625" t="s">
        <v>671</v>
      </c>
      <c r="D123" s="876"/>
      <c r="E123" s="8" t="str">
        <f t="shared" si="4"/>
        <v>USD</v>
      </c>
      <c r="F123" s="266"/>
      <c r="G123" s="263"/>
      <c r="H123" s="70">
        <f t="shared" si="7"/>
        <v>0</v>
      </c>
      <c r="I123" s="876"/>
      <c r="J123" s="876"/>
      <c r="K123" s="876"/>
      <c r="L123" s="876"/>
      <c r="M123" s="876"/>
      <c r="N123" s="876"/>
      <c r="O123" s="876"/>
      <c r="P123" s="876"/>
      <c r="Q123" s="876"/>
      <c r="R123" s="876"/>
      <c r="S123" s="876"/>
      <c r="T123" s="876"/>
      <c r="U123" s="876"/>
      <c r="V123" s="876"/>
      <c r="W123" s="876"/>
      <c r="X123" s="876"/>
      <c r="Y123" s="876"/>
      <c r="Z123" s="876"/>
      <c r="AA123" s="876"/>
      <c r="AB123" s="876"/>
      <c r="AC123" s="876"/>
      <c r="AD123" s="876"/>
      <c r="AE123" s="876"/>
      <c r="AF123" s="876"/>
      <c r="AG123" s="876"/>
    </row>
    <row r="124" spans="1:33" s="116" customFormat="1" ht="17.25" customHeight="1" outlineLevel="2">
      <c r="A124" s="876"/>
      <c r="B124" s="288"/>
      <c r="C124" s="625" t="s">
        <v>671</v>
      </c>
      <c r="D124" s="288"/>
      <c r="E124" s="8" t="str">
        <f t="shared" si="4"/>
        <v>USD</v>
      </c>
      <c r="F124" s="266"/>
      <c r="G124" s="263"/>
      <c r="H124" s="70">
        <f t="shared" si="5"/>
        <v>0</v>
      </c>
      <c r="I124" s="876"/>
      <c r="J124" s="876"/>
      <c r="K124" s="876"/>
      <c r="L124" s="180"/>
      <c r="M124" s="180"/>
      <c r="N124" s="180"/>
      <c r="O124" s="180"/>
      <c r="P124" s="180"/>
      <c r="Q124" s="180"/>
      <c r="R124" s="180"/>
      <c r="S124" s="180"/>
      <c r="T124" s="180"/>
      <c r="U124" s="876"/>
      <c r="V124" s="876"/>
      <c r="W124" s="876"/>
      <c r="X124" s="876"/>
      <c r="Y124" s="876"/>
      <c r="Z124" s="876"/>
      <c r="AA124" s="876"/>
      <c r="AB124" s="876"/>
      <c r="AC124" s="876"/>
      <c r="AD124" s="876"/>
      <c r="AE124" s="876"/>
      <c r="AF124" s="876"/>
      <c r="AG124" s="876"/>
    </row>
    <row r="125" spans="1:33" s="116" customFormat="1" ht="17.25" customHeight="1" outlineLevel="2">
      <c r="A125" s="876"/>
      <c r="B125" s="288"/>
      <c r="C125" s="296"/>
      <c r="D125" s="288"/>
      <c r="E125" s="299"/>
      <c r="F125" s="285"/>
      <c r="G125" s="298"/>
      <c r="H125" s="298"/>
      <c r="I125" s="298"/>
      <c r="J125" s="298"/>
      <c r="K125" s="298"/>
      <c r="L125" s="298"/>
      <c r="M125" s="180"/>
      <c r="N125" s="180"/>
      <c r="O125" s="180"/>
      <c r="P125" s="180"/>
      <c r="Q125" s="180"/>
      <c r="R125" s="180"/>
      <c r="S125" s="180"/>
      <c r="T125" s="180"/>
      <c r="U125" s="876"/>
      <c r="V125" s="876"/>
      <c r="W125" s="876"/>
      <c r="X125" s="876"/>
      <c r="Y125" s="876"/>
      <c r="Z125" s="876"/>
      <c r="AA125" s="876"/>
      <c r="AB125" s="876"/>
      <c r="AC125" s="876"/>
      <c r="AD125" s="876"/>
      <c r="AE125" s="876"/>
      <c r="AF125" s="876"/>
      <c r="AG125" s="876"/>
    </row>
    <row r="126" spans="1:33" s="116" customFormat="1" ht="24.75" customHeight="1" outlineLevel="2">
      <c r="A126" s="876"/>
      <c r="B126" s="415" t="s">
        <v>37</v>
      </c>
      <c r="C126" s="414" t="s">
        <v>851</v>
      </c>
      <c r="D126" s="288"/>
      <c r="E126" s="299"/>
      <c r="F126" s="285"/>
      <c r="G126" s="298"/>
      <c r="H126" s="298"/>
      <c r="I126" s="298"/>
      <c r="J126" s="298"/>
      <c r="K126" s="298"/>
      <c r="L126" s="298"/>
      <c r="M126" s="180"/>
      <c r="N126" s="180"/>
      <c r="O126" s="180"/>
      <c r="P126" s="180"/>
      <c r="Q126" s="180"/>
      <c r="R126" s="180"/>
      <c r="S126" s="180"/>
      <c r="T126" s="180"/>
      <c r="U126" s="876"/>
      <c r="V126" s="876"/>
      <c r="W126" s="876"/>
      <c r="X126" s="876"/>
      <c r="Y126" s="876"/>
      <c r="Z126" s="876"/>
      <c r="AA126" s="876"/>
      <c r="AB126" s="876"/>
      <c r="AC126" s="876"/>
      <c r="AD126" s="876"/>
      <c r="AE126" s="876"/>
      <c r="AF126" s="876"/>
      <c r="AG126" s="876"/>
    </row>
    <row r="127" spans="1:33" s="116" customFormat="1" ht="17.25" customHeight="1" outlineLevel="2">
      <c r="A127" s="876"/>
      <c r="B127" s="180"/>
      <c r="C127" s="625" t="s">
        <v>671</v>
      </c>
      <c r="D127" s="288"/>
      <c r="E127" s="8" t="str">
        <f t="shared" ref="E127:E134" si="8">Currency_Label</f>
        <v>USD</v>
      </c>
      <c r="F127" s="266">
        <v>0.01</v>
      </c>
      <c r="G127" s="263">
        <v>35000</v>
      </c>
      <c r="H127" s="70">
        <f t="shared" ref="H127:H134" si="9">G127*(1+$F127)</f>
        <v>35350</v>
      </c>
      <c r="I127" s="876"/>
      <c r="J127" s="876"/>
      <c r="K127" s="876"/>
      <c r="L127" s="180"/>
      <c r="M127" s="180"/>
      <c r="N127" s="180"/>
      <c r="O127" s="180"/>
      <c r="P127" s="180"/>
      <c r="Q127" s="180"/>
      <c r="R127" s="180"/>
      <c r="S127" s="180"/>
      <c r="T127" s="180"/>
      <c r="U127" s="876"/>
      <c r="V127" s="876"/>
      <c r="W127" s="876"/>
      <c r="X127" s="876"/>
      <c r="Y127" s="876"/>
      <c r="Z127" s="876"/>
      <c r="AA127" s="876"/>
      <c r="AB127" s="876"/>
      <c r="AC127" s="876"/>
      <c r="AD127" s="876"/>
      <c r="AE127" s="876"/>
      <c r="AF127" s="876"/>
      <c r="AG127" s="876"/>
    </row>
    <row r="128" spans="1:33" s="116" customFormat="1" ht="17.25" customHeight="1" outlineLevel="2">
      <c r="A128" s="876"/>
      <c r="B128" s="180"/>
      <c r="C128" s="625" t="s">
        <v>671</v>
      </c>
      <c r="D128" s="288"/>
      <c r="E128" s="8" t="str">
        <f t="shared" si="8"/>
        <v>USD</v>
      </c>
      <c r="F128" s="266">
        <v>0.01</v>
      </c>
      <c r="G128" s="263">
        <v>25000</v>
      </c>
      <c r="H128" s="70">
        <f t="shared" si="9"/>
        <v>25250</v>
      </c>
      <c r="I128" s="876"/>
      <c r="J128" s="876"/>
      <c r="K128" s="876"/>
      <c r="L128" s="180"/>
      <c r="M128" s="180"/>
      <c r="N128" s="180"/>
      <c r="O128" s="180"/>
      <c r="P128" s="180"/>
      <c r="Q128" s="180"/>
      <c r="R128" s="180"/>
      <c r="S128" s="180"/>
      <c r="T128" s="180"/>
      <c r="U128" s="876"/>
      <c r="V128" s="876"/>
      <c r="W128" s="876"/>
      <c r="X128" s="876"/>
      <c r="Y128" s="876"/>
      <c r="Z128" s="876"/>
      <c r="AA128" s="876"/>
      <c r="AB128" s="876"/>
      <c r="AC128" s="876"/>
      <c r="AD128" s="876"/>
      <c r="AE128" s="876"/>
      <c r="AF128" s="876"/>
      <c r="AG128" s="876"/>
    </row>
    <row r="129" spans="1:33" s="199" customFormat="1" ht="17.25" customHeight="1" outlineLevel="2">
      <c r="A129" s="876"/>
      <c r="B129" s="180"/>
      <c r="C129" s="625" t="s">
        <v>671</v>
      </c>
      <c r="D129" s="288"/>
      <c r="E129" s="8" t="str">
        <f t="shared" si="8"/>
        <v>USD</v>
      </c>
      <c r="F129" s="266"/>
      <c r="G129" s="263"/>
      <c r="H129" s="70">
        <f t="shared" ref="H129" si="10">G129*(1+$F129)</f>
        <v>0</v>
      </c>
      <c r="I129" s="876"/>
      <c r="J129" s="876"/>
      <c r="K129" s="876"/>
      <c r="L129" s="180"/>
      <c r="M129" s="180"/>
      <c r="N129" s="180"/>
      <c r="O129" s="180"/>
      <c r="P129" s="180"/>
      <c r="Q129" s="180"/>
      <c r="R129" s="180"/>
      <c r="S129" s="180"/>
      <c r="T129" s="180"/>
      <c r="U129" s="876"/>
      <c r="V129" s="876"/>
      <c r="W129" s="876"/>
      <c r="X129" s="876"/>
      <c r="Y129" s="876"/>
      <c r="Z129" s="876"/>
      <c r="AA129" s="876"/>
      <c r="AB129" s="876"/>
      <c r="AC129" s="876"/>
      <c r="AD129" s="876"/>
      <c r="AE129" s="876"/>
      <c r="AF129" s="876"/>
      <c r="AG129" s="876"/>
    </row>
    <row r="130" spans="1:33" s="878" customFormat="1" ht="17.25" customHeight="1" outlineLevel="2">
      <c r="A130" s="876"/>
      <c r="B130" s="876"/>
      <c r="C130" s="625" t="s">
        <v>671</v>
      </c>
      <c r="D130" s="876"/>
      <c r="E130" s="8" t="str">
        <f t="shared" si="8"/>
        <v>USD</v>
      </c>
      <c r="F130" s="266"/>
      <c r="G130" s="263"/>
      <c r="H130" s="70">
        <f t="shared" ref="H130:H133" si="11">G130*(1+$F130)</f>
        <v>0</v>
      </c>
      <c r="I130" s="876"/>
      <c r="J130" s="876"/>
      <c r="K130" s="876"/>
      <c r="L130" s="876"/>
      <c r="M130" s="876"/>
      <c r="N130" s="876"/>
      <c r="O130" s="876"/>
      <c r="P130" s="876"/>
      <c r="Q130" s="876"/>
      <c r="R130" s="876"/>
      <c r="S130" s="876"/>
      <c r="T130" s="876"/>
      <c r="U130" s="876"/>
      <c r="V130" s="876"/>
      <c r="W130" s="876"/>
      <c r="X130" s="876"/>
      <c r="Y130" s="876"/>
      <c r="Z130" s="876"/>
      <c r="AA130" s="876"/>
      <c r="AB130" s="876"/>
      <c r="AC130" s="876"/>
      <c r="AD130" s="876"/>
      <c r="AE130" s="876"/>
      <c r="AF130" s="876"/>
      <c r="AG130" s="876"/>
    </row>
    <row r="131" spans="1:33" s="878" customFormat="1" ht="17.25" customHeight="1" outlineLevel="2">
      <c r="A131" s="876"/>
      <c r="B131" s="876"/>
      <c r="C131" s="625" t="s">
        <v>671</v>
      </c>
      <c r="D131" s="876"/>
      <c r="E131" s="8" t="str">
        <f t="shared" si="8"/>
        <v>USD</v>
      </c>
      <c r="F131" s="266"/>
      <c r="G131" s="263"/>
      <c r="H131" s="70">
        <f t="shared" si="11"/>
        <v>0</v>
      </c>
      <c r="I131" s="876"/>
      <c r="J131" s="876"/>
      <c r="K131" s="876"/>
      <c r="L131" s="876"/>
      <c r="M131" s="876"/>
      <c r="N131" s="876"/>
      <c r="O131" s="876"/>
      <c r="P131" s="876"/>
      <c r="Q131" s="876"/>
      <c r="R131" s="876"/>
      <c r="S131" s="876"/>
      <c r="T131" s="876"/>
      <c r="U131" s="876"/>
      <c r="V131" s="876"/>
      <c r="W131" s="876"/>
      <c r="X131" s="876"/>
      <c r="Y131" s="876"/>
      <c r="Z131" s="876"/>
      <c r="AA131" s="876"/>
      <c r="AB131" s="876"/>
      <c r="AC131" s="876"/>
      <c r="AD131" s="876"/>
      <c r="AE131" s="876"/>
      <c r="AF131" s="876"/>
      <c r="AG131" s="876"/>
    </row>
    <row r="132" spans="1:33" s="878" customFormat="1" ht="17.25" customHeight="1" outlineLevel="2">
      <c r="A132" s="876"/>
      <c r="B132" s="876"/>
      <c r="C132" s="625" t="s">
        <v>671</v>
      </c>
      <c r="D132" s="876"/>
      <c r="E132" s="8" t="str">
        <f t="shared" si="8"/>
        <v>USD</v>
      </c>
      <c r="F132" s="266"/>
      <c r="G132" s="263"/>
      <c r="H132" s="70">
        <f t="shared" si="11"/>
        <v>0</v>
      </c>
      <c r="I132" s="876"/>
      <c r="J132" s="876"/>
      <c r="K132" s="876"/>
      <c r="L132" s="876"/>
      <c r="M132" s="876"/>
      <c r="N132" s="876"/>
      <c r="O132" s="876"/>
      <c r="P132" s="876"/>
      <c r="Q132" s="876"/>
      <c r="R132" s="876"/>
      <c r="S132" s="876"/>
      <c r="T132" s="876"/>
      <c r="U132" s="876"/>
      <c r="V132" s="876"/>
      <c r="W132" s="876"/>
      <c r="X132" s="876"/>
      <c r="Y132" s="876"/>
      <c r="Z132" s="876"/>
      <c r="AA132" s="876"/>
      <c r="AB132" s="876"/>
      <c r="AC132" s="876"/>
      <c r="AD132" s="876"/>
      <c r="AE132" s="876"/>
      <c r="AF132" s="876"/>
      <c r="AG132" s="876"/>
    </row>
    <row r="133" spans="1:33" s="878" customFormat="1" ht="17.25" customHeight="1" outlineLevel="2">
      <c r="A133" s="876"/>
      <c r="B133" s="876"/>
      <c r="C133" s="625" t="s">
        <v>671</v>
      </c>
      <c r="D133" s="876"/>
      <c r="E133" s="8" t="str">
        <f t="shared" si="8"/>
        <v>USD</v>
      </c>
      <c r="F133" s="266"/>
      <c r="G133" s="263"/>
      <c r="H133" s="70">
        <f t="shared" si="11"/>
        <v>0</v>
      </c>
      <c r="I133" s="876"/>
      <c r="J133" s="876"/>
      <c r="K133" s="876"/>
      <c r="L133" s="876"/>
      <c r="M133" s="876"/>
      <c r="N133" s="876"/>
      <c r="O133" s="876"/>
      <c r="P133" s="876"/>
      <c r="Q133" s="876"/>
      <c r="R133" s="876"/>
      <c r="S133" s="876"/>
      <c r="T133" s="876"/>
      <c r="U133" s="876"/>
      <c r="V133" s="876"/>
      <c r="W133" s="876"/>
      <c r="X133" s="876"/>
      <c r="Y133" s="876"/>
      <c r="Z133" s="876"/>
      <c r="AA133" s="876"/>
      <c r="AB133" s="876"/>
      <c r="AC133" s="876"/>
      <c r="AD133" s="876"/>
      <c r="AE133" s="876"/>
      <c r="AF133" s="876"/>
      <c r="AG133" s="876"/>
    </row>
    <row r="134" spans="1:33" s="116" customFormat="1" ht="17.25" customHeight="1" outlineLevel="2">
      <c r="A134" s="876"/>
      <c r="B134" s="180"/>
      <c r="C134" s="625" t="s">
        <v>671</v>
      </c>
      <c r="D134" s="288"/>
      <c r="E134" s="8" t="str">
        <f t="shared" si="8"/>
        <v>USD</v>
      </c>
      <c r="F134" s="266"/>
      <c r="G134" s="263"/>
      <c r="H134" s="70">
        <f t="shared" si="9"/>
        <v>0</v>
      </c>
      <c r="I134" s="876"/>
      <c r="J134" s="876"/>
      <c r="K134" s="876"/>
      <c r="L134" s="180"/>
      <c r="M134" s="180"/>
      <c r="N134" s="180"/>
      <c r="O134" s="180"/>
      <c r="P134" s="180"/>
      <c r="Q134" s="180"/>
      <c r="R134" s="180"/>
      <c r="S134" s="180"/>
      <c r="T134" s="180"/>
      <c r="U134" s="876"/>
      <c r="V134" s="876"/>
      <c r="W134" s="876"/>
      <c r="X134" s="876"/>
      <c r="Y134" s="876"/>
      <c r="Z134" s="876"/>
      <c r="AA134" s="876"/>
      <c r="AB134" s="876"/>
      <c r="AC134" s="876"/>
      <c r="AD134" s="876"/>
      <c r="AE134" s="876"/>
      <c r="AF134" s="876"/>
      <c r="AG134" s="876"/>
    </row>
    <row r="135" spans="1:33" s="199" customFormat="1" ht="15" customHeight="1" outlineLevel="2">
      <c r="A135" s="876"/>
      <c r="B135" s="180"/>
      <c r="C135" s="285"/>
      <c r="D135" s="180"/>
      <c r="E135" s="299"/>
      <c r="F135" s="285"/>
      <c r="G135" s="298"/>
      <c r="H135" s="298"/>
      <c r="I135" s="876"/>
      <c r="J135" s="876"/>
      <c r="K135" s="876"/>
      <c r="L135" s="288"/>
      <c r="M135" s="180"/>
      <c r="N135" s="180"/>
      <c r="O135" s="180"/>
      <c r="P135" s="180"/>
      <c r="Q135" s="180"/>
      <c r="R135" s="180"/>
      <c r="S135" s="180"/>
      <c r="T135" s="180"/>
      <c r="U135" s="876"/>
      <c r="V135" s="876"/>
      <c r="W135" s="876"/>
      <c r="X135" s="876"/>
      <c r="Y135" s="876"/>
      <c r="Z135" s="876"/>
      <c r="AA135" s="876"/>
      <c r="AB135" s="876"/>
      <c r="AC135" s="876"/>
      <c r="AD135" s="876"/>
      <c r="AE135" s="876"/>
      <c r="AF135" s="876"/>
      <c r="AG135" s="876"/>
    </row>
    <row r="136" spans="1:33" s="199" customFormat="1" ht="21" customHeight="1" outlineLevel="2">
      <c r="A136" s="876"/>
      <c r="B136" s="286"/>
      <c r="C136" s="293" t="s">
        <v>229</v>
      </c>
      <c r="D136" s="180"/>
      <c r="E136" s="299"/>
      <c r="F136" s="285"/>
      <c r="G136" s="298"/>
      <c r="H136" s="298"/>
      <c r="I136" s="298"/>
      <c r="J136" s="298"/>
      <c r="K136" s="180"/>
      <c r="L136" s="288"/>
      <c r="M136" s="288"/>
      <c r="N136" s="288"/>
      <c r="O136" s="288"/>
      <c r="P136" s="288"/>
      <c r="Q136" s="180"/>
      <c r="R136" s="180"/>
      <c r="S136" s="180"/>
      <c r="T136" s="180"/>
      <c r="U136" s="876"/>
      <c r="V136" s="876"/>
      <c r="W136" s="876"/>
      <c r="X136" s="876"/>
      <c r="Y136" s="876"/>
      <c r="Z136" s="876"/>
      <c r="AA136" s="876"/>
      <c r="AB136" s="876"/>
      <c r="AC136" s="876"/>
      <c r="AD136" s="876"/>
      <c r="AE136" s="876"/>
      <c r="AF136" s="876"/>
      <c r="AG136" s="876"/>
    </row>
    <row r="137" spans="1:33" s="199" customFormat="1" ht="17.25" customHeight="1" outlineLevel="2">
      <c r="A137" s="876"/>
      <c r="B137" s="180"/>
      <c r="C137" s="40" t="s">
        <v>228</v>
      </c>
      <c r="D137" s="180"/>
      <c r="E137" s="8" t="s">
        <v>227</v>
      </c>
      <c r="F137" s="266">
        <v>0.2</v>
      </c>
      <c r="G137" s="299" t="s">
        <v>230</v>
      </c>
      <c r="H137" s="298"/>
      <c r="I137" s="298"/>
      <c r="J137" s="298"/>
      <c r="K137" s="180"/>
      <c r="L137" s="288"/>
      <c r="M137" s="288"/>
      <c r="N137" s="288"/>
      <c r="O137" s="288"/>
      <c r="P137" s="288"/>
      <c r="Q137" s="180"/>
      <c r="R137" s="180"/>
      <c r="S137" s="180"/>
      <c r="T137" s="180"/>
      <c r="U137" s="876"/>
      <c r="V137" s="876"/>
      <c r="W137" s="876"/>
      <c r="X137" s="876"/>
      <c r="Y137" s="876"/>
      <c r="Z137" s="876"/>
      <c r="AA137" s="876"/>
      <c r="AB137" s="876"/>
      <c r="AC137" s="876"/>
      <c r="AD137" s="876"/>
      <c r="AE137" s="876"/>
      <c r="AF137" s="876"/>
      <c r="AG137" s="876"/>
    </row>
    <row r="138" spans="1:33" s="632" customFormat="1" ht="21" customHeight="1" outlineLevel="2">
      <c r="A138" s="876"/>
      <c r="B138" s="288"/>
      <c r="C138" s="293"/>
      <c r="D138" s="288"/>
      <c r="E138" s="299"/>
      <c r="F138" s="285"/>
      <c r="G138" s="298"/>
      <c r="H138" s="298"/>
      <c r="I138" s="298"/>
      <c r="J138" s="876"/>
      <c r="K138" s="288"/>
      <c r="L138" s="288"/>
      <c r="M138" s="180"/>
      <c r="N138" s="299"/>
      <c r="O138" s="288"/>
      <c r="P138" s="315"/>
      <c r="Q138" s="304"/>
      <c r="R138" s="304"/>
      <c r="S138" s="288"/>
      <c r="T138" s="288"/>
      <c r="U138" s="876"/>
      <c r="V138" s="876"/>
      <c r="W138" s="876"/>
      <c r="X138" s="876"/>
      <c r="Y138" s="876"/>
      <c r="Z138" s="876"/>
      <c r="AA138" s="876"/>
      <c r="AB138" s="876"/>
      <c r="AC138" s="876"/>
      <c r="AD138" s="876"/>
      <c r="AE138" s="876"/>
      <c r="AF138" s="876"/>
      <c r="AG138" s="876"/>
    </row>
    <row r="139" spans="1:33" s="632" customFormat="1" ht="30" customHeight="1" outlineLevel="1">
      <c r="A139" s="876"/>
      <c r="B139" s="288"/>
      <c r="C139" s="293" t="s">
        <v>226</v>
      </c>
      <c r="D139" s="288"/>
      <c r="E139" s="682" t="s">
        <v>237</v>
      </c>
      <c r="F139" s="681" t="str">
        <f>CHOOSE(language,"Direct Labour","Direct Labor")</f>
        <v>Direct Labor</v>
      </c>
      <c r="G139" s="681" t="s">
        <v>853</v>
      </c>
      <c r="H139" s="681" t="s">
        <v>854</v>
      </c>
      <c r="I139" s="681" t="s">
        <v>855</v>
      </c>
      <c r="J139" s="876"/>
      <c r="K139" s="288"/>
      <c r="L139" s="288"/>
      <c r="M139" s="288"/>
      <c r="N139" s="299"/>
      <c r="O139" s="288"/>
      <c r="P139" s="315"/>
      <c r="Q139" s="304"/>
      <c r="R139" s="304"/>
      <c r="S139" s="288"/>
      <c r="T139" s="288"/>
      <c r="U139" s="876"/>
      <c r="V139" s="876"/>
      <c r="W139" s="876"/>
      <c r="X139" s="876"/>
      <c r="Y139" s="876"/>
      <c r="Z139" s="876"/>
      <c r="AA139" s="876"/>
      <c r="AB139" s="876"/>
      <c r="AC139" s="876"/>
      <c r="AD139" s="876"/>
      <c r="AE139" s="876"/>
      <c r="AF139" s="876"/>
      <c r="AG139" s="876"/>
    </row>
    <row r="140" spans="1:33" s="632" customFormat="1" ht="17.25" customHeight="1" outlineLevel="2">
      <c r="A140" s="876"/>
      <c r="B140" s="288"/>
      <c r="C140" s="553" t="s">
        <v>231</v>
      </c>
      <c r="D140" s="288"/>
      <c r="E140" s="8" t="str">
        <f>Currency_Label &amp;" per FTE"</f>
        <v>USD per FTE</v>
      </c>
      <c r="F140" s="263">
        <v>0</v>
      </c>
      <c r="G140" s="263">
        <v>300</v>
      </c>
      <c r="H140" s="263">
        <v>300</v>
      </c>
      <c r="I140" s="263">
        <v>250</v>
      </c>
      <c r="J140" s="876"/>
      <c r="K140" s="288"/>
      <c r="L140" s="288"/>
      <c r="M140" s="876"/>
      <c r="N140" s="876"/>
      <c r="O140" s="876"/>
      <c r="P140" s="315"/>
      <c r="Q140" s="304"/>
      <c r="R140" s="304"/>
      <c r="S140" s="288"/>
      <c r="T140" s="288"/>
      <c r="U140" s="876"/>
      <c r="V140" s="876"/>
      <c r="W140" s="876"/>
      <c r="X140" s="876"/>
      <c r="Y140" s="876"/>
      <c r="Z140" s="876"/>
      <c r="AA140" s="876"/>
      <c r="AB140" s="876"/>
      <c r="AC140" s="876"/>
      <c r="AD140" s="876"/>
      <c r="AE140" s="876"/>
      <c r="AF140" s="876"/>
      <c r="AG140" s="876"/>
    </row>
    <row r="141" spans="1:33" s="632" customFormat="1" ht="17.25" customHeight="1" outlineLevel="2">
      <c r="A141" s="876"/>
      <c r="B141" s="288"/>
      <c r="C141" s="625" t="s">
        <v>859</v>
      </c>
      <c r="D141" s="288"/>
      <c r="E141" s="8" t="str">
        <f>Currency_Label &amp;" /FTE/month"</f>
        <v>USD /FTE/month</v>
      </c>
      <c r="F141" s="263">
        <v>0</v>
      </c>
      <c r="G141" s="263">
        <v>500</v>
      </c>
      <c r="H141" s="263">
        <v>150</v>
      </c>
      <c r="I141" s="263">
        <v>500</v>
      </c>
      <c r="J141" s="876"/>
      <c r="K141" s="288"/>
      <c r="L141" s="288"/>
      <c r="M141" s="876"/>
      <c r="N141" s="876"/>
      <c r="O141" s="876"/>
      <c r="P141" s="315"/>
      <c r="Q141" s="304"/>
      <c r="R141" s="304"/>
      <c r="S141" s="288"/>
      <c r="T141" s="288"/>
      <c r="U141" s="876"/>
      <c r="V141" s="876"/>
      <c r="W141" s="876"/>
      <c r="X141" s="876"/>
      <c r="Y141" s="876"/>
      <c r="Z141" s="876"/>
      <c r="AA141" s="876"/>
      <c r="AB141" s="876"/>
      <c r="AC141" s="876"/>
      <c r="AD141" s="876"/>
      <c r="AE141" s="876"/>
      <c r="AF141" s="876"/>
      <c r="AG141" s="876"/>
    </row>
    <row r="142" spans="1:33" s="632" customFormat="1" ht="17.25" customHeight="1" outlineLevel="2">
      <c r="A142" s="876"/>
      <c r="B142" s="288"/>
      <c r="C142" s="625" t="s">
        <v>232</v>
      </c>
      <c r="D142" s="288"/>
      <c r="E142" s="8" t="str">
        <f>Currency_Label &amp;" /FTE/month"</f>
        <v>USD /FTE/month</v>
      </c>
      <c r="F142" s="263">
        <v>0</v>
      </c>
      <c r="G142" s="263"/>
      <c r="H142" s="263"/>
      <c r="I142" s="263"/>
      <c r="J142" s="876"/>
      <c r="K142" s="288"/>
      <c r="L142" s="288"/>
      <c r="M142" s="876"/>
      <c r="N142" s="876"/>
      <c r="O142" s="876"/>
      <c r="P142" s="315"/>
      <c r="Q142" s="304"/>
      <c r="R142" s="304"/>
      <c r="S142" s="288"/>
      <c r="T142" s="288"/>
      <c r="U142" s="876"/>
      <c r="V142" s="876"/>
      <c r="W142" s="876"/>
      <c r="X142" s="876"/>
      <c r="Y142" s="876"/>
      <c r="Z142" s="876"/>
      <c r="AA142" s="876"/>
      <c r="AB142" s="876"/>
      <c r="AC142" s="876"/>
      <c r="AD142" s="876"/>
      <c r="AE142" s="876"/>
      <c r="AF142" s="876"/>
      <c r="AG142" s="876"/>
    </row>
    <row r="143" spans="1:33" s="632" customFormat="1" ht="17.25" customHeight="1" outlineLevel="2">
      <c r="A143" s="876"/>
      <c r="B143" s="288"/>
      <c r="C143" s="625" t="s">
        <v>858</v>
      </c>
      <c r="D143" s="288"/>
      <c r="E143" s="8" t="s">
        <v>227</v>
      </c>
      <c r="F143" s="266">
        <v>0.01</v>
      </c>
      <c r="G143" s="266">
        <v>0.03</v>
      </c>
      <c r="H143" s="266">
        <v>0.03</v>
      </c>
      <c r="I143" s="266">
        <v>0.03</v>
      </c>
      <c r="J143" s="876"/>
      <c r="K143" s="288"/>
      <c r="L143" s="288"/>
      <c r="M143" s="876"/>
      <c r="N143" s="876"/>
      <c r="O143" s="876"/>
      <c r="P143" s="315"/>
      <c r="Q143" s="304"/>
      <c r="R143" s="304"/>
      <c r="S143" s="288"/>
      <c r="T143" s="288"/>
      <c r="U143" s="876"/>
      <c r="V143" s="876"/>
      <c r="W143" s="876"/>
      <c r="X143" s="876"/>
      <c r="Y143" s="876"/>
      <c r="Z143" s="876"/>
      <c r="AA143" s="876"/>
      <c r="AB143" s="876"/>
      <c r="AC143" s="876"/>
      <c r="AD143" s="876"/>
      <c r="AE143" s="876"/>
      <c r="AF143" s="876"/>
      <c r="AG143" s="876"/>
    </row>
    <row r="144" spans="1:33" s="632" customFormat="1" ht="17.25" customHeight="1" outlineLevel="2">
      <c r="A144" s="876"/>
      <c r="B144" s="288"/>
      <c r="C144" s="625" t="s">
        <v>857</v>
      </c>
      <c r="D144" s="288"/>
      <c r="E144" s="8" t="s">
        <v>227</v>
      </c>
      <c r="F144" s="266">
        <v>0</v>
      </c>
      <c r="G144" s="266">
        <v>0.02</v>
      </c>
      <c r="H144" s="266">
        <v>0.02</v>
      </c>
      <c r="I144" s="266">
        <v>0.03</v>
      </c>
      <c r="J144" s="876"/>
      <c r="K144" s="288"/>
      <c r="L144" s="288"/>
      <c r="M144" s="876"/>
      <c r="N144" s="876"/>
      <c r="O144" s="876"/>
      <c r="P144" s="315"/>
      <c r="Q144" s="304"/>
      <c r="R144" s="304"/>
      <c r="S144" s="288"/>
      <c r="T144" s="288"/>
      <c r="U144" s="876"/>
      <c r="V144" s="876"/>
      <c r="W144" s="876"/>
      <c r="X144" s="876"/>
      <c r="Y144" s="876"/>
      <c r="Z144" s="876"/>
      <c r="AA144" s="876"/>
      <c r="AB144" s="876"/>
      <c r="AC144" s="876"/>
      <c r="AD144" s="876"/>
      <c r="AE144" s="876"/>
      <c r="AF144" s="876"/>
      <c r="AG144" s="876"/>
    </row>
    <row r="145" spans="1:33" s="632" customFormat="1" ht="17.25" customHeight="1" outlineLevel="2">
      <c r="A145" s="876"/>
      <c r="B145" s="288"/>
      <c r="C145" s="625" t="s">
        <v>232</v>
      </c>
      <c r="D145" s="288"/>
      <c r="E145" s="8" t="s">
        <v>227</v>
      </c>
      <c r="F145" s="266">
        <v>5.0000000000000001E-3</v>
      </c>
      <c r="G145" s="266">
        <v>0.01</v>
      </c>
      <c r="H145" s="266">
        <v>0.01</v>
      </c>
      <c r="I145" s="266">
        <v>0.01</v>
      </c>
      <c r="J145" s="876"/>
      <c r="K145" s="288"/>
      <c r="L145" s="288"/>
      <c r="M145" s="288"/>
      <c r="N145" s="299"/>
      <c r="O145" s="288"/>
      <c r="P145" s="315"/>
      <c r="Q145" s="304"/>
      <c r="R145" s="304"/>
      <c r="S145" s="288"/>
      <c r="T145" s="288"/>
      <c r="U145" s="876"/>
      <c r="V145" s="876"/>
      <c r="W145" s="876"/>
      <c r="X145" s="876"/>
      <c r="Y145" s="876"/>
      <c r="Z145" s="876"/>
      <c r="AA145" s="876"/>
      <c r="AB145" s="876"/>
      <c r="AC145" s="876"/>
      <c r="AD145" s="876"/>
      <c r="AE145" s="876"/>
      <c r="AF145" s="876"/>
      <c r="AG145" s="876"/>
    </row>
    <row r="146" spans="1:33" s="799" customFormat="1" ht="17.25" customHeight="1" outlineLevel="1">
      <c r="A146" s="876"/>
      <c r="B146" s="288"/>
      <c r="C146" s="876"/>
      <c r="D146" s="288"/>
      <c r="E146" s="299"/>
      <c r="F146" s="299"/>
      <c r="G146" s="298"/>
      <c r="H146" s="298"/>
      <c r="I146" s="298"/>
      <c r="J146" s="298"/>
      <c r="K146" s="288"/>
      <c r="L146" s="288"/>
      <c r="M146" s="288"/>
      <c r="N146" s="299"/>
      <c r="O146" s="288"/>
      <c r="P146" s="315"/>
      <c r="Q146" s="304"/>
      <c r="R146" s="304"/>
      <c r="S146" s="288"/>
      <c r="T146" s="288"/>
      <c r="U146" s="876"/>
      <c r="V146" s="876"/>
      <c r="W146" s="876"/>
      <c r="X146" s="876"/>
      <c r="Y146" s="876"/>
      <c r="Z146" s="876"/>
      <c r="AA146" s="876"/>
      <c r="AB146" s="876"/>
      <c r="AC146" s="876"/>
      <c r="AD146" s="876"/>
      <c r="AE146" s="876"/>
      <c r="AF146" s="876"/>
      <c r="AG146" s="876"/>
    </row>
    <row r="147" spans="1:33" s="116" customFormat="1" ht="17.25" customHeight="1">
      <c r="A147" s="876"/>
      <c r="B147" s="180"/>
      <c r="C147" s="285"/>
      <c r="D147" s="180"/>
      <c r="E147" s="180"/>
      <c r="F147" s="299"/>
      <c r="G147" s="180"/>
      <c r="H147" s="180"/>
      <c r="I147" s="180"/>
      <c r="J147" s="288"/>
      <c r="K147" s="180"/>
      <c r="L147" s="180"/>
      <c r="M147" s="180"/>
      <c r="N147" s="180"/>
      <c r="O147" s="180"/>
      <c r="P147" s="180"/>
      <c r="Q147" s="180"/>
      <c r="R147" s="180"/>
      <c r="S147" s="180"/>
      <c r="T147" s="180"/>
      <c r="U147" s="876"/>
      <c r="V147" s="876"/>
      <c r="W147" s="876"/>
      <c r="X147" s="876"/>
      <c r="Y147" s="876"/>
      <c r="Z147" s="876"/>
      <c r="AA147" s="876"/>
      <c r="AB147" s="876"/>
      <c r="AC147" s="876"/>
      <c r="AD147" s="876"/>
      <c r="AE147" s="876"/>
      <c r="AF147" s="876"/>
      <c r="AG147" s="876"/>
    </row>
    <row r="148" spans="1:33" s="72" customFormat="1" ht="24.75" customHeight="1" thickBot="1">
      <c r="A148" s="284"/>
      <c r="B148" s="284"/>
      <c r="C148" s="284" t="s">
        <v>288</v>
      </c>
      <c r="D148" s="284"/>
      <c r="E148" s="284"/>
      <c r="F148" s="284"/>
      <c r="G148" s="284"/>
      <c r="H148" s="284"/>
      <c r="I148" s="284"/>
      <c r="J148" s="284"/>
      <c r="K148" s="284"/>
      <c r="L148" s="284"/>
      <c r="M148" s="284"/>
      <c r="N148" s="284"/>
      <c r="O148" s="284"/>
      <c r="P148" s="180"/>
      <c r="Q148" s="180"/>
      <c r="R148" s="180"/>
      <c r="S148" s="180"/>
      <c r="T148" s="180"/>
      <c r="U148" s="876"/>
      <c r="V148" s="876"/>
      <c r="W148" s="876"/>
      <c r="X148" s="876"/>
      <c r="Y148" s="876"/>
      <c r="Z148" s="876"/>
      <c r="AA148" s="876"/>
      <c r="AB148" s="876"/>
      <c r="AC148" s="876"/>
      <c r="AD148" s="876"/>
      <c r="AE148" s="876"/>
      <c r="AF148" s="876"/>
      <c r="AG148" s="876"/>
    </row>
    <row r="149" spans="1:33" s="72" customFormat="1" ht="20.25" outlineLevel="1">
      <c r="A149" s="876"/>
      <c r="B149" s="180"/>
      <c r="C149" s="293" t="s">
        <v>311</v>
      </c>
      <c r="D149" s="876"/>
      <c r="E149" s="876"/>
      <c r="F149" s="876"/>
      <c r="G149" s="876"/>
      <c r="H149" s="180"/>
      <c r="I149" s="180"/>
      <c r="J149" s="180"/>
      <c r="K149" s="180"/>
      <c r="L149" s="180"/>
      <c r="M149" s="180"/>
      <c r="N149" s="180"/>
      <c r="O149" s="180"/>
      <c r="P149" s="180"/>
      <c r="Q149" s="180"/>
      <c r="R149" s="180"/>
      <c r="S149" s="180"/>
      <c r="T149" s="180"/>
      <c r="U149" s="876"/>
      <c r="V149" s="876"/>
      <c r="W149" s="876"/>
      <c r="X149" s="876"/>
      <c r="Y149" s="876"/>
      <c r="Z149" s="876"/>
      <c r="AA149" s="876"/>
      <c r="AB149" s="876"/>
      <c r="AC149" s="876"/>
      <c r="AD149" s="876"/>
      <c r="AE149" s="876"/>
      <c r="AF149" s="876"/>
      <c r="AG149" s="876"/>
    </row>
    <row r="150" spans="1:33" s="199" customFormat="1" ht="15" outlineLevel="1">
      <c r="A150" s="876"/>
      <c r="B150" s="180"/>
      <c r="C150" s="286" t="s">
        <v>455</v>
      </c>
      <c r="D150" s="180"/>
      <c r="E150" s="180"/>
      <c r="F150" s="180"/>
      <c r="G150" s="180"/>
      <c r="H150" s="180"/>
      <c r="I150" s="180"/>
      <c r="J150" s="180"/>
      <c r="K150" s="876"/>
      <c r="L150" s="876"/>
      <c r="M150" s="876"/>
      <c r="N150" s="876"/>
      <c r="O150" s="180"/>
      <c r="P150" s="180"/>
      <c r="Q150" s="180"/>
      <c r="R150" s="180"/>
      <c r="S150" s="180"/>
      <c r="T150" s="180"/>
      <c r="U150" s="876"/>
      <c r="V150" s="876"/>
      <c r="W150" s="876"/>
      <c r="X150" s="876"/>
      <c r="Y150" s="876"/>
      <c r="Z150" s="876"/>
      <c r="AA150" s="876"/>
      <c r="AB150" s="876"/>
      <c r="AC150" s="876"/>
      <c r="AD150" s="876"/>
      <c r="AE150" s="876"/>
      <c r="AF150" s="876"/>
      <c r="AG150" s="876"/>
    </row>
    <row r="151" spans="1:33" s="88" customFormat="1" ht="15.75" customHeight="1" outlineLevel="2">
      <c r="A151" s="876"/>
      <c r="B151" s="180"/>
      <c r="C151" s="40" t="s">
        <v>592</v>
      </c>
      <c r="D151" s="180"/>
      <c r="E151" s="8" t="str">
        <f>Currency_Label</f>
        <v>USD</v>
      </c>
      <c r="F151" s="263">
        <v>130000</v>
      </c>
      <c r="G151" s="180"/>
      <c r="H151" s="676" t="s">
        <v>454</v>
      </c>
      <c r="I151" s="769">
        <v>0</v>
      </c>
      <c r="J151" s="180"/>
      <c r="K151" s="180"/>
      <c r="L151" s="180"/>
      <c r="M151" s="180"/>
      <c r="N151" s="180"/>
      <c r="O151" s="180"/>
      <c r="P151" s="180"/>
      <c r="Q151" s="180"/>
      <c r="R151" s="180"/>
      <c r="S151" s="180"/>
      <c r="T151" s="180"/>
      <c r="U151" s="876"/>
      <c r="V151" s="876"/>
      <c r="W151" s="876"/>
      <c r="X151" s="876"/>
      <c r="Y151" s="876"/>
      <c r="Z151" s="876"/>
      <c r="AA151" s="876"/>
      <c r="AB151" s="876"/>
      <c r="AC151" s="876"/>
      <c r="AD151" s="876"/>
      <c r="AE151" s="876"/>
      <c r="AF151" s="876"/>
      <c r="AG151" s="876"/>
    </row>
    <row r="152" spans="1:33" s="199" customFormat="1" ht="15.75" customHeight="1" outlineLevel="2">
      <c r="A152" s="876"/>
      <c r="B152" s="180"/>
      <c r="C152" s="286" t="s">
        <v>456</v>
      </c>
      <c r="D152" s="180"/>
      <c r="E152" s="180"/>
      <c r="F152" s="180"/>
      <c r="G152" s="180"/>
      <c r="H152" s="550"/>
      <c r="I152" s="180"/>
      <c r="J152" s="180"/>
      <c r="K152" s="180"/>
      <c r="L152" s="180"/>
      <c r="M152" s="180"/>
      <c r="N152" s="180"/>
      <c r="O152" s="180"/>
      <c r="P152" s="180"/>
      <c r="Q152" s="180"/>
      <c r="R152" s="180"/>
      <c r="S152" s="180"/>
      <c r="T152" s="180"/>
      <c r="U152" s="876"/>
      <c r="V152" s="876"/>
      <c r="W152" s="876"/>
      <c r="X152" s="876"/>
      <c r="Y152" s="876"/>
      <c r="Z152" s="876"/>
      <c r="AA152" s="876"/>
      <c r="AB152" s="876"/>
      <c r="AC152" s="876"/>
      <c r="AD152" s="876"/>
      <c r="AE152" s="876"/>
      <c r="AF152" s="876"/>
      <c r="AG152" s="876"/>
    </row>
    <row r="153" spans="1:33" s="199" customFormat="1" ht="15.75" customHeight="1" outlineLevel="2">
      <c r="A153" s="876"/>
      <c r="B153" s="180"/>
      <c r="C153" s="40" t="s">
        <v>591</v>
      </c>
      <c r="D153" s="180"/>
      <c r="E153" s="8" t="str">
        <f>Currency_Label</f>
        <v>USD</v>
      </c>
      <c r="F153" s="263">
        <v>100000</v>
      </c>
      <c r="G153" s="180"/>
      <c r="H153" s="676" t="s">
        <v>933</v>
      </c>
      <c r="I153" s="1004">
        <v>43191</v>
      </c>
      <c r="J153" s="180"/>
      <c r="K153" s="180"/>
      <c r="L153" s="180"/>
      <c r="M153" s="180"/>
      <c r="N153" s="180"/>
      <c r="O153" s="180"/>
      <c r="P153" s="180"/>
      <c r="Q153" s="180"/>
      <c r="R153" s="180"/>
      <c r="S153" s="180"/>
      <c r="T153" s="180"/>
      <c r="U153" s="876"/>
      <c r="V153" s="876"/>
      <c r="W153" s="876"/>
      <c r="X153" s="876"/>
      <c r="Y153" s="876"/>
      <c r="Z153" s="876"/>
      <c r="AA153" s="876"/>
      <c r="AB153" s="876"/>
      <c r="AC153" s="876"/>
      <c r="AD153" s="876"/>
      <c r="AE153" s="876"/>
      <c r="AF153" s="876"/>
      <c r="AG153" s="876"/>
    </row>
    <row r="154" spans="1:33" s="72" customFormat="1" ht="9.75" customHeight="1" outlineLevel="2">
      <c r="A154" s="876"/>
      <c r="B154" s="180"/>
      <c r="C154" s="285"/>
      <c r="D154" s="180"/>
      <c r="E154" s="180"/>
      <c r="F154" s="180"/>
      <c r="G154" s="180"/>
      <c r="H154" s="180"/>
      <c r="I154" s="180"/>
      <c r="J154" s="180"/>
      <c r="K154" s="180"/>
      <c r="L154" s="180"/>
      <c r="M154" s="180"/>
      <c r="N154" s="180"/>
      <c r="O154" s="180"/>
      <c r="P154" s="180"/>
      <c r="Q154" s="180"/>
      <c r="R154" s="180"/>
      <c r="S154" s="180"/>
      <c r="T154" s="180"/>
      <c r="U154" s="876"/>
      <c r="V154" s="876"/>
      <c r="W154" s="876"/>
      <c r="X154" s="876"/>
      <c r="Y154" s="876"/>
      <c r="Z154" s="876"/>
      <c r="AA154" s="876"/>
      <c r="AB154" s="876"/>
      <c r="AC154" s="876"/>
      <c r="AD154" s="876"/>
      <c r="AE154" s="876"/>
      <c r="AF154" s="876"/>
      <c r="AG154" s="876"/>
    </row>
    <row r="155" spans="1:33" s="72" customFormat="1" ht="20.25" outlineLevel="1">
      <c r="A155" s="876"/>
      <c r="B155" s="180"/>
      <c r="C155" s="293" t="s">
        <v>310</v>
      </c>
      <c r="D155" s="180"/>
      <c r="E155" s="299"/>
      <c r="F155" s="180"/>
      <c r="G155" s="180"/>
      <c r="H155" s="180"/>
      <c r="I155" s="180"/>
      <c r="J155" s="180"/>
      <c r="K155" s="180"/>
      <c r="L155" s="180"/>
      <c r="M155" s="180"/>
      <c r="N155" s="180"/>
      <c r="O155" s="180"/>
      <c r="P155" s="180"/>
      <c r="Q155" s="180"/>
      <c r="R155" s="180"/>
      <c r="S155" s="180"/>
      <c r="T155" s="180"/>
      <c r="U155" s="876"/>
      <c r="V155" s="876"/>
      <c r="W155" s="876"/>
      <c r="X155" s="876"/>
      <c r="Y155" s="876"/>
      <c r="Z155" s="876"/>
      <c r="AA155" s="876"/>
      <c r="AB155" s="876"/>
      <c r="AC155" s="876"/>
      <c r="AD155" s="876"/>
      <c r="AE155" s="876"/>
      <c r="AF155" s="876"/>
      <c r="AG155" s="876"/>
    </row>
    <row r="156" spans="1:33" s="116" customFormat="1" ht="15" outlineLevel="2">
      <c r="A156" s="876"/>
      <c r="B156" s="303" t="s">
        <v>33</v>
      </c>
      <c r="C156" s="286" t="s">
        <v>457</v>
      </c>
      <c r="D156" s="180"/>
      <c r="E156" s="299" t="s">
        <v>472</v>
      </c>
      <c r="F156" s="180" t="s">
        <v>473</v>
      </c>
      <c r="G156" s="180"/>
      <c r="H156" s="180"/>
      <c r="I156" s="180"/>
      <c r="J156" s="180"/>
      <c r="K156" s="180"/>
      <c r="L156" s="180"/>
      <c r="M156" s="180"/>
      <c r="N156" s="180"/>
      <c r="O156" s="180"/>
      <c r="P156" s="180"/>
      <c r="Q156" s="180"/>
      <c r="R156" s="180"/>
      <c r="S156" s="180"/>
      <c r="T156" s="180"/>
      <c r="U156" s="876"/>
      <c r="V156" s="876"/>
      <c r="W156" s="876"/>
      <c r="X156" s="876"/>
      <c r="Y156" s="876"/>
      <c r="Z156" s="876"/>
      <c r="AA156" s="876"/>
      <c r="AB156" s="876"/>
      <c r="AC156" s="876"/>
      <c r="AD156" s="876"/>
      <c r="AE156" s="876"/>
      <c r="AF156" s="876"/>
      <c r="AG156" s="876"/>
    </row>
    <row r="157" spans="1:33" s="116" customFormat="1" ht="17.25" customHeight="1" outlineLevel="2">
      <c r="A157" s="876"/>
      <c r="B157" s="180"/>
      <c r="C157" s="40" t="s">
        <v>460</v>
      </c>
      <c r="D157" s="288"/>
      <c r="E157" s="8" t="s">
        <v>51</v>
      </c>
      <c r="F157" s="939" t="s">
        <v>1057</v>
      </c>
      <c r="G157" s="893"/>
      <c r="H157" s="180"/>
      <c r="I157" s="180"/>
      <c r="J157" s="180"/>
      <c r="K157" s="180"/>
      <c r="L157" s="180"/>
      <c r="M157" s="180"/>
      <c r="N157" s="180"/>
      <c r="O157" s="180"/>
      <c r="P157" s="180"/>
      <c r="Q157" s="180"/>
      <c r="R157" s="180"/>
      <c r="S157" s="180"/>
      <c r="T157" s="180"/>
      <c r="U157" s="876"/>
      <c r="V157" s="876"/>
      <c r="W157" s="876"/>
      <c r="X157" s="876"/>
      <c r="Y157" s="876"/>
      <c r="Z157" s="876"/>
      <c r="AA157" s="876"/>
      <c r="AB157" s="876"/>
      <c r="AC157" s="876"/>
      <c r="AD157" s="876"/>
      <c r="AE157" s="876"/>
      <c r="AF157" s="876"/>
      <c r="AG157" s="876"/>
    </row>
    <row r="158" spans="1:33" s="116" customFormat="1" ht="17.25" customHeight="1" outlineLevel="2">
      <c r="A158" s="876"/>
      <c r="B158" s="180"/>
      <c r="C158" s="40" t="s">
        <v>474</v>
      </c>
      <c r="D158" s="180"/>
      <c r="E158" s="73" t="s">
        <v>133</v>
      </c>
      <c r="F158" s="1041">
        <v>1</v>
      </c>
      <c r="G158" s="894" t="s">
        <v>475</v>
      </c>
      <c r="H158" s="180"/>
      <c r="I158" s="180"/>
      <c r="J158" s="180"/>
      <c r="K158" s="180"/>
      <c r="L158" s="180"/>
      <c r="M158" s="180"/>
      <c r="N158" s="180"/>
      <c r="O158" s="180"/>
      <c r="P158" s="180"/>
      <c r="Q158" s="180"/>
      <c r="R158" s="180"/>
      <c r="S158" s="180"/>
      <c r="T158" s="180"/>
      <c r="U158" s="876"/>
      <c r="V158" s="876"/>
      <c r="W158" s="876"/>
      <c r="X158" s="876"/>
      <c r="Y158" s="876"/>
      <c r="Z158" s="876"/>
      <c r="AA158" s="876"/>
      <c r="AB158" s="876"/>
      <c r="AC158" s="876"/>
      <c r="AD158" s="876"/>
      <c r="AE158" s="876"/>
      <c r="AF158" s="876"/>
      <c r="AG158" s="876"/>
    </row>
    <row r="159" spans="1:33" s="116" customFormat="1" ht="17.25" customHeight="1" outlineLevel="2">
      <c r="A159" s="876"/>
      <c r="B159" s="180"/>
      <c r="C159" s="40" t="s">
        <v>476</v>
      </c>
      <c r="D159" s="180"/>
      <c r="E159" s="8" t="str">
        <f>Currency_Label</f>
        <v>USD</v>
      </c>
      <c r="F159" s="263">
        <v>100000</v>
      </c>
      <c r="G159" s="70">
        <f>F158*F159</f>
        <v>100000</v>
      </c>
      <c r="H159" s="307"/>
      <c r="I159" s="180"/>
      <c r="J159" s="180"/>
      <c r="K159" s="180"/>
      <c r="L159" s="180"/>
      <c r="M159" s="180"/>
      <c r="N159" s="180"/>
      <c r="O159" s="180"/>
      <c r="P159" s="180"/>
      <c r="Q159" s="180"/>
      <c r="R159" s="180"/>
      <c r="S159" s="180"/>
      <c r="T159" s="180"/>
      <c r="U159" s="876"/>
      <c r="V159" s="876"/>
      <c r="W159" s="876"/>
      <c r="X159" s="876"/>
      <c r="Y159" s="876"/>
      <c r="Z159" s="876"/>
      <c r="AA159" s="876"/>
      <c r="AB159" s="876"/>
      <c r="AC159" s="876"/>
      <c r="AD159" s="876"/>
      <c r="AE159" s="876"/>
      <c r="AF159" s="876"/>
      <c r="AG159" s="876"/>
    </row>
    <row r="160" spans="1:33" s="116" customFormat="1" ht="17.25" customHeight="1" outlineLevel="2">
      <c r="A160" s="876"/>
      <c r="B160" s="180"/>
      <c r="C160" s="286" t="str">
        <f>"Timing "&amp;$F$157</f>
        <v>Timing EasyCredit</v>
      </c>
      <c r="D160" s="180"/>
      <c r="E160" s="180"/>
      <c r="F160" s="180"/>
      <c r="G160" s="180"/>
      <c r="H160" s="180"/>
      <c r="I160" s="180"/>
      <c r="J160" s="180"/>
      <c r="K160" s="180"/>
      <c r="L160" s="180"/>
      <c r="M160" s="180"/>
      <c r="N160" s="180"/>
      <c r="O160" s="180"/>
      <c r="P160" s="180"/>
      <c r="Q160" s="180"/>
      <c r="R160" s="180"/>
      <c r="S160" s="180"/>
      <c r="T160" s="180"/>
      <c r="U160" s="876"/>
      <c r="V160" s="876"/>
      <c r="W160" s="876"/>
      <c r="X160" s="876"/>
      <c r="Y160" s="876"/>
      <c r="Z160" s="876"/>
      <c r="AA160" s="876"/>
      <c r="AB160" s="876"/>
      <c r="AC160" s="876"/>
      <c r="AD160" s="876"/>
      <c r="AE160" s="876"/>
      <c r="AF160" s="876"/>
      <c r="AG160" s="876"/>
    </row>
    <row r="161" spans="1:33" s="116" customFormat="1" ht="17.25" customHeight="1" outlineLevel="2">
      <c r="A161" s="876"/>
      <c r="B161" s="180"/>
      <c r="C161" s="770" t="s">
        <v>477</v>
      </c>
      <c r="D161" s="180"/>
      <c r="E161" s="8" t="s">
        <v>485</v>
      </c>
      <c r="F161" s="718">
        <v>6</v>
      </c>
      <c r="G161" s="180"/>
      <c r="H161" s="180"/>
      <c r="I161" s="180"/>
      <c r="J161" s="180"/>
      <c r="K161" s="180"/>
      <c r="L161" s="180"/>
      <c r="M161" s="180"/>
      <c r="N161" s="180"/>
      <c r="O161" s="180"/>
      <c r="P161" s="180"/>
      <c r="Q161" s="180"/>
      <c r="R161" s="180"/>
      <c r="S161" s="180"/>
      <c r="T161" s="180"/>
      <c r="U161" s="876"/>
      <c r="V161" s="876"/>
      <c r="W161" s="876"/>
      <c r="X161" s="876"/>
      <c r="Y161" s="876"/>
      <c r="Z161" s="876"/>
      <c r="AA161" s="876"/>
      <c r="AB161" s="876"/>
      <c r="AC161" s="876"/>
      <c r="AD161" s="876"/>
      <c r="AE161" s="876"/>
      <c r="AF161" s="876"/>
      <c r="AG161" s="876"/>
    </row>
    <row r="162" spans="1:33" s="116" customFormat="1" ht="17.25" customHeight="1" outlineLevel="2">
      <c r="A162" s="876"/>
      <c r="B162" s="180"/>
      <c r="C162" s="770" t="s">
        <v>478</v>
      </c>
      <c r="D162" s="180"/>
      <c r="E162" s="8" t="s">
        <v>76</v>
      </c>
      <c r="F162" s="771">
        <f>EOMONTH(Startdatum,F161-1)</f>
        <v>43312</v>
      </c>
      <c r="G162" s="180"/>
      <c r="H162" s="307"/>
      <c r="I162" s="180"/>
      <c r="J162" s="180"/>
      <c r="K162" s="180"/>
      <c r="L162" s="180"/>
      <c r="M162" s="180"/>
      <c r="N162" s="180"/>
      <c r="O162" s="180"/>
      <c r="P162" s="180"/>
      <c r="Q162" s="180"/>
      <c r="R162" s="180"/>
      <c r="S162" s="180"/>
      <c r="T162" s="180"/>
      <c r="U162" s="876"/>
      <c r="V162" s="876"/>
      <c r="W162" s="876"/>
      <c r="X162" s="876"/>
      <c r="Y162" s="876"/>
      <c r="Z162" s="876"/>
      <c r="AA162" s="876"/>
      <c r="AB162" s="876"/>
      <c r="AC162" s="876"/>
      <c r="AD162" s="876"/>
      <c r="AE162" s="876"/>
      <c r="AF162" s="876"/>
      <c r="AG162" s="876"/>
    </row>
    <row r="163" spans="1:33" s="116" customFormat="1" ht="17.25" customHeight="1" outlineLevel="2">
      <c r="A163" s="876"/>
      <c r="B163" s="180"/>
      <c r="C163" s="770" t="s">
        <v>479</v>
      </c>
      <c r="D163" s="180"/>
      <c r="E163" s="74" t="s">
        <v>484</v>
      </c>
      <c r="F163" s="901">
        <v>10</v>
      </c>
      <c r="G163" s="772">
        <f>F163*months_yr</f>
        <v>120</v>
      </c>
      <c r="H163" s="285"/>
      <c r="I163" s="180"/>
      <c r="J163" s="180"/>
      <c r="K163" s="180"/>
      <c r="L163" s="180"/>
      <c r="M163" s="180"/>
      <c r="N163" s="180"/>
      <c r="O163" s="180"/>
      <c r="P163" s="180"/>
      <c r="Q163" s="180"/>
      <c r="R163" s="180"/>
      <c r="S163" s="180"/>
      <c r="T163" s="180"/>
      <c r="U163" s="876"/>
      <c r="V163" s="876"/>
      <c r="W163" s="876"/>
      <c r="X163" s="876"/>
      <c r="Y163" s="876"/>
      <c r="Z163" s="876"/>
      <c r="AA163" s="876"/>
      <c r="AB163" s="876"/>
      <c r="AC163" s="876"/>
      <c r="AD163" s="876"/>
      <c r="AE163" s="876"/>
      <c r="AF163" s="876"/>
      <c r="AG163" s="876"/>
    </row>
    <row r="164" spans="1:33" s="116" customFormat="1" ht="17.25" customHeight="1" outlineLevel="2">
      <c r="A164" s="876"/>
      <c r="B164" s="180"/>
      <c r="C164" s="553" t="s">
        <v>480</v>
      </c>
      <c r="D164" s="180"/>
      <c r="E164" s="74" t="s">
        <v>133</v>
      </c>
      <c r="F164" s="718">
        <v>0</v>
      </c>
      <c r="G164" s="180"/>
      <c r="H164" s="309"/>
      <c r="I164" s="180"/>
      <c r="J164" s="180"/>
      <c r="K164" s="180"/>
      <c r="L164" s="180"/>
      <c r="M164" s="180"/>
      <c r="N164" s="180"/>
      <c r="O164" s="180"/>
      <c r="P164" s="180"/>
      <c r="Q164" s="180"/>
      <c r="R164" s="180"/>
      <c r="S164" s="180"/>
      <c r="T164" s="180"/>
      <c r="U164" s="876"/>
      <c r="V164" s="876"/>
      <c r="W164" s="876"/>
      <c r="X164" s="876"/>
      <c r="Y164" s="876"/>
      <c r="Z164" s="876"/>
      <c r="AA164" s="876"/>
      <c r="AB164" s="876"/>
      <c r="AC164" s="876"/>
      <c r="AD164" s="876"/>
      <c r="AE164" s="876"/>
      <c r="AF164" s="876"/>
      <c r="AG164" s="876"/>
    </row>
    <row r="165" spans="1:33" s="116" customFormat="1" ht="17.25" customHeight="1" outlineLevel="2">
      <c r="A165" s="876"/>
      <c r="B165" s="180"/>
      <c r="C165" s="68" t="s">
        <v>481</v>
      </c>
      <c r="D165" s="180"/>
      <c r="E165" s="74" t="s">
        <v>76</v>
      </c>
      <c r="F165" s="771">
        <f>EDATE(F162,F164)+1</f>
        <v>43313</v>
      </c>
      <c r="G165" s="180"/>
      <c r="H165" s="180"/>
      <c r="I165" s="180"/>
      <c r="J165" s="180"/>
      <c r="K165" s="180"/>
      <c r="L165" s="180"/>
      <c r="M165" s="180"/>
      <c r="N165" s="180"/>
      <c r="O165" s="180"/>
      <c r="P165" s="180"/>
      <c r="Q165" s="180"/>
      <c r="R165" s="180"/>
      <c r="S165" s="180"/>
      <c r="T165" s="180"/>
      <c r="U165" s="876"/>
      <c r="V165" s="876"/>
      <c r="W165" s="876"/>
      <c r="X165" s="876"/>
      <c r="Y165" s="876"/>
      <c r="Z165" s="876"/>
      <c r="AA165" s="876"/>
      <c r="AB165" s="876"/>
      <c r="AC165" s="876"/>
      <c r="AD165" s="876"/>
      <c r="AE165" s="876"/>
      <c r="AF165" s="876"/>
      <c r="AG165" s="876"/>
    </row>
    <row r="166" spans="1:33" s="116" customFormat="1" ht="17.25" customHeight="1" outlineLevel="2">
      <c r="A166" s="876"/>
      <c r="B166" s="180"/>
      <c r="C166" s="770" t="s">
        <v>482</v>
      </c>
      <c r="D166" s="180"/>
      <c r="E166" s="74" t="s">
        <v>76</v>
      </c>
      <c r="F166" s="771">
        <f>EDATE(F162,G163)</f>
        <v>46965</v>
      </c>
      <c r="G166" s="180"/>
      <c r="H166" s="180"/>
      <c r="I166" s="180"/>
      <c r="J166" s="180"/>
      <c r="K166" s="180"/>
      <c r="L166" s="180"/>
      <c r="M166" s="180"/>
      <c r="N166" s="180"/>
      <c r="O166" s="180"/>
      <c r="P166" s="180"/>
      <c r="Q166" s="180"/>
      <c r="R166" s="180"/>
      <c r="S166" s="180"/>
      <c r="T166" s="180"/>
      <c r="U166" s="876"/>
      <c r="V166" s="876"/>
      <c r="W166" s="876"/>
      <c r="X166" s="876"/>
      <c r="Y166" s="876"/>
      <c r="Z166" s="876"/>
      <c r="AA166" s="876"/>
      <c r="AB166" s="876"/>
      <c r="AC166" s="876"/>
      <c r="AD166" s="876"/>
      <c r="AE166" s="876"/>
      <c r="AF166" s="876"/>
      <c r="AG166" s="876"/>
    </row>
    <row r="167" spans="1:33" s="116" customFormat="1" ht="17.25" customHeight="1" outlineLevel="2">
      <c r="A167" s="876"/>
      <c r="B167" s="180"/>
      <c r="C167" s="770" t="s">
        <v>483</v>
      </c>
      <c r="D167" s="180"/>
      <c r="E167" s="74" t="s">
        <v>39</v>
      </c>
      <c r="F167" s="70">
        <f>(G163-F164)/3</f>
        <v>40</v>
      </c>
      <c r="G167" s="285"/>
      <c r="H167" s="285"/>
      <c r="I167" s="180"/>
      <c r="J167" s="180"/>
      <c r="K167" s="180"/>
      <c r="L167" s="180"/>
      <c r="M167" s="180"/>
      <c r="N167" s="180"/>
      <c r="O167" s="180"/>
      <c r="P167" s="180"/>
      <c r="Q167" s="180"/>
      <c r="R167" s="180"/>
      <c r="S167" s="180"/>
      <c r="T167" s="180"/>
      <c r="U167" s="876"/>
      <c r="V167" s="876"/>
      <c r="W167" s="876"/>
      <c r="X167" s="876"/>
      <c r="Y167" s="876"/>
      <c r="Z167" s="876"/>
      <c r="AA167" s="876"/>
      <c r="AB167" s="876"/>
      <c r="AC167" s="876"/>
      <c r="AD167" s="876"/>
      <c r="AE167" s="876"/>
      <c r="AF167" s="876"/>
      <c r="AG167" s="876"/>
    </row>
    <row r="168" spans="1:33" s="116" customFormat="1" ht="8.25" customHeight="1" outlineLevel="2">
      <c r="A168" s="876"/>
      <c r="B168" s="180"/>
      <c r="C168" s="180"/>
      <c r="D168" s="180"/>
      <c r="E168" s="285"/>
      <c r="F168" s="285"/>
      <c r="G168" s="285"/>
      <c r="H168" s="285"/>
      <c r="I168" s="180"/>
      <c r="J168" s="180"/>
      <c r="K168" s="180"/>
      <c r="L168" s="180"/>
      <c r="M168" s="180"/>
      <c r="N168" s="180"/>
      <c r="O168" s="180"/>
      <c r="P168" s="180"/>
      <c r="Q168" s="180"/>
      <c r="R168" s="180"/>
      <c r="S168" s="180"/>
      <c r="T168" s="180"/>
      <c r="U168" s="876"/>
      <c r="V168" s="876"/>
      <c r="W168" s="876"/>
      <c r="X168" s="876"/>
      <c r="Y168" s="876"/>
      <c r="Z168" s="876"/>
      <c r="AA168" s="876"/>
      <c r="AB168" s="876"/>
      <c r="AC168" s="876"/>
      <c r="AD168" s="876"/>
      <c r="AE168" s="876"/>
      <c r="AF168" s="876"/>
      <c r="AG168" s="876"/>
    </row>
    <row r="169" spans="1:33" s="116" customFormat="1" ht="16.5" customHeight="1" outlineLevel="2">
      <c r="A169" s="876"/>
      <c r="B169" s="180"/>
      <c r="C169" s="286" t="str">
        <f>"Interest and Financing Fees: "&amp;$F$157</f>
        <v>Interest and Financing Fees: EasyCredit</v>
      </c>
      <c r="D169" s="180"/>
      <c r="E169" s="285"/>
      <c r="F169" s="285"/>
      <c r="G169" s="305"/>
      <c r="H169" s="285"/>
      <c r="I169" s="180"/>
      <c r="J169" s="180"/>
      <c r="K169" s="180"/>
      <c r="L169" s="180"/>
      <c r="M169" s="180"/>
      <c r="N169" s="180"/>
      <c r="O169" s="180"/>
      <c r="P169" s="180"/>
      <c r="Q169" s="180"/>
      <c r="R169" s="180"/>
      <c r="S169" s="180"/>
      <c r="T169" s="180"/>
      <c r="U169" s="876"/>
      <c r="V169" s="876"/>
      <c r="W169" s="876"/>
      <c r="X169" s="876"/>
      <c r="Y169" s="876"/>
      <c r="Z169" s="876"/>
      <c r="AA169" s="876"/>
      <c r="AB169" s="876"/>
      <c r="AC169" s="876"/>
      <c r="AD169" s="876"/>
      <c r="AE169" s="876"/>
      <c r="AF169" s="876"/>
      <c r="AG169" s="876"/>
    </row>
    <row r="170" spans="1:33" s="116" customFormat="1" ht="16.5" customHeight="1" outlineLevel="2">
      <c r="A170" s="876"/>
      <c r="B170" s="180"/>
      <c r="C170" s="770" t="s">
        <v>486</v>
      </c>
      <c r="D170" s="180"/>
      <c r="E170" s="74" t="s">
        <v>27</v>
      </c>
      <c r="F170" s="267">
        <v>3.5000000000000003E-2</v>
      </c>
      <c r="G170" s="134" t="s">
        <v>469</v>
      </c>
      <c r="H170" s="773">
        <f>F170/quarters_yr</f>
        <v>8.7500000000000008E-3</v>
      </c>
      <c r="I170" s="180"/>
      <c r="J170" s="180"/>
      <c r="K170" s="180"/>
      <c r="L170" s="180"/>
      <c r="M170" s="180"/>
      <c r="N170" s="180"/>
      <c r="O170" s="180"/>
      <c r="P170" s="180"/>
      <c r="Q170" s="180"/>
      <c r="R170" s="180"/>
      <c r="S170" s="180"/>
      <c r="T170" s="180"/>
      <c r="U170" s="876"/>
      <c r="V170" s="876"/>
      <c r="W170" s="876"/>
      <c r="X170" s="876"/>
      <c r="Y170" s="876"/>
      <c r="Z170" s="876"/>
      <c r="AA170" s="876"/>
      <c r="AB170" s="876"/>
      <c r="AC170" s="876"/>
      <c r="AD170" s="876"/>
      <c r="AE170" s="876"/>
      <c r="AF170" s="876"/>
      <c r="AG170" s="876"/>
    </row>
    <row r="171" spans="1:33" s="116" customFormat="1" ht="16.5" customHeight="1" outlineLevel="2">
      <c r="A171" s="876"/>
      <c r="B171" s="180"/>
      <c r="C171" s="770" t="s">
        <v>487</v>
      </c>
      <c r="D171" s="180"/>
      <c r="E171" s="74" t="s">
        <v>489</v>
      </c>
      <c r="F171" s="267">
        <v>0.01</v>
      </c>
      <c r="G171" s="285"/>
      <c r="H171" s="285"/>
      <c r="I171" s="180"/>
      <c r="J171" s="180"/>
      <c r="K171" s="180"/>
      <c r="L171" s="180"/>
      <c r="M171" s="180"/>
      <c r="N171" s="180"/>
      <c r="O171" s="180"/>
      <c r="P171" s="180"/>
      <c r="Q171" s="180"/>
      <c r="R171" s="180"/>
      <c r="S171" s="180"/>
      <c r="T171" s="180"/>
      <c r="U171" s="876"/>
      <c r="V171" s="876"/>
      <c r="W171" s="876"/>
      <c r="X171" s="876"/>
      <c r="Y171" s="876"/>
      <c r="Z171" s="876"/>
      <c r="AA171" s="876"/>
      <c r="AB171" s="876"/>
      <c r="AC171" s="876"/>
      <c r="AD171" s="876"/>
      <c r="AE171" s="876"/>
      <c r="AF171" s="876"/>
      <c r="AG171" s="876"/>
    </row>
    <row r="172" spans="1:33" s="116" customFormat="1" ht="16.5" customHeight="1" outlineLevel="2">
      <c r="A172" s="876"/>
      <c r="B172" s="180"/>
      <c r="C172" s="770" t="s">
        <v>487</v>
      </c>
      <c r="D172" s="180"/>
      <c r="E172" s="8" t="str">
        <f>Currency_Label</f>
        <v>USD</v>
      </c>
      <c r="F172" s="70">
        <f>G159*F171</f>
        <v>1000</v>
      </c>
      <c r="G172" s="285"/>
      <c r="H172" s="285"/>
      <c r="I172" s="180"/>
      <c r="J172" s="180"/>
      <c r="K172" s="180"/>
      <c r="L172" s="180"/>
      <c r="M172" s="180"/>
      <c r="N172" s="180"/>
      <c r="O172" s="180"/>
      <c r="P172" s="180"/>
      <c r="Q172" s="180"/>
      <c r="R172" s="180"/>
      <c r="S172" s="180"/>
      <c r="T172" s="180"/>
      <c r="U172" s="876"/>
      <c r="V172" s="876"/>
      <c r="W172" s="876"/>
      <c r="X172" s="876"/>
      <c r="Y172" s="876"/>
      <c r="Z172" s="876"/>
      <c r="AA172" s="876"/>
      <c r="AB172" s="876"/>
      <c r="AC172" s="876"/>
      <c r="AD172" s="876"/>
      <c r="AE172" s="876"/>
      <c r="AF172" s="876"/>
      <c r="AG172" s="876"/>
    </row>
    <row r="173" spans="1:33" s="116" customFormat="1" ht="16.5" customHeight="1" outlineLevel="2">
      <c r="A173" s="876"/>
      <c r="B173" s="180"/>
      <c r="C173" s="68" t="s">
        <v>488</v>
      </c>
      <c r="D173" s="180"/>
      <c r="E173" s="74" t="s">
        <v>27</v>
      </c>
      <c r="F173" s="267">
        <v>2.5000000000000001E-3</v>
      </c>
      <c r="G173" s="134" t="s">
        <v>219</v>
      </c>
      <c r="H173" s="395">
        <f>F173/months_yr</f>
        <v>2.0833333333333335E-4</v>
      </c>
      <c r="I173" s="180"/>
      <c r="J173" s="180"/>
      <c r="K173" s="180"/>
      <c r="L173" s="180"/>
      <c r="M173" s="180"/>
      <c r="N173" s="180"/>
      <c r="O173" s="180"/>
      <c r="P173" s="180"/>
      <c r="Q173" s="180"/>
      <c r="R173" s="180"/>
      <c r="S173" s="180"/>
      <c r="T173" s="180"/>
      <c r="U173" s="876"/>
      <c r="V173" s="876"/>
      <c r="W173" s="876"/>
      <c r="X173" s="876"/>
      <c r="Y173" s="876"/>
      <c r="Z173" s="876"/>
      <c r="AA173" s="876"/>
      <c r="AB173" s="876"/>
      <c r="AC173" s="876"/>
      <c r="AD173" s="876"/>
      <c r="AE173" s="876"/>
      <c r="AF173" s="876"/>
      <c r="AG173" s="876"/>
    </row>
    <row r="174" spans="1:33" s="116" customFormat="1" ht="9" customHeight="1" outlineLevel="2">
      <c r="A174" s="876"/>
      <c r="B174" s="180"/>
      <c r="C174" s="285"/>
      <c r="D174" s="180"/>
      <c r="E174" s="180"/>
      <c r="F174" s="299"/>
      <c r="G174" s="306"/>
      <c r="H174" s="307"/>
      <c r="I174" s="180"/>
      <c r="J174" s="180"/>
      <c r="K174" s="180"/>
      <c r="L174" s="180"/>
      <c r="M174" s="180"/>
      <c r="N174" s="180"/>
      <c r="O174" s="180"/>
      <c r="P174" s="180"/>
      <c r="Q174" s="180"/>
      <c r="R174" s="180"/>
      <c r="S174" s="180"/>
      <c r="T174" s="180"/>
      <c r="U174" s="876"/>
      <c r="V174" s="876"/>
      <c r="W174" s="876"/>
      <c r="X174" s="876"/>
      <c r="Y174" s="876"/>
      <c r="Z174" s="876"/>
      <c r="AA174" s="876"/>
      <c r="AB174" s="876"/>
      <c r="AC174" s="876"/>
      <c r="AD174" s="876"/>
      <c r="AE174" s="876"/>
      <c r="AF174" s="876"/>
      <c r="AG174" s="876"/>
    </row>
    <row r="175" spans="1:33" s="116" customFormat="1" ht="16.5" customHeight="1" outlineLevel="2">
      <c r="A175" s="876"/>
      <c r="B175" s="303" t="s">
        <v>34</v>
      </c>
      <c r="C175" s="286" t="s">
        <v>458</v>
      </c>
      <c r="D175" s="180"/>
      <c r="E175" s="299" t="s">
        <v>470</v>
      </c>
      <c r="F175" s="180" t="s">
        <v>471</v>
      </c>
      <c r="G175" s="180"/>
      <c r="H175" s="180"/>
      <c r="I175" s="180"/>
      <c r="J175" s="180"/>
      <c r="K175" s="180"/>
      <c r="L175" s="180"/>
      <c r="M175" s="180"/>
      <c r="N175" s="180"/>
      <c r="O175" s="180"/>
      <c r="P175" s="180"/>
      <c r="Q175" s="180"/>
      <c r="R175" s="180"/>
      <c r="S175" s="180"/>
      <c r="T175" s="180"/>
      <c r="U175" s="876"/>
      <c r="V175" s="876"/>
      <c r="W175" s="876"/>
      <c r="X175" s="876"/>
      <c r="Y175" s="876"/>
      <c r="Z175" s="876"/>
      <c r="AA175" s="876"/>
      <c r="AB175" s="876"/>
      <c r="AC175" s="876"/>
      <c r="AD175" s="876"/>
      <c r="AE175" s="876"/>
      <c r="AF175" s="876"/>
      <c r="AG175" s="876"/>
    </row>
    <row r="176" spans="1:33" s="116" customFormat="1" ht="16.5" customHeight="1" outlineLevel="2">
      <c r="A176" s="876"/>
      <c r="B176" s="180"/>
      <c r="C176" s="40" t="s">
        <v>460</v>
      </c>
      <c r="D176" s="180"/>
      <c r="E176" s="8" t="s">
        <v>51</v>
      </c>
      <c r="F176" s="939" t="s">
        <v>1054</v>
      </c>
      <c r="G176" s="893"/>
      <c r="H176" s="180"/>
      <c r="I176" s="180"/>
      <c r="J176" s="180"/>
      <c r="K176" s="180"/>
      <c r="L176" s="180"/>
      <c r="M176" s="180"/>
      <c r="N176" s="180"/>
      <c r="O176" s="180"/>
      <c r="P176" s="180"/>
      <c r="Q176" s="180"/>
      <c r="R176" s="180"/>
      <c r="S176" s="180"/>
      <c r="T176" s="180"/>
      <c r="U176" s="876"/>
      <c r="V176" s="876"/>
      <c r="W176" s="876"/>
      <c r="X176" s="876"/>
      <c r="Y176" s="876"/>
      <c r="Z176" s="876"/>
      <c r="AA176" s="876"/>
      <c r="AB176" s="876"/>
      <c r="AC176" s="876"/>
      <c r="AD176" s="876"/>
      <c r="AE176" s="876"/>
      <c r="AF176" s="876"/>
      <c r="AG176" s="876"/>
    </row>
    <row r="177" spans="1:33" s="116" customFormat="1" ht="16.5" customHeight="1" outlineLevel="2">
      <c r="A177" s="876"/>
      <c r="B177" s="180"/>
      <c r="C177" s="40" t="s">
        <v>459</v>
      </c>
      <c r="D177" s="180"/>
      <c r="E177" s="8" t="s">
        <v>133</v>
      </c>
      <c r="F177" s="1042">
        <v>0</v>
      </c>
      <c r="G177" s="554" t="str">
        <f>IF(F177=1," Please input interest manually on sheet Financing"," Interest will be calculated on a monthly basis with below interest rate")</f>
        <v xml:space="preserve"> Interest will be calculated on a monthly basis with below interest rate</v>
      </c>
      <c r="H177" s="180"/>
      <c r="I177" s="180"/>
      <c r="J177" s="180"/>
      <c r="K177" s="180"/>
      <c r="L177" s="180"/>
      <c r="M177" s="180"/>
      <c r="N177" s="180"/>
      <c r="O177" s="180"/>
      <c r="P177" s="180"/>
      <c r="Q177" s="180"/>
      <c r="R177" s="180"/>
      <c r="S177" s="180"/>
      <c r="T177" s="180"/>
      <c r="U177" s="876"/>
      <c r="V177" s="876"/>
      <c r="W177" s="876"/>
      <c r="X177" s="876"/>
      <c r="Y177" s="876"/>
      <c r="Z177" s="876"/>
      <c r="AA177" s="876"/>
      <c r="AB177" s="876"/>
      <c r="AC177" s="876"/>
      <c r="AD177" s="876"/>
      <c r="AE177" s="876"/>
      <c r="AF177" s="876"/>
      <c r="AG177" s="876"/>
    </row>
    <row r="178" spans="1:33" s="116" customFormat="1" ht="16.5" customHeight="1" outlineLevel="2">
      <c r="A178" s="876"/>
      <c r="B178" s="180"/>
      <c r="C178" s="40" t="s">
        <v>461</v>
      </c>
      <c r="D178" s="180"/>
      <c r="E178" s="74" t="s">
        <v>27</v>
      </c>
      <c r="F178" s="267">
        <v>4.4999999999999998E-2</v>
      </c>
      <c r="G178" s="180"/>
      <c r="H178" s="180"/>
      <c r="I178" s="180"/>
      <c r="J178" s="180"/>
      <c r="K178" s="180"/>
      <c r="L178" s="180"/>
      <c r="M178" s="180"/>
      <c r="N178" s="180"/>
      <c r="O178" s="180"/>
      <c r="P178" s="180"/>
      <c r="Q178" s="180"/>
      <c r="R178" s="180"/>
      <c r="S178" s="180"/>
      <c r="T178" s="180"/>
      <c r="U178" s="876"/>
      <c r="V178" s="876"/>
      <c r="W178" s="876"/>
      <c r="X178" s="876"/>
      <c r="Y178" s="876"/>
      <c r="Z178" s="876"/>
      <c r="AA178" s="876"/>
      <c r="AB178" s="876"/>
      <c r="AC178" s="876"/>
      <c r="AD178" s="876"/>
      <c r="AE178" s="876"/>
      <c r="AF178" s="876"/>
      <c r="AG178" s="876"/>
    </row>
    <row r="179" spans="1:33" s="116" customFormat="1" ht="9.75" customHeight="1" outlineLevel="2">
      <c r="A179" s="876"/>
      <c r="B179" s="180"/>
      <c r="C179" s="180"/>
      <c r="D179" s="180"/>
      <c r="E179" s="180"/>
      <c r="F179" s="299"/>
      <c r="G179" s="180"/>
      <c r="H179" s="180"/>
      <c r="I179" s="180"/>
      <c r="J179" s="180"/>
      <c r="K179" s="180"/>
      <c r="L179" s="180"/>
      <c r="M179" s="180"/>
      <c r="N179" s="180"/>
      <c r="O179" s="180"/>
      <c r="P179" s="180"/>
      <c r="Q179" s="180"/>
      <c r="R179" s="180"/>
      <c r="S179" s="180"/>
      <c r="T179" s="180"/>
      <c r="U179" s="876"/>
      <c r="V179" s="876"/>
      <c r="W179" s="876"/>
      <c r="X179" s="876"/>
      <c r="Y179" s="876"/>
      <c r="Z179" s="876"/>
      <c r="AA179" s="876"/>
      <c r="AB179" s="876"/>
      <c r="AC179" s="876"/>
      <c r="AD179" s="876"/>
      <c r="AE179" s="876"/>
      <c r="AF179" s="876"/>
      <c r="AG179" s="876"/>
    </row>
    <row r="180" spans="1:33" s="116" customFormat="1" ht="16.5" customHeight="1" outlineLevel="2">
      <c r="A180" s="876"/>
      <c r="B180" s="303" t="s">
        <v>35</v>
      </c>
      <c r="C180" s="286" t="s">
        <v>463</v>
      </c>
      <c r="D180" s="180"/>
      <c r="E180" s="180"/>
      <c r="F180" s="299"/>
      <c r="G180" s="180"/>
      <c r="H180" s="180"/>
      <c r="I180" s="180"/>
      <c r="J180" s="180"/>
      <c r="K180" s="180"/>
      <c r="L180" s="180"/>
      <c r="M180" s="180"/>
      <c r="N180" s="180"/>
      <c r="O180" s="180"/>
      <c r="P180" s="180"/>
      <c r="Q180" s="180"/>
      <c r="R180" s="180"/>
      <c r="S180" s="180"/>
      <c r="T180" s="180"/>
      <c r="U180" s="876"/>
      <c r="V180" s="876"/>
      <c r="W180" s="876"/>
      <c r="X180" s="876"/>
      <c r="Y180" s="876"/>
      <c r="Z180" s="876"/>
      <c r="AA180" s="876"/>
      <c r="AB180" s="876"/>
      <c r="AC180" s="876"/>
      <c r="AD180" s="876"/>
      <c r="AE180" s="876"/>
      <c r="AF180" s="876"/>
      <c r="AG180" s="876"/>
    </row>
    <row r="181" spans="1:33" s="116" customFormat="1" ht="16.5" customHeight="1" outlineLevel="2">
      <c r="A181" s="876"/>
      <c r="B181" s="180"/>
      <c r="C181" s="40" t="s">
        <v>460</v>
      </c>
      <c r="D181" s="180"/>
      <c r="E181" s="8" t="s">
        <v>51</v>
      </c>
      <c r="F181" s="939" t="s">
        <v>1055</v>
      </c>
      <c r="G181" s="893"/>
      <c r="H181" s="876"/>
      <c r="I181" s="180"/>
      <c r="J181" s="180"/>
      <c r="K181" s="180"/>
      <c r="L181" s="180"/>
      <c r="M181" s="180"/>
      <c r="N181" s="180"/>
      <c r="O181" s="180"/>
      <c r="P181" s="180"/>
      <c r="Q181" s="180"/>
      <c r="R181" s="180"/>
      <c r="S181" s="180"/>
      <c r="T181" s="180"/>
      <c r="U181" s="876"/>
      <c r="V181" s="876"/>
      <c r="W181" s="876"/>
      <c r="X181" s="876"/>
      <c r="Y181" s="876"/>
      <c r="Z181" s="876"/>
      <c r="AA181" s="876"/>
      <c r="AB181" s="876"/>
      <c r="AC181" s="876"/>
      <c r="AD181" s="876"/>
      <c r="AE181" s="876"/>
      <c r="AF181" s="876"/>
      <c r="AG181" s="876"/>
    </row>
    <row r="182" spans="1:33" s="116" customFormat="1" ht="16.5" customHeight="1" outlineLevel="2">
      <c r="A182" s="876"/>
      <c r="B182" s="180"/>
      <c r="C182" s="40" t="s">
        <v>459</v>
      </c>
      <c r="D182" s="180"/>
      <c r="E182" s="8" t="s">
        <v>133</v>
      </c>
      <c r="F182" s="1042">
        <v>0</v>
      </c>
      <c r="G182" s="554" t="str">
        <f>IF(F182=1," Please input interest manually on sheet Financing"," Interest will be calculated on a monthly basis with below interest rate")</f>
        <v xml:space="preserve"> Interest will be calculated on a monthly basis with below interest rate</v>
      </c>
      <c r="H182" s="180"/>
      <c r="I182" s="180"/>
      <c r="J182" s="180"/>
      <c r="K182" s="180"/>
      <c r="L182" s="180"/>
      <c r="M182" s="180"/>
      <c r="N182" s="180"/>
      <c r="O182" s="180"/>
      <c r="P182" s="180"/>
      <c r="Q182" s="180"/>
      <c r="R182" s="180"/>
      <c r="S182" s="180"/>
      <c r="T182" s="180"/>
      <c r="U182" s="876"/>
      <c r="V182" s="876"/>
      <c r="W182" s="876"/>
      <c r="X182" s="876"/>
      <c r="Y182" s="876"/>
      <c r="Z182" s="876"/>
      <c r="AA182" s="876"/>
      <c r="AB182" s="876"/>
      <c r="AC182" s="876"/>
      <c r="AD182" s="876"/>
      <c r="AE182" s="876"/>
      <c r="AF182" s="876"/>
      <c r="AG182" s="876"/>
    </row>
    <row r="183" spans="1:33" s="116" customFormat="1" ht="16.5" customHeight="1" outlineLevel="2">
      <c r="A183" s="876"/>
      <c r="B183" s="180"/>
      <c r="C183" s="40" t="s">
        <v>461</v>
      </c>
      <c r="D183" s="180"/>
      <c r="E183" s="74" t="s">
        <v>27</v>
      </c>
      <c r="F183" s="267">
        <v>0.04</v>
      </c>
      <c r="G183" s="180"/>
      <c r="H183" s="180"/>
      <c r="I183" s="180"/>
      <c r="J183" s="180"/>
      <c r="K183" s="180"/>
      <c r="L183" s="180"/>
      <c r="M183" s="180"/>
      <c r="N183" s="180"/>
      <c r="O183" s="180"/>
      <c r="P183" s="180"/>
      <c r="Q183" s="180"/>
      <c r="R183" s="180"/>
      <c r="S183" s="180"/>
      <c r="T183" s="180"/>
      <c r="U183" s="876"/>
      <c r="V183" s="876"/>
      <c r="W183" s="876"/>
      <c r="X183" s="876"/>
      <c r="Y183" s="876"/>
      <c r="Z183" s="876"/>
      <c r="AA183" s="876"/>
      <c r="AB183" s="876"/>
      <c r="AC183" s="876"/>
      <c r="AD183" s="876"/>
      <c r="AE183" s="876"/>
      <c r="AF183" s="876"/>
      <c r="AG183" s="876"/>
    </row>
    <row r="184" spans="1:33" s="116" customFormat="1" ht="12" customHeight="1" outlineLevel="2">
      <c r="A184" s="876"/>
      <c r="B184" s="180"/>
      <c r="C184" s="285"/>
      <c r="D184" s="180"/>
      <c r="E184" s="180"/>
      <c r="F184" s="299"/>
      <c r="G184" s="180"/>
      <c r="H184" s="180"/>
      <c r="I184" s="180"/>
      <c r="J184" s="180"/>
      <c r="K184" s="180"/>
      <c r="L184" s="180"/>
      <c r="M184" s="180"/>
      <c r="N184" s="180"/>
      <c r="O184" s="180"/>
      <c r="P184" s="180"/>
      <c r="Q184" s="180"/>
      <c r="R184" s="180"/>
      <c r="S184" s="180"/>
      <c r="T184" s="180"/>
      <c r="U184" s="876"/>
      <c r="V184" s="876"/>
      <c r="W184" s="876"/>
      <c r="X184" s="876"/>
      <c r="Y184" s="876"/>
      <c r="Z184" s="876"/>
      <c r="AA184" s="876"/>
      <c r="AB184" s="876"/>
      <c r="AC184" s="876"/>
      <c r="AD184" s="876"/>
      <c r="AE184" s="876"/>
      <c r="AF184" s="876"/>
      <c r="AG184" s="876"/>
    </row>
    <row r="185" spans="1:33" s="116" customFormat="1" ht="16.5" customHeight="1" outlineLevel="2">
      <c r="A185" s="876"/>
      <c r="B185" s="303" t="s">
        <v>37</v>
      </c>
      <c r="C185" s="286" t="s">
        <v>462</v>
      </c>
      <c r="D185" s="180"/>
      <c r="E185" s="180"/>
      <c r="F185" s="299"/>
      <c r="G185" s="180"/>
      <c r="H185" s="180"/>
      <c r="I185" s="180"/>
      <c r="J185" s="180"/>
      <c r="K185" s="180"/>
      <c r="L185" s="180"/>
      <c r="M185" s="180"/>
      <c r="N185" s="180"/>
      <c r="O185" s="180"/>
      <c r="P185" s="180"/>
      <c r="Q185" s="180"/>
      <c r="R185" s="180"/>
      <c r="S185" s="180"/>
      <c r="T185" s="180"/>
      <c r="U185" s="876"/>
      <c r="V185" s="876"/>
      <c r="W185" s="876"/>
      <c r="X185" s="876"/>
      <c r="Y185" s="876"/>
      <c r="Z185" s="876"/>
      <c r="AA185" s="876"/>
      <c r="AB185" s="876"/>
      <c r="AC185" s="876"/>
      <c r="AD185" s="876"/>
      <c r="AE185" s="876"/>
      <c r="AF185" s="876"/>
      <c r="AG185" s="876"/>
    </row>
    <row r="186" spans="1:33" s="116" customFormat="1" ht="16.5" customHeight="1" outlineLevel="2">
      <c r="A186" s="876"/>
      <c r="B186" s="180"/>
      <c r="C186" s="40" t="s">
        <v>460</v>
      </c>
      <c r="D186" s="180"/>
      <c r="E186" s="8" t="s">
        <v>51</v>
      </c>
      <c r="F186" s="939" t="s">
        <v>1053</v>
      </c>
      <c r="G186" s="893"/>
      <c r="H186" s="180"/>
      <c r="I186" s="180"/>
      <c r="J186" s="180"/>
      <c r="K186" s="180"/>
      <c r="L186" s="180"/>
      <c r="M186" s="180"/>
      <c r="N186" s="180"/>
      <c r="O186" s="180"/>
      <c r="P186" s="180"/>
      <c r="Q186" s="180"/>
      <c r="R186" s="180"/>
      <c r="S186" s="180"/>
      <c r="T186" s="180"/>
      <c r="U186" s="876"/>
      <c r="V186" s="876"/>
      <c r="W186" s="876"/>
      <c r="X186" s="876"/>
      <c r="Y186" s="876"/>
      <c r="Z186" s="876"/>
      <c r="AA186" s="876"/>
      <c r="AB186" s="876"/>
      <c r="AC186" s="876"/>
      <c r="AD186" s="876"/>
      <c r="AE186" s="876"/>
      <c r="AF186" s="876"/>
      <c r="AG186" s="876"/>
    </row>
    <row r="187" spans="1:33" s="116" customFormat="1" ht="16.5" customHeight="1" outlineLevel="2">
      <c r="A187" s="876"/>
      <c r="B187" s="180"/>
      <c r="C187" s="40" t="s">
        <v>459</v>
      </c>
      <c r="D187" s="180"/>
      <c r="E187" s="8" t="s">
        <v>133</v>
      </c>
      <c r="F187" s="1042">
        <v>0</v>
      </c>
      <c r="G187" s="554" t="str">
        <f>IF(F187=1," Please input interest manually on sheet Financing"," Interest will be calculated on a monthly basis with below interest rate")</f>
        <v xml:space="preserve"> Interest will be calculated on a monthly basis with below interest rate</v>
      </c>
      <c r="H187" s="180"/>
      <c r="I187" s="180"/>
      <c r="J187" s="180"/>
      <c r="K187" s="180"/>
      <c r="L187" s="180"/>
      <c r="M187" s="180"/>
      <c r="N187" s="180"/>
      <c r="O187" s="180"/>
      <c r="P187" s="180"/>
      <c r="Q187" s="180"/>
      <c r="R187" s="180"/>
      <c r="S187" s="180"/>
      <c r="T187" s="180"/>
      <c r="U187" s="876"/>
      <c r="V187" s="876"/>
      <c r="W187" s="876"/>
      <c r="X187" s="876"/>
      <c r="Y187" s="876"/>
      <c r="Z187" s="876"/>
      <c r="AA187" s="876"/>
      <c r="AB187" s="876"/>
      <c r="AC187" s="876"/>
      <c r="AD187" s="876"/>
      <c r="AE187" s="876"/>
      <c r="AF187" s="876"/>
      <c r="AG187" s="876"/>
    </row>
    <row r="188" spans="1:33" s="116" customFormat="1" ht="16.5" customHeight="1" outlineLevel="2">
      <c r="A188" s="876"/>
      <c r="B188" s="180"/>
      <c r="C188" s="40" t="s">
        <v>461</v>
      </c>
      <c r="D188" s="180"/>
      <c r="E188" s="74" t="s">
        <v>27</v>
      </c>
      <c r="F188" s="267">
        <v>0.01</v>
      </c>
      <c r="G188" s="180"/>
      <c r="H188" s="180"/>
      <c r="I188" s="180"/>
      <c r="J188" s="180"/>
      <c r="K188" s="180"/>
      <c r="L188" s="180"/>
      <c r="M188" s="180"/>
      <c r="N188" s="180"/>
      <c r="O188" s="180"/>
      <c r="P188" s="180"/>
      <c r="Q188" s="180"/>
      <c r="R188" s="180"/>
      <c r="S188" s="180"/>
      <c r="T188" s="180"/>
      <c r="U188" s="876"/>
      <c r="V188" s="876"/>
      <c r="W188" s="876"/>
      <c r="X188" s="876"/>
      <c r="Y188" s="876"/>
      <c r="Z188" s="876"/>
      <c r="AA188" s="876"/>
      <c r="AB188" s="876"/>
      <c r="AC188" s="876"/>
      <c r="AD188" s="876"/>
      <c r="AE188" s="876"/>
      <c r="AF188" s="876"/>
      <c r="AG188" s="876"/>
    </row>
    <row r="189" spans="1:33" s="116" customFormat="1" ht="10.5" customHeight="1" outlineLevel="2">
      <c r="A189" s="876"/>
      <c r="B189" s="180"/>
      <c r="C189" s="285"/>
      <c r="D189" s="180"/>
      <c r="E189" s="180"/>
      <c r="F189" s="299"/>
      <c r="G189" s="180"/>
      <c r="H189" s="180"/>
      <c r="I189" s="180"/>
      <c r="J189" s="180"/>
      <c r="K189" s="180"/>
      <c r="L189" s="180"/>
      <c r="M189" s="180"/>
      <c r="N189" s="180"/>
      <c r="O189" s="180"/>
      <c r="P189" s="180"/>
      <c r="Q189" s="180"/>
      <c r="R189" s="180"/>
      <c r="S189" s="180"/>
      <c r="T189" s="180"/>
      <c r="U189" s="876"/>
      <c r="V189" s="876"/>
      <c r="W189" s="876"/>
      <c r="X189" s="876"/>
      <c r="Y189" s="876"/>
      <c r="Z189" s="876"/>
      <c r="AA189" s="876"/>
      <c r="AB189" s="876"/>
      <c r="AC189" s="876"/>
      <c r="AD189" s="876"/>
      <c r="AE189" s="876"/>
      <c r="AF189" s="876"/>
      <c r="AG189" s="876"/>
    </row>
    <row r="190" spans="1:33" s="116" customFormat="1" ht="16.5" customHeight="1" outlineLevel="2">
      <c r="A190" s="876"/>
      <c r="B190" s="303" t="s">
        <v>45</v>
      </c>
      <c r="C190" s="286" t="s">
        <v>466</v>
      </c>
      <c r="D190" s="180"/>
      <c r="E190" s="180"/>
      <c r="F190" s="648"/>
      <c r="G190" s="877"/>
      <c r="H190" s="877"/>
      <c r="I190" s="877"/>
      <c r="J190" s="877"/>
      <c r="K190" s="180"/>
      <c r="L190" s="180"/>
      <c r="M190" s="180"/>
      <c r="N190" s="180"/>
      <c r="O190" s="180"/>
      <c r="P190" s="180"/>
      <c r="Q190" s="180"/>
      <c r="R190" s="180"/>
      <c r="S190" s="180"/>
      <c r="T190" s="180"/>
      <c r="U190" s="876"/>
      <c r="V190" s="876"/>
      <c r="W190" s="876"/>
      <c r="X190" s="876"/>
      <c r="Y190" s="876"/>
      <c r="Z190" s="876"/>
      <c r="AA190" s="876"/>
      <c r="AB190" s="876"/>
      <c r="AC190" s="876"/>
      <c r="AD190" s="876"/>
      <c r="AE190" s="876"/>
      <c r="AF190" s="876"/>
      <c r="AG190" s="876"/>
    </row>
    <row r="191" spans="1:33" s="116" customFormat="1" ht="16.5" customHeight="1" outlineLevel="2">
      <c r="A191" s="876"/>
      <c r="B191" s="180"/>
      <c r="C191" s="553" t="s">
        <v>464</v>
      </c>
      <c r="D191" s="180"/>
      <c r="E191" s="8" t="str">
        <f>Currency_Label</f>
        <v>USD</v>
      </c>
      <c r="F191" s="437">
        <v>100000</v>
      </c>
      <c r="G191" s="877"/>
      <c r="H191" s="619" t="s">
        <v>467</v>
      </c>
      <c r="I191" s="936">
        <f ca="1">Financing!H69</f>
        <v>60479.340360609247</v>
      </c>
      <c r="J191" s="648" t="str">
        <f>Currency_Label</f>
        <v>USD</v>
      </c>
      <c r="K191" s="180"/>
      <c r="L191" s="180"/>
      <c r="M191" s="180"/>
      <c r="N191" s="180"/>
      <c r="O191" s="180"/>
      <c r="P191" s="180"/>
      <c r="Q191" s="180"/>
      <c r="R191" s="180"/>
      <c r="S191" s="180"/>
      <c r="T191" s="180"/>
      <c r="U191" s="876"/>
      <c r="V191" s="876"/>
      <c r="W191" s="876"/>
      <c r="X191" s="876"/>
      <c r="Y191" s="876"/>
      <c r="Z191" s="876"/>
      <c r="AA191" s="876"/>
      <c r="AB191" s="876"/>
      <c r="AC191" s="876"/>
      <c r="AD191" s="876"/>
      <c r="AE191" s="876"/>
      <c r="AF191" s="876"/>
      <c r="AG191" s="876"/>
    </row>
    <row r="192" spans="1:33" s="199" customFormat="1" ht="16.5" customHeight="1" outlineLevel="2">
      <c r="A192" s="876"/>
      <c r="B192" s="180"/>
      <c r="C192" s="553" t="s">
        <v>465</v>
      </c>
      <c r="D192" s="180"/>
      <c r="E192" s="8" t="s">
        <v>468</v>
      </c>
      <c r="F192" s="626">
        <f>IF($F$272&gt;F191,1,0)</f>
        <v>0</v>
      </c>
      <c r="G192" s="937" t="str">
        <f>IF($F$272&gt;F191,"Attention: max. overdraft has to be at least as high as in the opening balance","")</f>
        <v/>
      </c>
      <c r="H192" s="877"/>
      <c r="I192" s="648"/>
      <c r="J192" s="648"/>
      <c r="K192" s="180"/>
      <c r="L192" s="180"/>
      <c r="M192" s="180"/>
      <c r="N192" s="180"/>
      <c r="O192" s="180"/>
      <c r="P192" s="180"/>
      <c r="Q192" s="180"/>
      <c r="R192" s="180"/>
      <c r="S192" s="180"/>
      <c r="T192" s="180"/>
      <c r="U192" s="876"/>
      <c r="V192" s="876"/>
      <c r="W192" s="876"/>
      <c r="X192" s="876"/>
      <c r="Y192" s="876"/>
      <c r="Z192" s="876"/>
      <c r="AA192" s="876"/>
      <c r="AB192" s="876"/>
      <c r="AC192" s="876"/>
      <c r="AD192" s="876"/>
      <c r="AE192" s="876"/>
      <c r="AF192" s="876"/>
      <c r="AG192" s="876"/>
    </row>
    <row r="193" spans="1:33" s="116" customFormat="1" ht="16.5" customHeight="1" outlineLevel="2">
      <c r="A193" s="876"/>
      <c r="B193" s="180"/>
      <c r="C193" s="553" t="s">
        <v>925</v>
      </c>
      <c r="D193" s="180"/>
      <c r="E193" s="8" t="s">
        <v>27</v>
      </c>
      <c r="F193" s="505">
        <v>0.12</v>
      </c>
      <c r="G193" s="874" t="s">
        <v>219</v>
      </c>
      <c r="H193" s="938">
        <f>F193/months_yr</f>
        <v>0.01</v>
      </c>
      <c r="I193" s="877"/>
      <c r="J193" s="877"/>
      <c r="K193" s="180"/>
      <c r="L193" s="180"/>
      <c r="M193" s="180"/>
      <c r="N193" s="180"/>
      <c r="O193" s="180"/>
      <c r="P193" s="180"/>
      <c r="Q193" s="180"/>
      <c r="R193" s="180"/>
      <c r="S193" s="180"/>
      <c r="T193" s="180"/>
      <c r="U193" s="876"/>
      <c r="V193" s="876"/>
      <c r="W193" s="876"/>
      <c r="X193" s="876"/>
      <c r="Y193" s="876"/>
      <c r="Z193" s="876"/>
      <c r="AA193" s="876"/>
      <c r="AB193" s="876"/>
      <c r="AC193" s="876"/>
      <c r="AD193" s="876"/>
      <c r="AE193" s="876"/>
      <c r="AF193" s="876"/>
      <c r="AG193" s="876"/>
    </row>
    <row r="194" spans="1:33" s="88" customFormat="1" outlineLevel="1">
      <c r="A194" s="876"/>
      <c r="B194" s="180"/>
      <c r="C194" s="285"/>
      <c r="D194" s="180"/>
      <c r="E194" s="308"/>
      <c r="F194" s="180"/>
      <c r="G194" s="180"/>
      <c r="H194" s="180"/>
      <c r="I194" s="180"/>
      <c r="J194" s="180"/>
      <c r="K194" s="180"/>
      <c r="L194" s="180"/>
      <c r="M194" s="180"/>
      <c r="N194" s="180"/>
      <c r="O194" s="180"/>
      <c r="P194" s="180"/>
      <c r="Q194" s="180"/>
      <c r="R194" s="180"/>
      <c r="S194" s="180"/>
      <c r="T194" s="180"/>
      <c r="U194" s="876"/>
      <c r="V194" s="876"/>
      <c r="W194" s="876"/>
      <c r="X194" s="876"/>
      <c r="Y194" s="876"/>
      <c r="Z194" s="876"/>
      <c r="AA194" s="876"/>
      <c r="AB194" s="876"/>
      <c r="AC194" s="876"/>
      <c r="AD194" s="876"/>
      <c r="AE194" s="876"/>
      <c r="AF194" s="876"/>
      <c r="AG194" s="876"/>
    </row>
    <row r="195" spans="1:33" s="76" customFormat="1" ht="24.75" customHeight="1" thickBot="1">
      <c r="A195" s="284"/>
      <c r="B195" s="284"/>
      <c r="C195" s="284" t="s">
        <v>211</v>
      </c>
      <c r="D195" s="284"/>
      <c r="E195" s="284"/>
      <c r="F195" s="284"/>
      <c r="G195" s="284"/>
      <c r="H195" s="284"/>
      <c r="I195" s="284"/>
      <c r="J195" s="284"/>
      <c r="K195" s="284"/>
      <c r="L195" s="284"/>
      <c r="M195" s="284"/>
      <c r="N195" s="284"/>
      <c r="O195" s="284"/>
      <c r="P195" s="180"/>
      <c r="Q195" s="180"/>
      <c r="R195" s="180"/>
      <c r="S195" s="180"/>
      <c r="T195" s="180"/>
      <c r="U195" s="876"/>
      <c r="V195" s="876"/>
      <c r="W195" s="876"/>
      <c r="X195" s="876"/>
      <c r="Y195" s="876"/>
      <c r="Z195" s="876"/>
      <c r="AA195" s="876"/>
      <c r="AB195" s="876"/>
      <c r="AC195" s="876"/>
      <c r="AD195" s="876"/>
      <c r="AE195" s="876"/>
      <c r="AF195" s="876"/>
      <c r="AG195" s="876"/>
    </row>
    <row r="196" spans="1:33" s="116" customFormat="1" ht="20.25" outlineLevel="1">
      <c r="A196" s="876"/>
      <c r="B196" s="180"/>
      <c r="C196" s="293" t="s">
        <v>289</v>
      </c>
      <c r="D196" s="300"/>
      <c r="E196" s="299"/>
      <c r="F196" s="180"/>
      <c r="G196" s="180"/>
      <c r="H196" s="180"/>
      <c r="I196" s="180"/>
      <c r="J196" s="180"/>
      <c r="K196" s="180"/>
      <c r="L196" s="180"/>
      <c r="M196" s="180"/>
      <c r="N196" s="180"/>
      <c r="O196" s="180"/>
      <c r="P196" s="180"/>
      <c r="Q196" s="180"/>
      <c r="R196" s="180"/>
      <c r="S196" s="180"/>
      <c r="T196" s="180"/>
      <c r="U196" s="876"/>
      <c r="V196" s="876"/>
      <c r="W196" s="876"/>
      <c r="X196" s="876"/>
      <c r="Y196" s="876"/>
      <c r="Z196" s="876"/>
      <c r="AA196" s="876"/>
      <c r="AB196" s="876"/>
      <c r="AC196" s="876"/>
      <c r="AD196" s="876"/>
      <c r="AE196" s="876"/>
      <c r="AF196" s="876"/>
      <c r="AG196" s="876"/>
    </row>
    <row r="197" spans="1:33" s="199" customFormat="1" ht="15" outlineLevel="2">
      <c r="A197" s="876"/>
      <c r="B197" s="303" t="s">
        <v>33</v>
      </c>
      <c r="C197" s="286" t="str">
        <f>CHOOSE(language,"Taxes on Profit","Taxes on Income")</f>
        <v>Taxes on Income</v>
      </c>
      <c r="D197" s="300"/>
      <c r="E197" s="180"/>
      <c r="F197" s="180"/>
      <c r="G197" s="288"/>
      <c r="H197" s="288"/>
      <c r="I197" s="288"/>
      <c r="J197" s="288"/>
      <c r="K197" s="288"/>
      <c r="L197" s="288"/>
      <c r="M197" s="876"/>
      <c r="N197" s="876"/>
      <c r="O197" s="876"/>
      <c r="P197" s="180"/>
      <c r="Q197" s="180"/>
      <c r="R197" s="180"/>
      <c r="S197" s="180"/>
      <c r="T197" s="180"/>
      <c r="U197" s="876"/>
      <c r="V197" s="876"/>
      <c r="W197" s="876"/>
      <c r="X197" s="876"/>
      <c r="Y197" s="876"/>
      <c r="Z197" s="876"/>
      <c r="AA197" s="876"/>
      <c r="AB197" s="876"/>
      <c r="AC197" s="876"/>
      <c r="AD197" s="876"/>
      <c r="AE197" s="876"/>
      <c r="AF197" s="876"/>
      <c r="AG197" s="876"/>
    </row>
    <row r="198" spans="1:33" s="199" customFormat="1" ht="17.25" customHeight="1" outlineLevel="2">
      <c r="A198" s="876"/>
      <c r="B198" s="550"/>
      <c r="C198" s="733" t="s">
        <v>433</v>
      </c>
      <c r="D198" s="751"/>
      <c r="E198" s="422" t="s">
        <v>26</v>
      </c>
      <c r="F198" s="752">
        <v>0.2</v>
      </c>
      <c r="G198" s="877"/>
      <c r="H198" s="877"/>
      <c r="I198" s="877"/>
      <c r="J198" s="877"/>
      <c r="K198" s="877"/>
      <c r="L198" s="550"/>
      <c r="M198" s="877"/>
      <c r="N198" s="877"/>
      <c r="O198" s="877"/>
      <c r="P198" s="180"/>
      <c r="Q198" s="180"/>
      <c r="R198" s="180"/>
      <c r="S198" s="180"/>
      <c r="T198" s="180"/>
      <c r="U198" s="876"/>
      <c r="V198" s="876"/>
      <c r="W198" s="876"/>
      <c r="X198" s="876"/>
      <c r="Y198" s="876"/>
      <c r="Z198" s="876"/>
      <c r="AA198" s="876"/>
      <c r="AB198" s="876"/>
      <c r="AC198" s="876"/>
      <c r="AD198" s="876"/>
      <c r="AE198" s="876"/>
      <c r="AF198" s="876"/>
      <c r="AG198" s="876"/>
    </row>
    <row r="199" spans="1:33" s="199" customFormat="1" ht="17.25" customHeight="1" outlineLevel="2">
      <c r="A199" s="876"/>
      <c r="B199" s="550"/>
      <c r="C199" s="733" t="s">
        <v>434</v>
      </c>
      <c r="D199" s="550"/>
      <c r="E199" s="422" t="str">
        <f>Currency_Label</f>
        <v>USD</v>
      </c>
      <c r="F199" s="437">
        <v>-15000</v>
      </c>
      <c r="G199" s="877"/>
      <c r="H199" s="877"/>
      <c r="I199" s="877"/>
      <c r="J199" s="877"/>
      <c r="K199" s="877"/>
      <c r="L199" s="550"/>
      <c r="M199" s="877"/>
      <c r="N199" s="877"/>
      <c r="O199" s="877"/>
      <c r="P199" s="180"/>
      <c r="Q199" s="180"/>
      <c r="R199" s="180"/>
      <c r="S199" s="180"/>
      <c r="T199" s="180"/>
      <c r="U199" s="876"/>
      <c r="V199" s="876"/>
      <c r="W199" s="876"/>
      <c r="X199" s="876"/>
      <c r="Y199" s="876"/>
      <c r="Z199" s="876"/>
      <c r="AA199" s="876"/>
      <c r="AB199" s="876"/>
      <c r="AC199" s="876"/>
      <c r="AD199" s="876"/>
      <c r="AE199" s="876"/>
      <c r="AF199" s="876"/>
      <c r="AG199" s="876"/>
    </row>
    <row r="200" spans="1:33" s="199" customFormat="1" ht="17.25" customHeight="1" outlineLevel="2">
      <c r="A200" s="876"/>
      <c r="B200" s="550"/>
      <c r="C200" s="186"/>
      <c r="D200" s="751"/>
      <c r="E200" s="877"/>
      <c r="F200" s="877"/>
      <c r="G200" s="877"/>
      <c r="H200" s="877"/>
      <c r="I200" s="877"/>
      <c r="J200" s="877"/>
      <c r="K200" s="877"/>
      <c r="L200" s="550"/>
      <c r="M200" s="877"/>
      <c r="N200" s="877"/>
      <c r="O200" s="877"/>
      <c r="P200" s="876"/>
      <c r="Q200" s="876"/>
      <c r="R200" s="180"/>
      <c r="S200" s="180"/>
      <c r="T200" s="180"/>
      <c r="U200" s="876"/>
      <c r="V200" s="876"/>
      <c r="W200" s="876"/>
      <c r="X200" s="876"/>
      <c r="Y200" s="876"/>
      <c r="Z200" s="876"/>
      <c r="AA200" s="876"/>
      <c r="AB200" s="876"/>
      <c r="AC200" s="876"/>
      <c r="AD200" s="876"/>
      <c r="AE200" s="876"/>
      <c r="AF200" s="876"/>
      <c r="AG200" s="876"/>
    </row>
    <row r="201" spans="1:33" s="199" customFormat="1" ht="17.25" customHeight="1" outlineLevel="2">
      <c r="A201" s="876"/>
      <c r="B201" s="550"/>
      <c r="C201" s="753" t="s">
        <v>439</v>
      </c>
      <c r="D201" s="550"/>
      <c r="E201" s="422" t="s">
        <v>714</v>
      </c>
      <c r="F201" s="926">
        <f>YEAR(Startdatum)</f>
        <v>2018</v>
      </c>
      <c r="G201" s="926">
        <f>F201+1</f>
        <v>2019</v>
      </c>
      <c r="H201" s="877"/>
      <c r="I201" s="877"/>
      <c r="J201" s="877"/>
      <c r="K201" s="877"/>
      <c r="L201" s="550"/>
      <c r="M201" s="877"/>
      <c r="N201" s="877"/>
      <c r="O201" s="877"/>
      <c r="P201" s="180"/>
      <c r="Q201" s="180"/>
      <c r="R201" s="180"/>
      <c r="S201" s="180"/>
      <c r="T201" s="180"/>
      <c r="U201" s="876"/>
      <c r="V201" s="876"/>
      <c r="W201" s="876"/>
      <c r="X201" s="876"/>
      <c r="Y201" s="876"/>
      <c r="Z201" s="876"/>
      <c r="AA201" s="876"/>
      <c r="AB201" s="876"/>
      <c r="AC201" s="876"/>
      <c r="AD201" s="876"/>
      <c r="AE201" s="876"/>
      <c r="AF201" s="876"/>
      <c r="AG201" s="876"/>
    </row>
    <row r="202" spans="1:33" s="199" customFormat="1" ht="17.25" customHeight="1" outlineLevel="2">
      <c r="A202" s="876"/>
      <c r="B202" s="550"/>
      <c r="C202" s="733" t="s">
        <v>437</v>
      </c>
      <c r="D202" s="550"/>
      <c r="E202" s="422" t="str">
        <f>Currency_Label &amp;" p.a."</f>
        <v>USD p.a.</v>
      </c>
      <c r="F202" s="437">
        <v>5000</v>
      </c>
      <c r="G202" s="437">
        <v>20000</v>
      </c>
      <c r="H202" s="877"/>
      <c r="I202" s="877"/>
      <c r="J202" s="877"/>
      <c r="K202" s="877"/>
      <c r="L202" s="550"/>
      <c r="M202" s="877"/>
      <c r="N202" s="877"/>
      <c r="O202" s="877"/>
      <c r="P202" s="180"/>
      <c r="Q202" s="180"/>
      <c r="R202" s="180"/>
      <c r="S202" s="180"/>
      <c r="T202" s="180"/>
      <c r="U202" s="876"/>
      <c r="V202" s="876"/>
      <c r="W202" s="876"/>
      <c r="X202" s="876"/>
      <c r="Y202" s="876"/>
      <c r="Z202" s="876"/>
      <c r="AA202" s="876"/>
      <c r="AB202" s="876"/>
      <c r="AC202" s="876"/>
      <c r="AD202" s="876"/>
      <c r="AE202" s="876"/>
      <c r="AF202" s="876"/>
      <c r="AG202" s="876"/>
    </row>
    <row r="203" spans="1:33" s="199" customFormat="1" ht="17.25" customHeight="1" outlineLevel="2">
      <c r="A203" s="876"/>
      <c r="B203" s="550"/>
      <c r="C203" s="495" t="s">
        <v>438</v>
      </c>
      <c r="D203" s="550"/>
      <c r="E203" s="422" t="str">
        <f>Currency_Label &amp;" p.a."</f>
        <v>USD p.a.</v>
      </c>
      <c r="F203" s="496">
        <f ca="1">Taxes!J45</f>
        <v>0</v>
      </c>
      <c r="G203" s="496">
        <f ca="1">Taxes!K45</f>
        <v>42080.281127062197</v>
      </c>
      <c r="H203" s="877"/>
      <c r="I203" s="877"/>
      <c r="J203" s="877"/>
      <c r="K203" s="877"/>
      <c r="L203" s="550"/>
      <c r="M203" s="180"/>
      <c r="N203" s="180"/>
      <c r="O203" s="180"/>
      <c r="P203" s="180"/>
      <c r="Q203" s="180"/>
      <c r="R203" s="180"/>
      <c r="S203" s="180"/>
      <c r="T203" s="180"/>
      <c r="U203" s="876"/>
      <c r="V203" s="876"/>
      <c r="W203" s="876"/>
      <c r="X203" s="876"/>
      <c r="Y203" s="876"/>
      <c r="Z203" s="876"/>
      <c r="AA203" s="876"/>
      <c r="AB203" s="876"/>
      <c r="AC203" s="876"/>
      <c r="AD203" s="876"/>
      <c r="AE203" s="876"/>
      <c r="AF203" s="876"/>
      <c r="AG203" s="876"/>
    </row>
    <row r="204" spans="1:33" s="199" customFormat="1" ht="17.25" customHeight="1" outlineLevel="2">
      <c r="A204" s="876"/>
      <c r="B204" s="550"/>
      <c r="C204" s="186"/>
      <c r="D204" s="751"/>
      <c r="E204" s="877"/>
      <c r="F204" s="877"/>
      <c r="G204" s="877"/>
      <c r="H204" s="877"/>
      <c r="I204" s="877"/>
      <c r="J204" s="877"/>
      <c r="K204" s="877"/>
      <c r="L204" s="550"/>
      <c r="M204" s="180"/>
      <c r="N204" s="180"/>
      <c r="O204" s="180"/>
      <c r="P204" s="180"/>
      <c r="Q204" s="180"/>
      <c r="R204" s="180"/>
      <c r="S204" s="180"/>
      <c r="T204" s="180"/>
      <c r="U204" s="876"/>
      <c r="V204" s="876"/>
      <c r="W204" s="876"/>
      <c r="X204" s="876"/>
      <c r="Y204" s="876"/>
      <c r="Z204" s="876"/>
      <c r="AA204" s="876"/>
      <c r="AB204" s="876"/>
      <c r="AC204" s="876"/>
      <c r="AD204" s="876"/>
      <c r="AE204" s="876"/>
      <c r="AF204" s="876"/>
      <c r="AG204" s="876"/>
    </row>
    <row r="205" spans="1:33" s="199" customFormat="1" ht="17.25" customHeight="1" outlineLevel="2">
      <c r="A205" s="876"/>
      <c r="B205" s="550"/>
      <c r="C205" s="733" t="s">
        <v>436</v>
      </c>
      <c r="D205" s="550"/>
      <c r="E205" s="422" t="s">
        <v>715</v>
      </c>
      <c r="F205" s="903">
        <v>3</v>
      </c>
      <c r="G205" s="754">
        <f>F205+mths_quarter</f>
        <v>6</v>
      </c>
      <c r="H205" s="754">
        <f>G205+mths_quarter</f>
        <v>9</v>
      </c>
      <c r="I205" s="754">
        <f>H205+mths_quarter</f>
        <v>12</v>
      </c>
      <c r="J205" s="877"/>
      <c r="K205" s="877"/>
      <c r="L205" s="550"/>
      <c r="M205" s="180"/>
      <c r="N205" s="180"/>
      <c r="O205" s="180"/>
      <c r="P205" s="180"/>
      <c r="Q205" s="180"/>
      <c r="R205" s="180"/>
      <c r="S205" s="180"/>
      <c r="T205" s="180"/>
      <c r="U205" s="876"/>
      <c r="V205" s="876"/>
      <c r="W205" s="876"/>
      <c r="X205" s="876"/>
      <c r="Y205" s="876"/>
      <c r="Z205" s="876"/>
      <c r="AA205" s="876"/>
      <c r="AB205" s="876"/>
      <c r="AC205" s="876"/>
      <c r="AD205" s="876"/>
      <c r="AE205" s="876"/>
      <c r="AF205" s="876"/>
      <c r="AG205" s="876"/>
    </row>
    <row r="206" spans="1:33" s="199" customFormat="1" ht="17.25" customHeight="1" outlineLevel="2">
      <c r="A206" s="876"/>
      <c r="B206" s="550"/>
      <c r="C206" s="495" t="s">
        <v>435</v>
      </c>
      <c r="D206" s="751"/>
      <c r="E206" s="422" t="s">
        <v>715</v>
      </c>
      <c r="F206" s="903">
        <v>4</v>
      </c>
      <c r="G206" s="877" t="s">
        <v>716</v>
      </c>
      <c r="H206" s="877"/>
      <c r="I206" s="877"/>
      <c r="J206" s="877"/>
      <c r="K206" s="877"/>
      <c r="L206" s="550"/>
      <c r="M206" s="180"/>
      <c r="N206" s="180"/>
      <c r="O206" s="180"/>
      <c r="P206" s="180"/>
      <c r="Q206" s="180"/>
      <c r="R206" s="180"/>
      <c r="S206" s="180"/>
      <c r="T206" s="180"/>
      <c r="U206" s="876"/>
      <c r="V206" s="876"/>
      <c r="W206" s="876"/>
      <c r="X206" s="876"/>
      <c r="Y206" s="876"/>
      <c r="Z206" s="876"/>
      <c r="AA206" s="876"/>
      <c r="AB206" s="876"/>
      <c r="AC206" s="876"/>
      <c r="AD206" s="876"/>
      <c r="AE206" s="876"/>
      <c r="AF206" s="876"/>
      <c r="AG206" s="876"/>
    </row>
    <row r="207" spans="1:33" s="199" customFormat="1" ht="17.25" customHeight="1" outlineLevel="2">
      <c r="A207" s="876"/>
      <c r="B207" s="550"/>
      <c r="C207" s="186"/>
      <c r="D207" s="751"/>
      <c r="E207" s="877"/>
      <c r="F207" s="877"/>
      <c r="G207" s="877"/>
      <c r="H207" s="877"/>
      <c r="I207" s="877"/>
      <c r="J207" s="877"/>
      <c r="K207" s="877"/>
      <c r="L207" s="550"/>
      <c r="M207" s="180"/>
      <c r="N207" s="180"/>
      <c r="O207" s="180"/>
      <c r="P207" s="180"/>
      <c r="Q207" s="180"/>
      <c r="R207" s="180"/>
      <c r="S207" s="180"/>
      <c r="T207" s="180"/>
      <c r="U207" s="876"/>
      <c r="V207" s="876"/>
      <c r="W207" s="876"/>
      <c r="X207" s="876"/>
      <c r="Y207" s="876"/>
      <c r="Z207" s="876"/>
      <c r="AA207" s="876"/>
      <c r="AB207" s="876"/>
      <c r="AC207" s="876"/>
      <c r="AD207" s="876"/>
      <c r="AE207" s="876"/>
      <c r="AF207" s="876"/>
      <c r="AG207" s="876"/>
    </row>
    <row r="208" spans="1:33" s="116" customFormat="1" ht="15" outlineLevel="2">
      <c r="A208" s="876"/>
      <c r="B208" s="303" t="s">
        <v>34</v>
      </c>
      <c r="C208" s="286" t="s">
        <v>127</v>
      </c>
      <c r="D208" s="300"/>
      <c r="E208" s="877"/>
      <c r="F208" s="877"/>
      <c r="G208" s="877"/>
      <c r="H208" s="877"/>
      <c r="I208" s="877"/>
      <c r="J208" s="877"/>
      <c r="K208" s="877"/>
      <c r="L208" s="180"/>
      <c r="M208" s="876"/>
      <c r="N208" s="180"/>
      <c r="O208" s="180"/>
      <c r="P208" s="180"/>
      <c r="Q208" s="180"/>
      <c r="R208" s="180"/>
      <c r="S208" s="180"/>
      <c r="T208" s="180"/>
      <c r="U208" s="876"/>
      <c r="V208" s="876"/>
      <c r="W208" s="876"/>
      <c r="X208" s="876"/>
      <c r="Y208" s="876"/>
      <c r="Z208" s="876"/>
      <c r="AA208" s="876"/>
      <c r="AB208" s="876"/>
      <c r="AC208" s="876"/>
      <c r="AD208" s="876"/>
      <c r="AE208" s="876"/>
      <c r="AF208" s="876"/>
      <c r="AG208" s="876"/>
    </row>
    <row r="209" spans="1:33" s="116" customFormat="1" ht="18" customHeight="1" outlineLevel="2">
      <c r="A209" s="876"/>
      <c r="B209" s="180"/>
      <c r="C209" s="40" t="s">
        <v>124</v>
      </c>
      <c r="D209" s="300"/>
      <c r="E209" s="422" t="s">
        <v>133</v>
      </c>
      <c r="F209" s="935" t="s">
        <v>125</v>
      </c>
      <c r="G209" s="877" t="s">
        <v>134</v>
      </c>
      <c r="H209" s="877"/>
      <c r="I209" s="877"/>
      <c r="J209" s="877"/>
      <c r="K209" s="877"/>
      <c r="L209" s="180"/>
      <c r="M209" s="876"/>
      <c r="N209" s="180"/>
      <c r="O209" s="180"/>
      <c r="P209" s="180"/>
      <c r="Q209" s="180"/>
      <c r="R209" s="180"/>
      <c r="S209" s="180"/>
      <c r="T209" s="180"/>
      <c r="U209" s="876"/>
      <c r="V209" s="876"/>
      <c r="W209" s="876"/>
      <c r="X209" s="876"/>
      <c r="Y209" s="876"/>
      <c r="Z209" s="876"/>
      <c r="AA209" s="876"/>
      <c r="AB209" s="876"/>
      <c r="AC209" s="876"/>
      <c r="AD209" s="876"/>
      <c r="AE209" s="876"/>
      <c r="AF209" s="876"/>
      <c r="AG209" s="876"/>
    </row>
    <row r="210" spans="1:33" s="199" customFormat="1" ht="18" customHeight="1" outlineLevel="2">
      <c r="A210" s="876"/>
      <c r="B210" s="288"/>
      <c r="C210" s="312" t="str">
        <f>Name_VAT &amp; " - Rates"</f>
        <v>VAT - Rates</v>
      </c>
      <c r="D210" s="300"/>
      <c r="E210" s="288"/>
      <c r="F210" s="288" t="s">
        <v>145</v>
      </c>
      <c r="G210" s="294"/>
      <c r="H210" s="294"/>
      <c r="I210" s="294"/>
      <c r="J210" s="294"/>
      <c r="K210" s="288"/>
      <c r="L210" s="288"/>
      <c r="M210" s="876"/>
      <c r="N210" s="288"/>
      <c r="O210" s="288"/>
      <c r="P210" s="288"/>
      <c r="Q210" s="288"/>
      <c r="R210" s="288"/>
      <c r="S210" s="288"/>
      <c r="T210" s="288"/>
      <c r="U210" s="876"/>
      <c r="V210" s="876"/>
      <c r="W210" s="876"/>
      <c r="X210" s="876"/>
      <c r="Y210" s="876"/>
      <c r="Z210" s="876"/>
      <c r="AA210" s="876"/>
      <c r="AB210" s="876"/>
      <c r="AC210" s="876"/>
      <c r="AD210" s="876"/>
      <c r="AE210" s="876"/>
      <c r="AF210" s="876"/>
      <c r="AG210" s="876"/>
    </row>
    <row r="211" spans="1:33" s="116" customFormat="1" ht="18" customHeight="1" outlineLevel="2">
      <c r="A211" s="876"/>
      <c r="B211" s="180"/>
      <c r="C211" s="40" t="s">
        <v>293</v>
      </c>
      <c r="D211" s="300"/>
      <c r="E211" s="8" t="s">
        <v>26</v>
      </c>
      <c r="F211" s="241">
        <v>0</v>
      </c>
      <c r="G211" s="294"/>
      <c r="H211" s="301"/>
      <c r="I211" s="301"/>
      <c r="J211" s="288"/>
      <c r="K211" s="288"/>
      <c r="L211" s="288"/>
      <c r="M211" s="876"/>
      <c r="N211" s="180"/>
      <c r="O211" s="180"/>
      <c r="P211" s="180"/>
      <c r="Q211" s="180"/>
      <c r="R211" s="180"/>
      <c r="S211" s="180"/>
      <c r="T211" s="180"/>
      <c r="U211" s="876"/>
      <c r="V211" s="876"/>
      <c r="W211" s="876"/>
      <c r="X211" s="876"/>
      <c r="Y211" s="876"/>
      <c r="Z211" s="876"/>
      <c r="AA211" s="876"/>
      <c r="AB211" s="876"/>
      <c r="AC211" s="876"/>
      <c r="AD211" s="876"/>
      <c r="AE211" s="876"/>
      <c r="AF211" s="876"/>
      <c r="AG211" s="876"/>
    </row>
    <row r="212" spans="1:33" s="116" customFormat="1" ht="18" customHeight="1" outlineLevel="2">
      <c r="A212" s="876"/>
      <c r="B212" s="180"/>
      <c r="C212" s="40" t="s">
        <v>130</v>
      </c>
      <c r="D212" s="300"/>
      <c r="E212" s="8" t="s">
        <v>26</v>
      </c>
      <c r="F212" s="266">
        <v>0.2</v>
      </c>
      <c r="G212" s="294"/>
      <c r="H212" s="301"/>
      <c r="I212" s="301"/>
      <c r="J212" s="288"/>
      <c r="K212" s="876"/>
      <c r="L212" s="876"/>
      <c r="M212" s="876"/>
      <c r="N212" s="876"/>
      <c r="O212" s="180"/>
      <c r="P212" s="180"/>
      <c r="Q212" s="180"/>
      <c r="R212" s="180"/>
      <c r="S212" s="180"/>
      <c r="T212" s="180"/>
      <c r="U212" s="876"/>
      <c r="V212" s="876"/>
      <c r="W212" s="876"/>
      <c r="X212" s="876"/>
      <c r="Y212" s="876"/>
      <c r="Z212" s="876"/>
      <c r="AA212" s="876"/>
      <c r="AB212" s="876"/>
      <c r="AC212" s="876"/>
      <c r="AD212" s="876"/>
      <c r="AE212" s="876"/>
      <c r="AF212" s="876"/>
      <c r="AG212" s="876"/>
    </row>
    <row r="213" spans="1:33" s="82" customFormat="1" ht="18" customHeight="1" outlineLevel="2">
      <c r="A213" s="876"/>
      <c r="B213" s="180"/>
      <c r="C213" s="40" t="s">
        <v>131</v>
      </c>
      <c r="D213" s="300"/>
      <c r="E213" s="8" t="s">
        <v>26</v>
      </c>
      <c r="F213" s="266">
        <v>0.1</v>
      </c>
      <c r="G213" s="294"/>
      <c r="H213" s="301"/>
      <c r="I213" s="301"/>
      <c r="J213" s="180"/>
      <c r="K213" s="876"/>
      <c r="L213" s="876"/>
      <c r="M213" s="876"/>
      <c r="N213" s="876"/>
      <c r="O213" s="180"/>
      <c r="P213" s="180"/>
      <c r="Q213" s="180"/>
      <c r="R213" s="180"/>
      <c r="S213" s="180"/>
      <c r="T213" s="180"/>
      <c r="U213" s="876"/>
      <c r="V213" s="876"/>
      <c r="W213" s="876"/>
      <c r="X213" s="876"/>
      <c r="Y213" s="876"/>
      <c r="Z213" s="876"/>
      <c r="AA213" s="876"/>
      <c r="AB213" s="876"/>
      <c r="AC213" s="876"/>
      <c r="AD213" s="876"/>
      <c r="AE213" s="876"/>
      <c r="AF213" s="876"/>
      <c r="AG213" s="876"/>
    </row>
    <row r="214" spans="1:33" s="116" customFormat="1" ht="18" customHeight="1" outlineLevel="2">
      <c r="A214" s="876"/>
      <c r="B214" s="180"/>
      <c r="C214" s="40" t="s">
        <v>132</v>
      </c>
      <c r="D214" s="300"/>
      <c r="E214" s="8" t="s">
        <v>26</v>
      </c>
      <c r="F214" s="266">
        <v>0.08</v>
      </c>
      <c r="G214" s="294"/>
      <c r="H214" s="301"/>
      <c r="I214" s="301"/>
      <c r="J214" s="180"/>
      <c r="K214" s="876"/>
      <c r="L214" s="876"/>
      <c r="M214" s="876"/>
      <c r="N214" s="876"/>
      <c r="O214" s="180"/>
      <c r="P214" s="180"/>
      <c r="Q214" s="180"/>
      <c r="R214" s="180"/>
      <c r="S214" s="180"/>
      <c r="T214" s="180"/>
      <c r="U214" s="876"/>
      <c r="V214" s="876"/>
      <c r="W214" s="876"/>
      <c r="X214" s="876"/>
      <c r="Y214" s="876"/>
      <c r="Z214" s="876"/>
      <c r="AA214" s="876"/>
      <c r="AB214" s="876"/>
      <c r="AC214" s="876"/>
      <c r="AD214" s="876"/>
      <c r="AE214" s="876"/>
      <c r="AF214" s="876"/>
      <c r="AG214" s="876"/>
    </row>
    <row r="215" spans="1:33" s="199" customFormat="1" ht="18" customHeight="1" outlineLevel="2">
      <c r="A215" s="876"/>
      <c r="B215" s="288"/>
      <c r="C215" s="312" t="str">
        <f>Name_VAT &amp; " - Payment Dates"</f>
        <v>VAT - Payment Dates</v>
      </c>
      <c r="D215" s="288"/>
      <c r="E215" s="299"/>
      <c r="F215" s="288"/>
      <c r="G215" s="288"/>
      <c r="H215" s="288"/>
      <c r="I215" s="301"/>
      <c r="J215" s="288"/>
      <c r="K215" s="301"/>
      <c r="L215" s="301"/>
      <c r="M215" s="288"/>
      <c r="N215" s="288"/>
      <c r="O215" s="288"/>
      <c r="P215" s="288"/>
      <c r="Q215" s="288"/>
      <c r="R215" s="288"/>
      <c r="S215" s="288"/>
      <c r="T215" s="288"/>
      <c r="U215" s="876"/>
      <c r="V215" s="876"/>
      <c r="W215" s="876"/>
      <c r="X215" s="876"/>
      <c r="Y215" s="876"/>
      <c r="Z215" s="876"/>
      <c r="AA215" s="876"/>
      <c r="AB215" s="876"/>
      <c r="AC215" s="876"/>
      <c r="AD215" s="876"/>
      <c r="AE215" s="876"/>
      <c r="AF215" s="876"/>
      <c r="AG215" s="876"/>
    </row>
    <row r="216" spans="1:33" s="199" customFormat="1" ht="18" customHeight="1" outlineLevel="2">
      <c r="A216" s="876"/>
      <c r="B216" s="288"/>
      <c r="C216" s="301" t="str">
        <f>"Intervall when "&amp;Name_VAT&amp;" is paid to or refunded by state/tax authority"</f>
        <v>Intervall when VAT is paid to or refunded by state/tax authority</v>
      </c>
      <c r="D216" s="288"/>
      <c r="E216" s="500" t="s">
        <v>133</v>
      </c>
      <c r="F216" s="902" t="s">
        <v>195</v>
      </c>
      <c r="G216" s="439">
        <f>VLOOKUP(F216,Formats!$J$77:$K$80,2,FALSE)</f>
        <v>3</v>
      </c>
      <c r="H216" s="288"/>
      <c r="I216" s="301"/>
      <c r="J216" s="288"/>
      <c r="K216" s="301"/>
      <c r="L216" s="301"/>
      <c r="M216" s="288"/>
      <c r="N216" s="288"/>
      <c r="O216" s="288"/>
      <c r="P216" s="288"/>
      <c r="Q216" s="288"/>
      <c r="R216" s="288"/>
      <c r="S216" s="288"/>
      <c r="T216" s="288"/>
      <c r="U216" s="876"/>
      <c r="V216" s="876"/>
      <c r="W216" s="876"/>
      <c r="X216" s="876"/>
      <c r="Y216" s="876"/>
      <c r="Z216" s="876"/>
      <c r="AA216" s="876"/>
      <c r="AB216" s="876"/>
      <c r="AC216" s="876"/>
      <c r="AD216" s="876"/>
      <c r="AE216" s="876"/>
      <c r="AF216" s="876"/>
      <c r="AG216" s="876"/>
    </row>
    <row r="217" spans="1:33" s="128" customFormat="1" ht="18" customHeight="1" outlineLevel="2">
      <c r="A217" s="876"/>
      <c r="B217" s="180"/>
      <c r="C217" s="312" t="str">
        <f>"Percentage subject to " &amp;Name_VAT &amp;" and rates applied"</f>
        <v>Percentage subject to VAT and rates applied</v>
      </c>
      <c r="D217" s="180"/>
      <c r="E217" s="299"/>
      <c r="F217" s="180"/>
      <c r="G217" s="180"/>
      <c r="H217" s="180"/>
      <c r="I217" s="301"/>
      <c r="J217" s="180"/>
      <c r="K217" s="301"/>
      <c r="L217" s="301"/>
      <c r="M217" s="180"/>
      <c r="N217" s="180"/>
      <c r="O217" s="180"/>
      <c r="P217" s="180"/>
      <c r="Q217" s="180"/>
      <c r="R217" s="180"/>
      <c r="S217" s="180"/>
      <c r="T217" s="180"/>
      <c r="U217" s="876"/>
      <c r="V217" s="876"/>
      <c r="W217" s="876"/>
      <c r="X217" s="876"/>
      <c r="Y217" s="876"/>
      <c r="Z217" s="876"/>
      <c r="AA217" s="876"/>
      <c r="AB217" s="876"/>
      <c r="AC217" s="876"/>
      <c r="AD217" s="876"/>
      <c r="AE217" s="876"/>
      <c r="AF217" s="876"/>
      <c r="AG217" s="876"/>
    </row>
    <row r="218" spans="1:33" s="116" customFormat="1" ht="18" customHeight="1" outlineLevel="2">
      <c r="A218" s="876"/>
      <c r="B218" s="180"/>
      <c r="C218" s="301" t="s">
        <v>974</v>
      </c>
      <c r="D218" s="301"/>
      <c r="E218" s="299" t="s">
        <v>135</v>
      </c>
      <c r="F218" s="11" t="s">
        <v>137</v>
      </c>
      <c r="G218" s="180"/>
      <c r="H218" s="11" t="s">
        <v>136</v>
      </c>
      <c r="I218" s="301"/>
      <c r="J218" s="301"/>
      <c r="K218" s="301"/>
      <c r="L218" s="301"/>
      <c r="M218" s="288"/>
      <c r="N218" s="180"/>
      <c r="O218" s="180"/>
      <c r="P218" s="180"/>
      <c r="Q218" s="180"/>
      <c r="R218" s="180"/>
      <c r="S218" s="180"/>
      <c r="T218" s="180"/>
      <c r="U218" s="876"/>
      <c r="V218" s="876"/>
      <c r="W218" s="876"/>
      <c r="X218" s="876"/>
      <c r="Y218" s="876"/>
      <c r="Z218" s="876"/>
      <c r="AA218" s="876"/>
      <c r="AB218" s="876"/>
      <c r="AC218" s="876"/>
      <c r="AD218" s="876"/>
      <c r="AE218" s="876"/>
      <c r="AF218" s="876"/>
      <c r="AG218" s="876"/>
    </row>
    <row r="219" spans="1:33" s="116" customFormat="1" ht="18" customHeight="1" outlineLevel="2">
      <c r="A219" s="876"/>
      <c r="B219" s="180"/>
      <c r="C219" s="24" t="s">
        <v>985</v>
      </c>
      <c r="D219" s="180"/>
      <c r="E219" s="8" t="s">
        <v>26</v>
      </c>
      <c r="F219" s="1022">
        <v>0.8</v>
      </c>
      <c r="G219" s="310" t="s">
        <v>144</v>
      </c>
      <c r="H219" s="625" t="s">
        <v>130</v>
      </c>
      <c r="I219" s="84">
        <f>VLOOKUP(H219,Inputs!$C$211:$F$214,4,FALSE)</f>
        <v>0.2</v>
      </c>
      <c r="J219" s="180"/>
      <c r="K219" s="301"/>
      <c r="L219" s="301"/>
      <c r="M219" s="876"/>
      <c r="N219" s="288"/>
      <c r="O219" s="288"/>
      <c r="P219" s="288"/>
      <c r="Q219" s="180"/>
      <c r="R219" s="180"/>
      <c r="S219" s="180"/>
      <c r="T219" s="180"/>
      <c r="U219" s="876"/>
      <c r="V219" s="876"/>
      <c r="W219" s="876"/>
      <c r="X219" s="876"/>
      <c r="Y219" s="876"/>
      <c r="Z219" s="876"/>
      <c r="AA219" s="876"/>
      <c r="AB219" s="876"/>
      <c r="AC219" s="876"/>
      <c r="AD219" s="876"/>
      <c r="AE219" s="876"/>
      <c r="AF219" s="876"/>
      <c r="AG219" s="876"/>
    </row>
    <row r="220" spans="1:33" s="116" customFormat="1" ht="18" customHeight="1" outlineLevel="2">
      <c r="A220" s="876"/>
      <c r="B220" s="180"/>
      <c r="C220" s="24" t="s">
        <v>982</v>
      </c>
      <c r="D220" s="300"/>
      <c r="E220" s="8" t="s">
        <v>26</v>
      </c>
      <c r="F220" s="1022">
        <v>1</v>
      </c>
      <c r="G220" s="310" t="s">
        <v>144</v>
      </c>
      <c r="H220" s="625" t="s">
        <v>130</v>
      </c>
      <c r="I220" s="84">
        <f>VLOOKUP(H220,Inputs!$C$211:$F$214,4,FALSE)</f>
        <v>0.2</v>
      </c>
      <c r="J220" s="301"/>
      <c r="K220" s="301"/>
      <c r="L220" s="301"/>
      <c r="M220" s="876"/>
      <c r="N220" s="288"/>
      <c r="O220" s="288"/>
      <c r="P220" s="288"/>
      <c r="Q220" s="180"/>
      <c r="R220" s="180"/>
      <c r="S220" s="180"/>
      <c r="T220" s="180"/>
      <c r="U220" s="876"/>
      <c r="V220" s="876"/>
      <c r="W220" s="876"/>
      <c r="X220" s="876"/>
      <c r="Y220" s="876"/>
      <c r="Z220" s="876"/>
      <c r="AA220" s="876"/>
      <c r="AB220" s="876"/>
      <c r="AC220" s="876"/>
      <c r="AD220" s="876"/>
      <c r="AE220" s="876"/>
      <c r="AF220" s="876"/>
      <c r="AG220" s="876"/>
    </row>
    <row r="221" spans="1:33" s="116" customFormat="1" ht="18" customHeight="1" outlineLevel="2">
      <c r="A221" s="876"/>
      <c r="B221" s="180"/>
      <c r="C221" s="301" t="s">
        <v>214</v>
      </c>
      <c r="D221" s="300"/>
      <c r="E221" s="299" t="s">
        <v>135</v>
      </c>
      <c r="F221" s="180"/>
      <c r="G221" s="310"/>
      <c r="H221" s="180"/>
      <c r="I221" s="301"/>
      <c r="J221" s="301"/>
      <c r="K221" s="301"/>
      <c r="L221" s="301"/>
      <c r="M221" s="288"/>
      <c r="N221" s="288"/>
      <c r="O221" s="288"/>
      <c r="P221" s="288"/>
      <c r="Q221" s="180"/>
      <c r="R221" s="180"/>
      <c r="S221" s="180"/>
      <c r="T221" s="180"/>
      <c r="U221" s="876"/>
      <c r="V221" s="876"/>
      <c r="W221" s="876"/>
      <c r="X221" s="876"/>
      <c r="Y221" s="876"/>
      <c r="Z221" s="876"/>
      <c r="AA221" s="876"/>
      <c r="AB221" s="876"/>
      <c r="AC221" s="876"/>
      <c r="AD221" s="876"/>
      <c r="AE221" s="876"/>
      <c r="AF221" s="876"/>
      <c r="AG221" s="876"/>
    </row>
    <row r="222" spans="1:33" s="799" customFormat="1" ht="18" customHeight="1" outlineLevel="2">
      <c r="A222" s="876"/>
      <c r="B222" s="288"/>
      <c r="C222" s="285"/>
      <c r="D222" s="300"/>
      <c r="E222" s="288"/>
      <c r="F222" s="288"/>
      <c r="G222" s="288"/>
      <c r="H222" s="288"/>
      <c r="I222" s="301"/>
      <c r="J222" s="288"/>
      <c r="K222" s="301"/>
      <c r="L222" s="301"/>
      <c r="M222" s="288"/>
      <c r="N222" s="288"/>
      <c r="O222" s="288"/>
      <c r="P222" s="288"/>
      <c r="Q222" s="288"/>
      <c r="R222" s="288"/>
      <c r="S222" s="288"/>
      <c r="T222" s="288"/>
      <c r="U222" s="876"/>
      <c r="V222" s="876"/>
      <c r="W222" s="876"/>
      <c r="X222" s="876"/>
      <c r="Y222" s="876"/>
      <c r="Z222" s="876"/>
      <c r="AA222" s="876"/>
      <c r="AB222" s="876"/>
      <c r="AC222" s="876"/>
      <c r="AD222" s="876"/>
      <c r="AE222" s="876"/>
      <c r="AF222" s="876"/>
      <c r="AG222" s="876"/>
    </row>
    <row r="223" spans="1:33" s="799" customFormat="1" ht="18" customHeight="1" outlineLevel="1">
      <c r="A223" s="876"/>
      <c r="B223" s="550"/>
      <c r="C223" s="378" t="s">
        <v>650</v>
      </c>
      <c r="D223" s="751"/>
      <c r="E223" s="648"/>
      <c r="F223" s="873"/>
      <c r="G223" s="550"/>
      <c r="H223" s="550"/>
      <c r="I223" s="550"/>
      <c r="J223" s="550"/>
      <c r="K223" s="301"/>
      <c r="L223" s="301"/>
      <c r="M223" s="288"/>
      <c r="N223" s="288"/>
      <c r="O223" s="288"/>
      <c r="P223" s="288"/>
      <c r="Q223" s="288"/>
      <c r="R223" s="288"/>
      <c r="S223" s="288"/>
      <c r="T223" s="288"/>
      <c r="U223" s="876"/>
      <c r="V223" s="876"/>
      <c r="W223" s="876"/>
      <c r="X223" s="876"/>
      <c r="Y223" s="876"/>
      <c r="Z223" s="876"/>
      <c r="AA223" s="876"/>
      <c r="AB223" s="876"/>
      <c r="AC223" s="876"/>
      <c r="AD223" s="876"/>
      <c r="AE223" s="876"/>
      <c r="AF223" s="876"/>
      <c r="AG223" s="876"/>
    </row>
    <row r="224" spans="1:33" s="878" customFormat="1" ht="18" customHeight="1" outlineLevel="2">
      <c r="A224" s="876"/>
      <c r="B224" s="877"/>
      <c r="C224" s="760" t="s">
        <v>1016</v>
      </c>
      <c r="D224" s="877"/>
      <c r="E224" s="648"/>
      <c r="F224" s="877"/>
      <c r="G224" s="288"/>
      <c r="H224" s="877"/>
      <c r="I224" s="877"/>
      <c r="J224" s="877"/>
      <c r="K224" s="301"/>
      <c r="L224" s="301"/>
      <c r="M224" s="876"/>
      <c r="N224" s="876"/>
      <c r="O224" s="876"/>
      <c r="P224" s="876"/>
      <c r="Q224" s="876"/>
      <c r="R224" s="876"/>
      <c r="S224" s="876"/>
      <c r="T224" s="876"/>
      <c r="U224" s="876"/>
      <c r="V224" s="876"/>
      <c r="W224" s="876"/>
      <c r="X224" s="876"/>
      <c r="Y224" s="876"/>
      <c r="Z224" s="876"/>
      <c r="AA224" s="876"/>
      <c r="AB224" s="876"/>
      <c r="AC224" s="876"/>
      <c r="AD224" s="876"/>
      <c r="AE224" s="876"/>
      <c r="AF224" s="876"/>
      <c r="AG224" s="876"/>
    </row>
    <row r="225" spans="1:33" s="878" customFormat="1" ht="18" customHeight="1" outlineLevel="2">
      <c r="A225" s="876"/>
      <c r="B225" s="877"/>
      <c r="C225" s="421" t="s">
        <v>1014</v>
      </c>
      <c r="D225" s="877"/>
      <c r="E225" s="8" t="s">
        <v>26</v>
      </c>
      <c r="F225" s="265">
        <v>0.9</v>
      </c>
      <c r="G225" s="877" t="s">
        <v>1015</v>
      </c>
      <c r="H225" s="877"/>
      <c r="I225" s="877"/>
      <c r="J225" s="877"/>
      <c r="K225" s="301"/>
      <c r="L225" s="301"/>
      <c r="M225" s="876"/>
      <c r="N225" s="876"/>
      <c r="O225" s="876"/>
      <c r="P225" s="876"/>
      <c r="Q225" s="876"/>
      <c r="R225" s="876"/>
      <c r="S225" s="876"/>
      <c r="T225" s="876"/>
      <c r="U225" s="876"/>
      <c r="V225" s="876"/>
      <c r="W225" s="876"/>
      <c r="X225" s="876"/>
      <c r="Y225" s="876"/>
      <c r="Z225" s="876"/>
      <c r="AA225" s="876"/>
      <c r="AB225" s="876"/>
      <c r="AC225" s="876"/>
      <c r="AD225" s="876"/>
      <c r="AE225" s="876"/>
      <c r="AF225" s="876"/>
      <c r="AG225" s="876"/>
    </row>
    <row r="226" spans="1:33" s="878" customFormat="1" ht="18" customHeight="1" outlineLevel="2">
      <c r="A226" s="876"/>
      <c r="B226" s="877"/>
      <c r="C226" s="421" t="s">
        <v>1017</v>
      </c>
      <c r="D226" s="877"/>
      <c r="E226" s="422" t="s">
        <v>27</v>
      </c>
      <c r="F226" s="266">
        <v>0.06</v>
      </c>
      <c r="G226" s="877"/>
      <c r="H226" s="877"/>
      <c r="I226" s="877"/>
      <c r="J226" s="877"/>
      <c r="K226" s="301"/>
      <c r="L226" s="301"/>
      <c r="M226" s="876"/>
      <c r="N226" s="876"/>
      <c r="O226" s="876"/>
      <c r="P226" s="876"/>
      <c r="Q226" s="876"/>
      <c r="R226" s="876"/>
      <c r="S226" s="876"/>
      <c r="T226" s="876"/>
      <c r="U226" s="876"/>
      <c r="V226" s="876"/>
      <c r="W226" s="876"/>
      <c r="X226" s="876"/>
      <c r="Y226" s="876"/>
      <c r="Z226" s="876"/>
      <c r="AA226" s="876"/>
      <c r="AB226" s="876"/>
      <c r="AC226" s="876"/>
      <c r="AD226" s="876"/>
      <c r="AE226" s="876"/>
      <c r="AF226" s="876"/>
      <c r="AG226" s="876"/>
    </row>
    <row r="227" spans="1:33" s="878" customFormat="1" ht="18" customHeight="1" outlineLevel="2">
      <c r="A227" s="876"/>
      <c r="B227" s="877"/>
      <c r="C227" s="875"/>
      <c r="D227" s="877"/>
      <c r="E227" s="648"/>
      <c r="F227" s="877"/>
      <c r="G227" s="877"/>
      <c r="H227" s="877"/>
      <c r="I227" s="877"/>
      <c r="J227" s="877"/>
      <c r="K227" s="301"/>
      <c r="L227" s="301"/>
      <c r="M227" s="876"/>
      <c r="N227" s="876"/>
      <c r="O227" s="876"/>
      <c r="P227" s="876"/>
      <c r="Q227" s="876"/>
      <c r="R227" s="876"/>
      <c r="S227" s="876"/>
      <c r="T227" s="876"/>
      <c r="U227" s="876"/>
      <c r="V227" s="876"/>
      <c r="W227" s="876"/>
      <c r="X227" s="876"/>
      <c r="Y227" s="876"/>
      <c r="Z227" s="876"/>
      <c r="AA227" s="876"/>
      <c r="AB227" s="876"/>
      <c r="AC227" s="876"/>
      <c r="AD227" s="876"/>
      <c r="AE227" s="876"/>
      <c r="AF227" s="876"/>
      <c r="AG227" s="876"/>
    </row>
    <row r="228" spans="1:33" s="799" customFormat="1" ht="18" customHeight="1" outlineLevel="2">
      <c r="A228" s="877"/>
      <c r="B228" s="550"/>
      <c r="C228" s="760" t="s">
        <v>220</v>
      </c>
      <c r="D228" s="550"/>
      <c r="E228" s="550"/>
      <c r="F228" s="550"/>
      <c r="G228" s="550"/>
      <c r="H228" s="550"/>
      <c r="I228" s="550"/>
      <c r="J228" s="550"/>
      <c r="K228" s="301"/>
      <c r="L228" s="301"/>
      <c r="M228" s="288"/>
      <c r="N228" s="288"/>
      <c r="O228" s="288"/>
      <c r="P228" s="288"/>
      <c r="Q228" s="288"/>
      <c r="R228" s="288"/>
      <c r="S228" s="288"/>
      <c r="T228" s="288"/>
      <c r="U228" s="876"/>
      <c r="V228" s="876"/>
      <c r="W228" s="876"/>
      <c r="X228" s="876"/>
      <c r="Y228" s="876"/>
      <c r="Z228" s="876"/>
      <c r="AA228" s="876"/>
      <c r="AB228" s="876"/>
      <c r="AC228" s="876"/>
      <c r="AD228" s="876"/>
      <c r="AE228" s="876"/>
      <c r="AF228" s="876"/>
      <c r="AG228" s="876"/>
    </row>
    <row r="229" spans="1:33" s="799" customFormat="1" ht="18" customHeight="1" outlineLevel="2">
      <c r="A229" s="877"/>
      <c r="B229" s="550"/>
      <c r="C229" s="421" t="s">
        <v>218</v>
      </c>
      <c r="D229" s="550"/>
      <c r="E229" s="422" t="s">
        <v>27</v>
      </c>
      <c r="F229" s="505">
        <v>1.4999999999999999E-2</v>
      </c>
      <c r="G229" s="874" t="s">
        <v>219</v>
      </c>
      <c r="H229" s="719">
        <f>F229/months_yr</f>
        <v>1.25E-3</v>
      </c>
      <c r="I229" s="550"/>
      <c r="J229" s="550"/>
      <c r="K229" s="1027"/>
      <c r="L229" s="301"/>
      <c r="M229" s="288"/>
      <c r="N229" s="288"/>
      <c r="O229" s="288"/>
      <c r="P229" s="288"/>
      <c r="Q229" s="288"/>
      <c r="R229" s="288"/>
      <c r="S229" s="288"/>
      <c r="T229" s="288"/>
      <c r="U229" s="876"/>
      <c r="V229" s="876"/>
      <c r="W229" s="876"/>
      <c r="X229" s="876"/>
      <c r="Y229" s="876"/>
      <c r="Z229" s="876"/>
      <c r="AA229" s="876"/>
      <c r="AB229" s="876"/>
      <c r="AC229" s="876"/>
      <c r="AD229" s="876"/>
      <c r="AE229" s="876"/>
      <c r="AF229" s="876"/>
      <c r="AG229" s="876"/>
    </row>
    <row r="230" spans="1:33" s="878" customFormat="1" ht="18" customHeight="1" outlineLevel="2">
      <c r="A230" s="877"/>
      <c r="B230" s="877"/>
      <c r="C230" s="875"/>
      <c r="D230" s="877"/>
      <c r="E230" s="648"/>
      <c r="F230" s="877"/>
      <c r="G230" s="877"/>
      <c r="H230" s="877"/>
      <c r="I230" s="877"/>
      <c r="J230" s="877"/>
      <c r="K230" s="301"/>
      <c r="L230" s="301"/>
      <c r="M230" s="876"/>
      <c r="N230" s="876"/>
      <c r="O230" s="876"/>
      <c r="P230" s="876"/>
      <c r="Q230" s="876"/>
      <c r="R230" s="876"/>
      <c r="S230" s="876"/>
      <c r="T230" s="876"/>
      <c r="U230" s="876"/>
      <c r="V230" s="876"/>
      <c r="W230" s="876"/>
      <c r="X230" s="876"/>
      <c r="Y230" s="876"/>
      <c r="Z230" s="876"/>
      <c r="AA230" s="876"/>
      <c r="AB230" s="876"/>
      <c r="AC230" s="876"/>
      <c r="AD230" s="876"/>
      <c r="AE230" s="876"/>
      <c r="AF230" s="876"/>
      <c r="AG230" s="876"/>
    </row>
    <row r="231" spans="1:33" s="799" customFormat="1" ht="18" customHeight="1" outlineLevel="2">
      <c r="A231" s="877"/>
      <c r="B231" s="550"/>
      <c r="C231" s="760" t="s">
        <v>986</v>
      </c>
      <c r="D231" s="550"/>
      <c r="E231" s="648"/>
      <c r="F231" s="550"/>
      <c r="G231" s="550"/>
      <c r="H231" s="877"/>
      <c r="I231" s="877"/>
      <c r="J231" s="877"/>
      <c r="K231" s="877"/>
      <c r="L231" s="877"/>
      <c r="M231" s="288"/>
      <c r="N231" s="288"/>
      <c r="O231" s="288"/>
      <c r="P231" s="288"/>
      <c r="Q231" s="288"/>
      <c r="R231" s="288"/>
      <c r="S231" s="288"/>
      <c r="T231" s="288"/>
      <c r="U231" s="876"/>
      <c r="V231" s="876"/>
      <c r="W231" s="876"/>
      <c r="X231" s="876"/>
      <c r="Y231" s="876"/>
      <c r="Z231" s="876"/>
      <c r="AA231" s="876"/>
      <c r="AB231" s="876"/>
      <c r="AC231" s="876"/>
      <c r="AD231" s="876"/>
      <c r="AE231" s="876"/>
      <c r="AF231" s="876"/>
      <c r="AG231" s="876"/>
    </row>
    <row r="232" spans="1:33" s="799" customFormat="1" ht="18" customHeight="1" outlineLevel="2">
      <c r="A232" s="877"/>
      <c r="B232" s="550"/>
      <c r="C232" s="421" t="s">
        <v>987</v>
      </c>
      <c r="D232" s="550"/>
      <c r="E232" s="615" t="s">
        <v>133</v>
      </c>
      <c r="F232" s="1042">
        <v>1</v>
      </c>
      <c r="G232" s="550"/>
      <c r="H232" s="877"/>
      <c r="I232" s="877"/>
      <c r="J232" s="877"/>
      <c r="K232" s="877"/>
      <c r="L232" s="877"/>
      <c r="M232" s="877"/>
      <c r="N232" s="876"/>
      <c r="O232" s="288"/>
      <c r="P232" s="288"/>
      <c r="Q232" s="288"/>
      <c r="R232" s="288"/>
      <c r="S232" s="288"/>
      <c r="T232" s="288"/>
      <c r="U232" s="876"/>
      <c r="V232" s="876"/>
      <c r="W232" s="876"/>
      <c r="X232" s="876"/>
      <c r="Y232" s="876"/>
      <c r="Z232" s="876"/>
      <c r="AA232" s="876"/>
      <c r="AB232" s="876"/>
      <c r="AC232" s="876"/>
      <c r="AD232" s="876"/>
      <c r="AE232" s="876"/>
      <c r="AF232" s="876"/>
      <c r="AG232" s="876"/>
    </row>
    <row r="233" spans="1:33" s="799" customFormat="1" ht="18" customHeight="1" outlineLevel="2">
      <c r="A233" s="877"/>
      <c r="B233" s="877"/>
      <c r="C233" s="421" t="s">
        <v>984</v>
      </c>
      <c r="D233" s="751"/>
      <c r="E233" s="8" t="s">
        <v>975</v>
      </c>
      <c r="F233" s="1028">
        <v>10</v>
      </c>
      <c r="G233" s="877"/>
      <c r="H233" s="875"/>
      <c r="I233" s="875"/>
      <c r="J233" s="877"/>
      <c r="K233" s="875"/>
      <c r="L233" s="875"/>
      <c r="M233" s="877"/>
      <c r="N233" s="877"/>
      <c r="O233" s="877"/>
      <c r="P233" s="288"/>
      <c r="Q233" s="288"/>
      <c r="R233" s="288"/>
      <c r="S233" s="288"/>
      <c r="T233" s="288"/>
      <c r="U233" s="876"/>
      <c r="V233" s="876"/>
      <c r="W233" s="876"/>
      <c r="X233" s="876"/>
      <c r="Y233" s="876"/>
      <c r="Z233" s="876"/>
      <c r="AA233" s="876"/>
      <c r="AB233" s="876"/>
      <c r="AC233" s="876"/>
      <c r="AD233" s="876"/>
      <c r="AE233" s="876"/>
      <c r="AF233" s="876"/>
      <c r="AG233" s="876"/>
    </row>
    <row r="234" spans="1:33" s="878" customFormat="1" ht="18" customHeight="1" outlineLevel="2">
      <c r="A234" s="877"/>
      <c r="B234" s="877"/>
      <c r="C234" s="421" t="s">
        <v>981</v>
      </c>
      <c r="D234" s="751"/>
      <c r="E234" s="8" t="s">
        <v>26</v>
      </c>
      <c r="F234" s="1022">
        <v>0.8</v>
      </c>
      <c r="G234" s="877" t="s">
        <v>1044</v>
      </c>
      <c r="H234" s="877"/>
      <c r="I234" s="875"/>
      <c r="J234" s="877"/>
      <c r="K234" s="875"/>
      <c r="L234" s="875"/>
      <c r="M234" s="877"/>
      <c r="N234" s="877"/>
      <c r="O234" s="877"/>
      <c r="P234" s="876"/>
      <c r="Q234" s="876"/>
      <c r="R234" s="876"/>
      <c r="S234" s="876"/>
      <c r="T234" s="876"/>
      <c r="U234" s="876"/>
      <c r="V234" s="876"/>
      <c r="W234" s="876"/>
      <c r="X234" s="876"/>
      <c r="Y234" s="876"/>
      <c r="Z234" s="876"/>
      <c r="AA234" s="876"/>
      <c r="AB234" s="876"/>
      <c r="AC234" s="876"/>
      <c r="AD234" s="876"/>
      <c r="AE234" s="876"/>
      <c r="AF234" s="876"/>
      <c r="AG234" s="876"/>
    </row>
    <row r="235" spans="1:33" s="878" customFormat="1" ht="18" customHeight="1" outlineLevel="2">
      <c r="A235" s="877"/>
      <c r="B235" s="877"/>
      <c r="C235" s="881" t="str">
        <f>"  Note: Related " &amp;Name_VAT&amp;" assumptions can be entered in row "&amp;ROW(Inputs!$C$219)</f>
        <v xml:space="preserve">  Note: Related VAT assumptions can be entered in row 219</v>
      </c>
      <c r="D235" s="751"/>
      <c r="E235" s="877"/>
      <c r="F235" s="877"/>
      <c r="G235" s="877"/>
      <c r="H235" s="877"/>
      <c r="I235" s="875"/>
      <c r="J235" s="877"/>
      <c r="K235" s="875"/>
      <c r="L235" s="875"/>
      <c r="M235" s="877"/>
      <c r="N235" s="877"/>
      <c r="O235" s="877"/>
      <c r="P235" s="876"/>
      <c r="Q235" s="876"/>
      <c r="R235" s="876"/>
      <c r="S235" s="876"/>
      <c r="T235" s="876"/>
      <c r="U235" s="876"/>
      <c r="V235" s="876"/>
      <c r="W235" s="876"/>
      <c r="X235" s="876"/>
      <c r="Y235" s="876"/>
      <c r="Z235" s="876"/>
      <c r="AA235" s="876"/>
      <c r="AB235" s="876"/>
      <c r="AC235" s="876"/>
      <c r="AD235" s="876"/>
      <c r="AE235" s="876"/>
      <c r="AF235" s="876"/>
      <c r="AG235" s="876"/>
    </row>
    <row r="236" spans="1:33" s="878" customFormat="1" ht="18" customHeight="1" outlineLevel="2">
      <c r="A236" s="877"/>
      <c r="B236" s="877"/>
      <c r="C236" s="186"/>
      <c r="D236" s="751"/>
      <c r="E236" s="877"/>
      <c r="F236" s="877"/>
      <c r="G236" s="877"/>
      <c r="H236" s="875"/>
      <c r="I236" s="875"/>
      <c r="J236" s="875"/>
      <c r="K236" s="875"/>
      <c r="L236" s="875"/>
      <c r="M236" s="877"/>
      <c r="N236" s="877"/>
      <c r="O236" s="877"/>
      <c r="P236" s="876"/>
      <c r="Q236" s="876"/>
      <c r="R236" s="876"/>
      <c r="S236" s="876"/>
      <c r="T236" s="876"/>
      <c r="U236" s="876"/>
      <c r="V236" s="876"/>
      <c r="W236" s="876"/>
      <c r="X236" s="876"/>
      <c r="Y236" s="876"/>
      <c r="Z236" s="876"/>
      <c r="AA236" s="876"/>
      <c r="AB236" s="876"/>
      <c r="AC236" s="876"/>
      <c r="AD236" s="876"/>
      <c r="AE236" s="876"/>
      <c r="AF236" s="876"/>
      <c r="AG236" s="876"/>
    </row>
    <row r="237" spans="1:33" s="799" customFormat="1" ht="20.25" customHeight="1" outlineLevel="2">
      <c r="A237" s="877"/>
      <c r="B237" s="877"/>
      <c r="C237" s="760" t="s">
        <v>653</v>
      </c>
      <c r="D237" s="895"/>
      <c r="E237" s="877"/>
      <c r="F237" s="895" t="s">
        <v>1071</v>
      </c>
      <c r="G237" s="877"/>
      <c r="H237" s="875"/>
      <c r="I237" s="875"/>
      <c r="J237" s="875"/>
      <c r="K237" s="875"/>
      <c r="L237" s="875"/>
      <c r="M237" s="877"/>
      <c r="N237" s="877"/>
      <c r="O237" s="877"/>
      <c r="P237" s="288"/>
      <c r="Q237" s="288"/>
      <c r="R237" s="288"/>
      <c r="S237" s="288"/>
      <c r="T237" s="288"/>
      <c r="U237" s="876"/>
      <c r="V237" s="876"/>
      <c r="W237" s="876"/>
      <c r="X237" s="876"/>
      <c r="Y237" s="876"/>
      <c r="Z237" s="876"/>
      <c r="AA237" s="876"/>
      <c r="AB237" s="876"/>
      <c r="AC237" s="876"/>
      <c r="AD237" s="876"/>
      <c r="AE237" s="876"/>
      <c r="AF237" s="876"/>
      <c r="AG237" s="876"/>
    </row>
    <row r="238" spans="1:33" s="799" customFormat="1" ht="18" customHeight="1" outlineLevel="2">
      <c r="A238" s="877"/>
      <c r="B238" s="877"/>
      <c r="C238" s="880" t="str">
        <f>CHOOSE(language,"P&amp;L Items","Income Statement Items")</f>
        <v>Income Statement Items</v>
      </c>
      <c r="D238" s="751"/>
      <c r="E238" s="877"/>
      <c r="F238" s="413">
        <f>YEAR(Startdatum)</f>
        <v>2018</v>
      </c>
      <c r="G238" s="426">
        <f>F238+1</f>
        <v>2019</v>
      </c>
      <c r="H238" s="875"/>
      <c r="I238" s="875"/>
      <c r="J238" s="875"/>
      <c r="K238" s="875"/>
      <c r="L238" s="875"/>
      <c r="M238" s="877"/>
      <c r="N238" s="877"/>
      <c r="O238" s="877"/>
      <c r="P238" s="288"/>
      <c r="Q238" s="288"/>
      <c r="R238" s="288"/>
      <c r="S238" s="288"/>
      <c r="T238" s="288"/>
      <c r="U238" s="876"/>
      <c r="V238" s="876"/>
      <c r="W238" s="876"/>
      <c r="X238" s="876"/>
      <c r="Y238" s="876"/>
      <c r="Z238" s="876"/>
      <c r="AA238" s="876"/>
      <c r="AB238" s="876"/>
      <c r="AC238" s="876"/>
      <c r="AD238" s="876"/>
      <c r="AE238" s="876"/>
      <c r="AF238" s="876"/>
      <c r="AG238" s="876"/>
    </row>
    <row r="239" spans="1:33" s="878" customFormat="1" ht="18" customHeight="1" outlineLevel="2">
      <c r="A239" s="877"/>
      <c r="B239" s="877"/>
      <c r="C239" s="421" t="s">
        <v>279</v>
      </c>
      <c r="D239" s="877"/>
      <c r="E239" s="422" t="str">
        <f>Currency_Label</f>
        <v>USD</v>
      </c>
      <c r="F239" s="879">
        <f>SUMIF(Timing!$J$10:$AG$10,F$238,$J333:$AG333)</f>
        <v>2750</v>
      </c>
      <c r="G239" s="879">
        <f>SUMIF(Timing!$J$10:$AG$10,G$238,$J333:$AG333)</f>
        <v>0</v>
      </c>
      <c r="H239" s="881" t="str">
        <f>" =&gt; detailed input on this sheet (row " &amp;ROW(Inputs!D333) &amp;")"</f>
        <v xml:space="preserve"> =&gt; detailed input on this sheet (row 333)</v>
      </c>
      <c r="I239" s="875"/>
      <c r="J239" s="875"/>
      <c r="K239" s="881"/>
      <c r="L239" s="875"/>
      <c r="M239" s="877"/>
      <c r="N239" s="877"/>
      <c r="O239" s="877"/>
      <c r="P239" s="876"/>
      <c r="Q239" s="876"/>
      <c r="R239" s="876"/>
      <c r="S239" s="876"/>
      <c r="T239" s="876"/>
      <c r="U239" s="876"/>
      <c r="V239" s="876"/>
      <c r="W239" s="876"/>
      <c r="X239" s="876"/>
      <c r="Y239" s="876"/>
      <c r="Z239" s="876"/>
      <c r="AA239" s="876"/>
      <c r="AB239" s="876"/>
      <c r="AC239" s="876"/>
      <c r="AD239" s="876"/>
      <c r="AE239" s="876"/>
      <c r="AF239" s="876"/>
      <c r="AG239" s="876"/>
    </row>
    <row r="240" spans="1:33" s="878" customFormat="1" ht="18" customHeight="1" outlineLevel="2">
      <c r="A240" s="877"/>
      <c r="B240" s="877"/>
      <c r="C240" s="421" t="s">
        <v>281</v>
      </c>
      <c r="D240" s="877"/>
      <c r="E240" s="422" t="str">
        <f>Currency_Label</f>
        <v>USD</v>
      </c>
      <c r="F240" s="879">
        <f>SUMIF(Timing!$J$10:$AG$10,F$238,$J334:$AG334)</f>
        <v>0</v>
      </c>
      <c r="G240" s="879">
        <f>SUMIF(Timing!$J$10:$AG$10,G$238,$J334:$AG334)</f>
        <v>0</v>
      </c>
      <c r="H240" s="881" t="str">
        <f>" =&gt; detailed input on this sheet (row " &amp;ROW(Inputs!D334) &amp;")"</f>
        <v xml:space="preserve"> =&gt; detailed input on this sheet (row 334)</v>
      </c>
      <c r="I240" s="875"/>
      <c r="J240" s="875"/>
      <c r="K240" s="881"/>
      <c r="L240" s="875"/>
      <c r="M240" s="877"/>
      <c r="N240" s="877"/>
      <c r="O240" s="877"/>
      <c r="P240" s="876"/>
      <c r="Q240" s="876"/>
      <c r="R240" s="876"/>
      <c r="S240" s="876"/>
      <c r="T240" s="876"/>
      <c r="U240" s="876"/>
      <c r="V240" s="876"/>
      <c r="W240" s="876"/>
      <c r="X240" s="876"/>
      <c r="Y240" s="876"/>
      <c r="Z240" s="876"/>
      <c r="AA240" s="876"/>
      <c r="AB240" s="876"/>
      <c r="AC240" s="876"/>
      <c r="AD240" s="876"/>
      <c r="AE240" s="876"/>
      <c r="AF240" s="876"/>
      <c r="AG240" s="876"/>
    </row>
    <row r="241" spans="1:33" s="878" customFormat="1" ht="18" customHeight="1" outlineLevel="2">
      <c r="A241" s="877"/>
      <c r="B241" s="877"/>
      <c r="C241" s="421" t="s">
        <v>282</v>
      </c>
      <c r="D241" s="877"/>
      <c r="E241" s="422" t="str">
        <f>Currency_Label</f>
        <v>USD</v>
      </c>
      <c r="F241" s="879">
        <f>SUMIF(Timing!$J$10:$AG$10,F$238,$J335:$AG335)</f>
        <v>0</v>
      </c>
      <c r="G241" s="879">
        <f>SUMIF(Timing!$J$10:$AG$10,G$238,$J335:$AG335)</f>
        <v>4550</v>
      </c>
      <c r="H241" s="881" t="str">
        <f>" =&gt; detailed input on this sheet (row " &amp;ROW(Inputs!D335) &amp;")"</f>
        <v xml:space="preserve"> =&gt; detailed input on this sheet (row 335)</v>
      </c>
      <c r="I241" s="875"/>
      <c r="J241" s="875"/>
      <c r="K241" s="881"/>
      <c r="L241" s="875"/>
      <c r="M241" s="877"/>
      <c r="N241" s="877"/>
      <c r="O241" s="877"/>
      <c r="P241" s="876"/>
      <c r="Q241" s="876"/>
      <c r="R241" s="876"/>
      <c r="S241" s="876"/>
      <c r="T241" s="876"/>
      <c r="U241" s="876"/>
      <c r="V241" s="876"/>
      <c r="W241" s="876"/>
      <c r="X241" s="876"/>
      <c r="Y241" s="876"/>
      <c r="Z241" s="876"/>
      <c r="AA241" s="876"/>
      <c r="AB241" s="876"/>
      <c r="AC241" s="876"/>
      <c r="AD241" s="876"/>
      <c r="AE241" s="876"/>
      <c r="AF241" s="876"/>
      <c r="AG241" s="876"/>
    </row>
    <row r="242" spans="1:33" s="878" customFormat="1" ht="14.25" customHeight="1" outlineLevel="2">
      <c r="A242" s="877"/>
      <c r="B242" s="877"/>
      <c r="C242" s="877"/>
      <c r="D242" s="877"/>
      <c r="E242" s="751"/>
      <c r="F242" s="877"/>
      <c r="G242" s="877"/>
      <c r="H242" s="875"/>
      <c r="I242" s="875"/>
      <c r="J242" s="875"/>
      <c r="K242" s="875"/>
      <c r="L242" s="875"/>
      <c r="M242" s="877"/>
      <c r="N242" s="877"/>
      <c r="O242" s="877"/>
      <c r="P242" s="876"/>
      <c r="Q242" s="876"/>
      <c r="R242" s="876"/>
      <c r="S242" s="876"/>
      <c r="T242" s="876"/>
      <c r="U242" s="876"/>
      <c r="V242" s="876"/>
      <c r="W242" s="876"/>
      <c r="X242" s="876"/>
      <c r="Y242" s="876"/>
      <c r="Z242" s="876"/>
      <c r="AA242" s="876"/>
      <c r="AB242" s="876"/>
      <c r="AC242" s="876"/>
      <c r="AD242" s="876"/>
      <c r="AE242" s="876"/>
      <c r="AF242" s="876"/>
      <c r="AG242" s="876"/>
    </row>
    <row r="243" spans="1:33" s="878" customFormat="1" ht="18" customHeight="1" outlineLevel="2">
      <c r="A243" s="877"/>
      <c r="B243" s="877"/>
      <c r="C243" s="880" t="s">
        <v>335</v>
      </c>
      <c r="D243" s="877"/>
      <c r="E243" s="751"/>
      <c r="F243" s="877"/>
      <c r="G243" s="877"/>
      <c r="H243" s="875"/>
      <c r="I243" s="875"/>
      <c r="J243" s="875"/>
      <c r="K243" s="875"/>
      <c r="L243" s="875"/>
      <c r="M243" s="877"/>
      <c r="N243" s="877"/>
      <c r="O243" s="877"/>
      <c r="P243" s="876"/>
      <c r="Q243" s="876"/>
      <c r="R243" s="876"/>
      <c r="S243" s="876"/>
      <c r="T243" s="876"/>
      <c r="U243" s="876"/>
      <c r="V243" s="876"/>
      <c r="W243" s="876"/>
      <c r="X243" s="876"/>
      <c r="Y243" s="876"/>
      <c r="Z243" s="876"/>
      <c r="AA243" s="876"/>
      <c r="AB243" s="876"/>
      <c r="AC243" s="876"/>
      <c r="AD243" s="876"/>
      <c r="AE243" s="876"/>
      <c r="AF243" s="876"/>
      <c r="AG243" s="876"/>
    </row>
    <row r="244" spans="1:33" s="878" customFormat="1" ht="18" customHeight="1" outlineLevel="2">
      <c r="A244" s="877"/>
      <c r="B244" s="877"/>
      <c r="C244" s="760" t="s">
        <v>338</v>
      </c>
      <c r="D244" s="877"/>
      <c r="E244" s="751"/>
      <c r="F244" s="413">
        <f>YEAR(Startdatum)</f>
        <v>2018</v>
      </c>
      <c r="G244" s="426">
        <f>F244+1</f>
        <v>2019</v>
      </c>
      <c r="H244" s="875"/>
      <c r="I244" s="875"/>
      <c r="J244" s="875"/>
      <c r="K244" s="875"/>
      <c r="L244" s="875"/>
      <c r="M244" s="877"/>
      <c r="N244" s="877"/>
      <c r="O244" s="877"/>
      <c r="P244" s="876"/>
      <c r="Q244" s="876"/>
      <c r="R244" s="876"/>
      <c r="S244" s="876"/>
      <c r="T244" s="876"/>
      <c r="U244" s="876"/>
      <c r="V244" s="876"/>
      <c r="W244" s="876"/>
      <c r="X244" s="876"/>
      <c r="Y244" s="876"/>
      <c r="Z244" s="876"/>
      <c r="AA244" s="876"/>
      <c r="AB244" s="876"/>
      <c r="AC244" s="876"/>
      <c r="AD244" s="876"/>
      <c r="AE244" s="876"/>
      <c r="AF244" s="876"/>
      <c r="AG244" s="876"/>
    </row>
    <row r="245" spans="1:33" s="878" customFormat="1" ht="18" customHeight="1" outlineLevel="2">
      <c r="A245" s="877"/>
      <c r="B245" s="877"/>
      <c r="C245" s="421" t="s">
        <v>343</v>
      </c>
      <c r="D245" s="877"/>
      <c r="E245" s="422" t="str">
        <f>Currency_Label</f>
        <v>USD</v>
      </c>
      <c r="F245" s="879">
        <f>SUMIF(Timing!$J$10:$AG$10,F$238,$J340:$AG340)</f>
        <v>6750</v>
      </c>
      <c r="G245" s="879">
        <f>SUMIF(Timing!$J$10:$AG$10,G$238,$J340:$AG340)</f>
        <v>0</v>
      </c>
      <c r="H245" s="881" t="str">
        <f>" =&gt; detailed input on this sheet (row " &amp;ROW(Inputs!D340) &amp;")"</f>
        <v xml:space="preserve"> =&gt; detailed input on this sheet (row 340)</v>
      </c>
      <c r="I245" s="875"/>
      <c r="J245" s="875"/>
      <c r="K245" s="881"/>
      <c r="L245" s="875"/>
      <c r="M245" s="877"/>
      <c r="N245" s="877"/>
      <c r="O245" s="877"/>
      <c r="P245" s="876"/>
      <c r="Q245" s="876"/>
      <c r="R245" s="876"/>
      <c r="S245" s="876"/>
      <c r="T245" s="876"/>
      <c r="U245" s="876"/>
      <c r="V245" s="876"/>
      <c r="W245" s="876"/>
      <c r="X245" s="876"/>
      <c r="Y245" s="876"/>
      <c r="Z245" s="876"/>
      <c r="AA245" s="876"/>
      <c r="AB245" s="876"/>
      <c r="AC245" s="876"/>
      <c r="AD245" s="876"/>
      <c r="AE245" s="876"/>
      <c r="AF245" s="876"/>
      <c r="AG245" s="876"/>
    </row>
    <row r="246" spans="1:33" s="878" customFormat="1" ht="18" customHeight="1" outlineLevel="2">
      <c r="A246" s="877"/>
      <c r="B246" s="877"/>
      <c r="C246" s="421" t="s">
        <v>1065</v>
      </c>
      <c r="D246" s="877"/>
      <c r="E246" s="422" t="str">
        <f>Currency_Label</f>
        <v>USD</v>
      </c>
      <c r="F246" s="879">
        <f>SUMIF(Timing!$J$10:$AG$10,F$238,$J341:$AG341)</f>
        <v>0</v>
      </c>
      <c r="G246" s="879">
        <f>SUMIF(Timing!$J$10:$AG$10,G$238,$J341:$AG341)</f>
        <v>-1000</v>
      </c>
      <c r="H246" s="881" t="str">
        <f>" =&gt; detailed input on this sheet (row " &amp;ROW(Inputs!D341) &amp;")"</f>
        <v xml:space="preserve"> =&gt; detailed input on this sheet (row 341)</v>
      </c>
      <c r="I246" s="875"/>
      <c r="J246" s="875"/>
      <c r="K246" s="881"/>
      <c r="L246" s="875"/>
      <c r="M246" s="877"/>
      <c r="N246" s="877"/>
      <c r="O246" s="877"/>
      <c r="P246" s="876"/>
      <c r="Q246" s="876"/>
      <c r="R246" s="876"/>
      <c r="S246" s="876"/>
      <c r="T246" s="876"/>
      <c r="U246" s="876"/>
      <c r="V246" s="876"/>
      <c r="W246" s="876"/>
      <c r="X246" s="876"/>
      <c r="Y246" s="876"/>
      <c r="Z246" s="876"/>
      <c r="AA246" s="876"/>
      <c r="AB246" s="876"/>
      <c r="AC246" s="876"/>
      <c r="AD246" s="876"/>
      <c r="AE246" s="876"/>
      <c r="AF246" s="876"/>
      <c r="AG246" s="876"/>
    </row>
    <row r="247" spans="1:33" s="799" customFormat="1" ht="18" customHeight="1" outlineLevel="2">
      <c r="A247" s="877"/>
      <c r="B247" s="877"/>
      <c r="C247" s="760" t="s">
        <v>341</v>
      </c>
      <c r="D247" s="877"/>
      <c r="E247" s="751"/>
      <c r="F247" s="877"/>
      <c r="G247" s="877"/>
      <c r="H247" s="875"/>
      <c r="I247" s="875"/>
      <c r="J247" s="875"/>
      <c r="K247" s="875"/>
      <c r="L247" s="875"/>
      <c r="M247" s="877"/>
      <c r="N247" s="877"/>
      <c r="O247" s="877"/>
      <c r="P247" s="288"/>
      <c r="Q247" s="288"/>
      <c r="R247" s="288"/>
      <c r="S247" s="288"/>
      <c r="T247" s="288"/>
      <c r="U247" s="876"/>
      <c r="V247" s="876"/>
      <c r="W247" s="876"/>
      <c r="X247" s="876"/>
      <c r="Y247" s="876"/>
      <c r="Z247" s="876"/>
      <c r="AA247" s="876"/>
      <c r="AB247" s="876"/>
      <c r="AC247" s="876"/>
      <c r="AD247" s="876"/>
      <c r="AE247" s="876"/>
      <c r="AF247" s="876"/>
      <c r="AG247" s="876"/>
    </row>
    <row r="248" spans="1:33" s="878" customFormat="1" ht="18" customHeight="1" outlineLevel="2">
      <c r="A248" s="877"/>
      <c r="B248" s="877"/>
      <c r="C248" s="421" t="s">
        <v>343</v>
      </c>
      <c r="D248" s="877"/>
      <c r="E248" s="422" t="str">
        <f>Currency_Label</f>
        <v>USD</v>
      </c>
      <c r="F248" s="879">
        <f>SUMIF(Timing!$J$10:$AG$10,F$238,$J346:$AG346)</f>
        <v>3500</v>
      </c>
      <c r="G248" s="879">
        <f>SUMIF(Timing!$J$10:$AG$10,G$238,$J346:$AG346)</f>
        <v>2750</v>
      </c>
      <c r="H248" s="881" t="str">
        <f>" =&gt; detailed input on this sheet (row " &amp;ROW(Inputs!D346) &amp;")"</f>
        <v xml:space="preserve"> =&gt; detailed input on this sheet (row 346)</v>
      </c>
      <c r="I248" s="875"/>
      <c r="J248" s="875"/>
      <c r="K248" s="881"/>
      <c r="L248" s="875"/>
      <c r="M248" s="877"/>
      <c r="N248" s="877"/>
      <c r="O248" s="877"/>
      <c r="P248" s="876"/>
      <c r="Q248" s="876"/>
      <c r="R248" s="876"/>
      <c r="S248" s="876"/>
      <c r="T248" s="876"/>
      <c r="U248" s="876"/>
      <c r="V248" s="876"/>
      <c r="W248" s="876"/>
      <c r="X248" s="876"/>
      <c r="Y248" s="876"/>
      <c r="Z248" s="876"/>
      <c r="AA248" s="876"/>
      <c r="AB248" s="876"/>
      <c r="AC248" s="876"/>
      <c r="AD248" s="876"/>
      <c r="AE248" s="876"/>
      <c r="AF248" s="876"/>
      <c r="AG248" s="876"/>
    </row>
    <row r="249" spans="1:33" s="878" customFormat="1" ht="18" customHeight="1" outlineLevel="2">
      <c r="A249" s="877"/>
      <c r="B249" s="877"/>
      <c r="C249" s="421" t="s">
        <v>344</v>
      </c>
      <c r="D249" s="877"/>
      <c r="E249" s="422" t="str">
        <f>Currency_Label</f>
        <v>USD</v>
      </c>
      <c r="F249" s="879">
        <f>SUMIF(Timing!$J$10:$AG$10,F$238,$J347:$AG347)</f>
        <v>-2000</v>
      </c>
      <c r="G249" s="879">
        <f>SUMIF(Timing!$J$10:$AG$10,G$238,$J347:$AG347)</f>
        <v>0</v>
      </c>
      <c r="H249" s="881" t="str">
        <f>" =&gt; detailed input on this sheet (row " &amp;ROW(Inputs!D347) &amp;")"</f>
        <v xml:space="preserve"> =&gt; detailed input on this sheet (row 347)</v>
      </c>
      <c r="I249" s="875"/>
      <c r="J249" s="875"/>
      <c r="K249" s="881"/>
      <c r="L249" s="875"/>
      <c r="M249" s="877"/>
      <c r="N249" s="877"/>
      <c r="O249" s="877"/>
      <c r="P249" s="876"/>
      <c r="Q249" s="876"/>
      <c r="R249" s="876"/>
      <c r="S249" s="876"/>
      <c r="T249" s="876"/>
      <c r="U249" s="876"/>
      <c r="V249" s="876"/>
      <c r="W249" s="876"/>
      <c r="X249" s="876"/>
      <c r="Y249" s="876"/>
      <c r="Z249" s="876"/>
      <c r="AA249" s="876"/>
      <c r="AB249" s="876"/>
      <c r="AC249" s="876"/>
      <c r="AD249" s="876"/>
      <c r="AE249" s="876"/>
      <c r="AF249" s="876"/>
      <c r="AG249" s="876"/>
    </row>
    <row r="250" spans="1:33" s="878" customFormat="1" ht="18" customHeight="1" outlineLevel="2">
      <c r="A250" s="877"/>
      <c r="B250" s="877"/>
      <c r="C250" s="760" t="s">
        <v>342</v>
      </c>
      <c r="D250" s="877"/>
      <c r="E250" s="751"/>
      <c r="F250" s="877"/>
      <c r="G250" s="877"/>
      <c r="H250" s="875"/>
      <c r="I250" s="875"/>
      <c r="J250" s="875"/>
      <c r="K250" s="875"/>
      <c r="L250" s="875"/>
      <c r="M250" s="877"/>
      <c r="N250" s="877"/>
      <c r="O250" s="877"/>
      <c r="P250" s="876"/>
      <c r="Q250" s="876"/>
      <c r="R250" s="876"/>
      <c r="S250" s="876"/>
      <c r="T250" s="876"/>
      <c r="U250" s="876"/>
      <c r="V250" s="876"/>
      <c r="W250" s="876"/>
      <c r="X250" s="876"/>
      <c r="Y250" s="876"/>
      <c r="Z250" s="876"/>
      <c r="AA250" s="876"/>
      <c r="AB250" s="876"/>
      <c r="AC250" s="876"/>
      <c r="AD250" s="876"/>
      <c r="AE250" s="876"/>
      <c r="AF250" s="876"/>
      <c r="AG250" s="876"/>
    </row>
    <row r="251" spans="1:33" s="878" customFormat="1" ht="18" customHeight="1" outlineLevel="2">
      <c r="A251" s="877"/>
      <c r="B251" s="877"/>
      <c r="C251" s="421" t="s">
        <v>343</v>
      </c>
      <c r="D251" s="877"/>
      <c r="E251" s="422" t="str">
        <f>Currency_Label</f>
        <v>USD</v>
      </c>
      <c r="F251" s="879">
        <f>SUMIF(Timing!$J$10:$AG$10,F$238,$J352:$AG352)</f>
        <v>0</v>
      </c>
      <c r="G251" s="879">
        <f>SUMIF(Timing!$J$10:$AG$10,G$238,$J352:$AG352)</f>
        <v>2750</v>
      </c>
      <c r="H251" s="881" t="str">
        <f>" =&gt; detailed input on this sheet (row " &amp;ROW(Inputs!D352) &amp;")"</f>
        <v xml:space="preserve"> =&gt; detailed input on this sheet (row 352)</v>
      </c>
      <c r="I251" s="875"/>
      <c r="J251" s="875"/>
      <c r="K251" s="881"/>
      <c r="L251" s="875"/>
      <c r="M251" s="877"/>
      <c r="N251" s="877"/>
      <c r="O251" s="877"/>
      <c r="P251" s="876"/>
      <c r="Q251" s="876"/>
      <c r="R251" s="876"/>
      <c r="S251" s="876"/>
      <c r="T251" s="876"/>
      <c r="U251" s="876"/>
      <c r="V251" s="876"/>
      <c r="W251" s="876"/>
      <c r="X251" s="876"/>
      <c r="Y251" s="876"/>
      <c r="Z251" s="876"/>
      <c r="AA251" s="876"/>
      <c r="AB251" s="876"/>
      <c r="AC251" s="876"/>
      <c r="AD251" s="876"/>
      <c r="AE251" s="876"/>
      <c r="AF251" s="876"/>
      <c r="AG251" s="876"/>
    </row>
    <row r="252" spans="1:33" s="878" customFormat="1" ht="18" customHeight="1" outlineLevel="2">
      <c r="A252" s="877"/>
      <c r="B252" s="877"/>
      <c r="C252" s="421" t="s">
        <v>344</v>
      </c>
      <c r="D252" s="877"/>
      <c r="E252" s="422" t="str">
        <f>Currency_Label</f>
        <v>USD</v>
      </c>
      <c r="F252" s="879">
        <f>SUMIF(Timing!$J$10:$AG$10,F$238,$J353:$AG353)</f>
        <v>0</v>
      </c>
      <c r="G252" s="879">
        <f>SUMIF(Timing!$J$10:$AG$10,G$238,$J353:$AG353)</f>
        <v>-500</v>
      </c>
      <c r="H252" s="881" t="str">
        <f>" =&gt; detailed input on this sheet (row " &amp;ROW(Inputs!D353) &amp;")"</f>
        <v xml:space="preserve"> =&gt; detailed input on this sheet (row 353)</v>
      </c>
      <c r="I252" s="875"/>
      <c r="J252" s="875"/>
      <c r="K252" s="881"/>
      <c r="L252" s="875"/>
      <c r="M252" s="877"/>
      <c r="N252" s="877"/>
      <c r="O252" s="877"/>
      <c r="P252" s="876"/>
      <c r="Q252" s="876"/>
      <c r="R252" s="876"/>
      <c r="S252" s="876"/>
      <c r="T252" s="876"/>
      <c r="U252" s="876"/>
      <c r="V252" s="876"/>
      <c r="W252" s="876"/>
      <c r="X252" s="876"/>
      <c r="Y252" s="876"/>
      <c r="Z252" s="876"/>
      <c r="AA252" s="876"/>
      <c r="AB252" s="876"/>
      <c r="AC252" s="876"/>
      <c r="AD252" s="876"/>
      <c r="AE252" s="876"/>
      <c r="AF252" s="876"/>
      <c r="AG252" s="876"/>
    </row>
    <row r="253" spans="1:33" s="878" customFormat="1" ht="18" customHeight="1" outlineLevel="2">
      <c r="A253" s="877"/>
      <c r="B253" s="877"/>
      <c r="C253" s="760" t="s">
        <v>330</v>
      </c>
      <c r="D253" s="877"/>
      <c r="E253" s="751"/>
      <c r="F253" s="877"/>
      <c r="G253" s="877"/>
      <c r="H253" s="875"/>
      <c r="I253" s="875"/>
      <c r="J253" s="875"/>
      <c r="K253" s="875"/>
      <c r="L253" s="875"/>
      <c r="M253" s="877"/>
      <c r="N253" s="877"/>
      <c r="O253" s="877"/>
      <c r="P253" s="876"/>
      <c r="Q253" s="876"/>
      <c r="R253" s="876"/>
      <c r="S253" s="876"/>
      <c r="T253" s="876"/>
      <c r="U253" s="876"/>
      <c r="V253" s="876"/>
      <c r="W253" s="876"/>
      <c r="X253" s="876"/>
      <c r="Y253" s="876"/>
      <c r="Z253" s="876"/>
      <c r="AA253" s="876"/>
      <c r="AB253" s="876"/>
      <c r="AC253" s="876"/>
      <c r="AD253" s="876"/>
      <c r="AE253" s="876"/>
      <c r="AF253" s="876"/>
      <c r="AG253" s="876"/>
    </row>
    <row r="254" spans="1:33" s="878" customFormat="1" ht="18" customHeight="1" outlineLevel="2">
      <c r="A254" s="877"/>
      <c r="B254" s="877"/>
      <c r="C254" s="421" t="str">
        <f>C358</f>
        <v>Payroll withholdings owed</v>
      </c>
      <c r="D254" s="877"/>
      <c r="E254" s="422" t="str">
        <f>Currency_Label</f>
        <v>USD</v>
      </c>
      <c r="F254" s="879">
        <f>SUMIF(Timing!$J$10:$AG$10,F$238,$J358:$AG358)</f>
        <v>0</v>
      </c>
      <c r="G254" s="879">
        <f>SUMIF(Timing!$J$10:$AG$10,G$238,$J358:$AG358)</f>
        <v>0</v>
      </c>
      <c r="H254" s="881" t="str">
        <f>" =&gt; detailed input on this sheet (row " &amp;ROW(Inputs!D358) &amp;")"</f>
        <v xml:space="preserve"> =&gt; detailed input on this sheet (row 358)</v>
      </c>
      <c r="I254" s="875"/>
      <c r="J254" s="875"/>
      <c r="K254" s="881"/>
      <c r="L254" s="875"/>
      <c r="M254" s="877"/>
      <c r="N254" s="877"/>
      <c r="O254" s="877"/>
      <c r="P254" s="876"/>
      <c r="Q254" s="876"/>
      <c r="R254" s="876"/>
      <c r="S254" s="876"/>
      <c r="T254" s="876"/>
      <c r="U254" s="876"/>
      <c r="V254" s="876"/>
      <c r="W254" s="876"/>
      <c r="X254" s="876"/>
      <c r="Y254" s="876"/>
      <c r="Z254" s="876"/>
      <c r="AA254" s="876"/>
      <c r="AB254" s="876"/>
      <c r="AC254" s="876"/>
      <c r="AD254" s="876"/>
      <c r="AE254" s="876"/>
      <c r="AF254" s="876"/>
      <c r="AG254" s="876"/>
    </row>
    <row r="255" spans="1:33" s="799" customFormat="1" ht="18" customHeight="1" outlineLevel="2">
      <c r="A255" s="877"/>
      <c r="B255" s="877"/>
      <c r="C255" s="186"/>
      <c r="D255" s="751"/>
      <c r="E255" s="877"/>
      <c r="F255" s="877"/>
      <c r="G255" s="877"/>
      <c r="H255" s="875"/>
      <c r="I255" s="875"/>
      <c r="J255" s="875"/>
      <c r="K255" s="875"/>
      <c r="L255" s="875"/>
      <c r="M255" s="877"/>
      <c r="N255" s="877"/>
      <c r="O255" s="877"/>
      <c r="P255" s="288"/>
      <c r="Q255" s="288"/>
      <c r="R255" s="288"/>
      <c r="S255" s="288"/>
      <c r="T255" s="288"/>
      <c r="U255" s="876"/>
      <c r="V255" s="876"/>
      <c r="W255" s="876"/>
      <c r="X255" s="876"/>
      <c r="Y255" s="876"/>
      <c r="Z255" s="876"/>
      <c r="AA255" s="876"/>
      <c r="AB255" s="876"/>
      <c r="AC255" s="876"/>
      <c r="AD255" s="876"/>
      <c r="AE255" s="876"/>
      <c r="AF255" s="876"/>
      <c r="AG255" s="876"/>
    </row>
    <row r="256" spans="1:33" s="199" customFormat="1" ht="20.25" outlineLevel="1">
      <c r="A256" s="877"/>
      <c r="B256" s="877"/>
      <c r="C256" s="378" t="s">
        <v>351</v>
      </c>
      <c r="D256" s="882"/>
      <c r="E256" s="877"/>
      <c r="F256" s="877"/>
      <c r="G256" s="883"/>
      <c r="H256" s="875"/>
      <c r="I256" s="875"/>
      <c r="J256" s="875"/>
      <c r="K256" s="875"/>
      <c r="L256" s="875"/>
      <c r="M256" s="877"/>
      <c r="N256" s="877"/>
      <c r="O256" s="877"/>
      <c r="P256" s="180"/>
      <c r="Q256" s="180"/>
      <c r="R256" s="180"/>
      <c r="S256" s="180"/>
      <c r="T256" s="180"/>
      <c r="U256" s="876"/>
      <c r="V256" s="876"/>
      <c r="W256" s="876"/>
      <c r="X256" s="876"/>
      <c r="Y256" s="876"/>
      <c r="Z256" s="876"/>
      <c r="AA256" s="876"/>
      <c r="AB256" s="876"/>
      <c r="AC256" s="876"/>
      <c r="AD256" s="876"/>
      <c r="AE256" s="876"/>
      <c r="AF256" s="876"/>
      <c r="AG256" s="876"/>
    </row>
    <row r="257" spans="1:33" s="199" customFormat="1" outlineLevel="2">
      <c r="A257" s="876"/>
      <c r="B257" s="180"/>
      <c r="C257" s="302"/>
      <c r="D257" s="180"/>
      <c r="E257" s="299" t="s">
        <v>651</v>
      </c>
      <c r="F257" s="722">
        <f>Startdatum-1</f>
        <v>43131</v>
      </c>
      <c r="G257" s="883"/>
      <c r="H257" s="877"/>
      <c r="I257" s="877"/>
      <c r="J257" s="877"/>
      <c r="K257" s="875"/>
      <c r="L257" s="288"/>
      <c r="M257" s="288"/>
      <c r="N257" s="288"/>
      <c r="O257" s="288"/>
      <c r="P257" s="288"/>
      <c r="Q257" s="180"/>
      <c r="R257" s="180"/>
      <c r="S257" s="180"/>
      <c r="T257" s="180"/>
      <c r="U257" s="876"/>
      <c r="V257" s="876"/>
      <c r="W257" s="876"/>
      <c r="X257" s="876"/>
      <c r="Y257" s="876"/>
      <c r="Z257" s="876"/>
      <c r="AA257" s="876"/>
      <c r="AB257" s="876"/>
      <c r="AC257" s="876"/>
      <c r="AD257" s="876"/>
      <c r="AE257" s="876"/>
      <c r="AF257" s="876"/>
      <c r="AG257" s="876"/>
    </row>
    <row r="258" spans="1:33" s="199" customFormat="1" ht="16.5" customHeight="1" outlineLevel="2">
      <c r="A258" s="876"/>
      <c r="B258" s="180"/>
      <c r="C258" s="286" t="s">
        <v>1020</v>
      </c>
      <c r="D258" s="180"/>
      <c r="E258" s="299"/>
      <c r="F258" s="725">
        <f>F259+F260+F264</f>
        <v>5000</v>
      </c>
      <c r="G258" s="884" t="s">
        <v>394</v>
      </c>
      <c r="H258" s="877"/>
      <c r="I258" s="877"/>
      <c r="J258" s="877"/>
      <c r="K258" s="301"/>
      <c r="L258" s="288"/>
      <c r="M258" s="288"/>
      <c r="N258" s="288"/>
      <c r="O258" s="288"/>
      <c r="P258" s="288"/>
      <c r="Q258" s="180"/>
      <c r="R258" s="288"/>
      <c r="S258" s="288"/>
      <c r="T258" s="876"/>
      <c r="U258" s="876"/>
      <c r="V258" s="876"/>
      <c r="W258" s="876"/>
      <c r="X258" s="876"/>
      <c r="Y258" s="876"/>
      <c r="Z258" s="876"/>
      <c r="AA258" s="876"/>
      <c r="AB258" s="876"/>
      <c r="AC258" s="876"/>
      <c r="AD258" s="876"/>
      <c r="AE258" s="876"/>
      <c r="AF258" s="876"/>
      <c r="AG258" s="876"/>
    </row>
    <row r="259" spans="1:33" s="199" customFormat="1" ht="16.5" customHeight="1" outlineLevel="2">
      <c r="A259" s="876"/>
      <c r="B259" s="180"/>
      <c r="C259" s="24" t="s">
        <v>316</v>
      </c>
      <c r="D259" s="180"/>
      <c r="E259" s="8" t="str">
        <f>Currency_Label</f>
        <v>USD</v>
      </c>
      <c r="F259" s="897">
        <v>0</v>
      </c>
      <c r="G259" s="881" t="str">
        <f>" =&gt; Amortisation can be defined on sheet Capex (row " &amp;ROW(Capex!E19) &amp;")"</f>
        <v xml:space="preserve"> =&gt; Amortisation can be defined on sheet Capex (row 19)</v>
      </c>
      <c r="H259" s="877"/>
      <c r="I259" s="877"/>
      <c r="J259" s="877"/>
      <c r="K259" s="301"/>
      <c r="L259" s="288"/>
      <c r="M259" s="288"/>
      <c r="N259" s="288"/>
      <c r="O259" s="288"/>
      <c r="P259" s="288"/>
      <c r="Q259" s="180"/>
      <c r="R259" s="288"/>
      <c r="S259" s="288"/>
      <c r="T259" s="876"/>
      <c r="U259" s="876"/>
      <c r="V259" s="876"/>
      <c r="W259" s="876"/>
      <c r="X259" s="876"/>
      <c r="Y259" s="876"/>
      <c r="Z259" s="876"/>
      <c r="AA259" s="876"/>
      <c r="AB259" s="876"/>
      <c r="AC259" s="876"/>
      <c r="AD259" s="876"/>
      <c r="AE259" s="876"/>
      <c r="AF259" s="876"/>
      <c r="AG259" s="876"/>
    </row>
    <row r="260" spans="1:33" s="199" customFormat="1" ht="16.5" customHeight="1" outlineLevel="2">
      <c r="A260" s="876"/>
      <c r="B260" s="180"/>
      <c r="C260" s="24" t="s">
        <v>317</v>
      </c>
      <c r="D260" s="180"/>
      <c r="E260" s="299"/>
      <c r="F260" s="725">
        <f>SUM(F261:F263)</f>
        <v>5000</v>
      </c>
      <c r="G260" s="885" t="s">
        <v>393</v>
      </c>
      <c r="H260" s="877"/>
      <c r="I260" s="877"/>
      <c r="J260" s="877"/>
      <c r="K260" s="180"/>
      <c r="L260" s="180"/>
      <c r="M260" s="180"/>
      <c r="N260" s="288"/>
      <c r="O260" s="180"/>
      <c r="P260" s="288"/>
      <c r="Q260" s="180"/>
      <c r="R260" s="288"/>
      <c r="S260" s="288"/>
      <c r="T260" s="876"/>
      <c r="U260" s="876"/>
      <c r="V260" s="876"/>
      <c r="W260" s="876"/>
      <c r="X260" s="876"/>
      <c r="Y260" s="876"/>
      <c r="Z260" s="876"/>
      <c r="AA260" s="876"/>
      <c r="AB260" s="876"/>
      <c r="AC260" s="876"/>
      <c r="AD260" s="876"/>
      <c r="AE260" s="876"/>
      <c r="AF260" s="876"/>
      <c r="AG260" s="876"/>
    </row>
    <row r="261" spans="1:33" s="632" customFormat="1" ht="16.5" customHeight="1" outlineLevel="2">
      <c r="A261" s="876"/>
      <c r="B261" s="288"/>
      <c r="C261" s="24" t="str">
        <f>"  - "&amp;Capex!$C$42</f>
        <v xml:space="preserve">  - Land and Buildings</v>
      </c>
      <c r="D261" s="288"/>
      <c r="E261" s="8" t="str">
        <f>Currency_Label</f>
        <v>USD</v>
      </c>
      <c r="F261" s="263">
        <v>0</v>
      </c>
      <c r="G261" s="881" t="str">
        <f>" =&gt; Depreciation can be defined on sheet Capex (row " &amp;ROW(Capex!E52) &amp;")"</f>
        <v xml:space="preserve"> =&gt; Depreciation can be defined on sheet Capex (row 52)</v>
      </c>
      <c r="H261" s="877"/>
      <c r="I261" s="877"/>
      <c r="J261" s="877"/>
      <c r="K261" s="288"/>
      <c r="L261" s="288"/>
      <c r="M261" s="288"/>
      <c r="N261" s="288"/>
      <c r="O261" s="288"/>
      <c r="P261" s="288"/>
      <c r="Q261" s="288"/>
      <c r="R261" s="876"/>
      <c r="S261" s="288"/>
      <c r="T261" s="876"/>
      <c r="U261" s="876"/>
      <c r="V261" s="876"/>
      <c r="W261" s="876"/>
      <c r="X261" s="876"/>
      <c r="Y261" s="876"/>
      <c r="Z261" s="876"/>
      <c r="AA261" s="876"/>
      <c r="AB261" s="876"/>
      <c r="AC261" s="876"/>
      <c r="AD261" s="876"/>
      <c r="AE261" s="876"/>
      <c r="AF261" s="876"/>
      <c r="AG261" s="876"/>
    </row>
    <row r="262" spans="1:33" s="632" customFormat="1" ht="16.5" customHeight="1" outlineLevel="2">
      <c r="A262" s="876"/>
      <c r="B262" s="288"/>
      <c r="C262" s="24" t="str">
        <f>"  - "&amp;Capex!$C$68</f>
        <v xml:space="preserve">  - Plant &amp; Machinery</v>
      </c>
      <c r="D262" s="288"/>
      <c r="E262" s="8" t="str">
        <f>Currency_Label</f>
        <v>USD</v>
      </c>
      <c r="F262" s="263">
        <v>5000</v>
      </c>
      <c r="G262" s="881" t="str">
        <f>" =&gt; Depreciation can be defined on sheet Capex (row " &amp;ROW(Capex!E78) &amp;")"</f>
        <v xml:space="preserve"> =&gt; Depreciation can be defined on sheet Capex (row 78)</v>
      </c>
      <c r="H262" s="877"/>
      <c r="I262" s="877"/>
      <c r="J262" s="877"/>
      <c r="K262" s="288"/>
      <c r="L262" s="288"/>
      <c r="M262" s="288"/>
      <c r="N262" s="288"/>
      <c r="O262" s="288"/>
      <c r="P262" s="288"/>
      <c r="Q262" s="288"/>
      <c r="R262" s="876"/>
      <c r="S262" s="288"/>
      <c r="T262" s="876"/>
      <c r="U262" s="876"/>
      <c r="V262" s="876"/>
      <c r="W262" s="876"/>
      <c r="X262" s="876"/>
      <c r="Y262" s="876"/>
      <c r="Z262" s="876"/>
      <c r="AA262" s="876"/>
      <c r="AB262" s="876"/>
      <c r="AC262" s="876"/>
      <c r="AD262" s="876"/>
      <c r="AE262" s="876"/>
      <c r="AF262" s="876"/>
      <c r="AG262" s="876"/>
    </row>
    <row r="263" spans="1:33" s="632" customFormat="1" ht="16.5" customHeight="1" outlineLevel="2">
      <c r="A263" s="876"/>
      <c r="B263" s="288"/>
      <c r="C263" s="24" t="str">
        <f>"  - "&amp;Capex!$C$94</f>
        <v xml:space="preserve">  - Vehicles</v>
      </c>
      <c r="D263" s="288"/>
      <c r="E263" s="8" t="str">
        <f>Currency_Label</f>
        <v>USD</v>
      </c>
      <c r="F263" s="263">
        <v>0</v>
      </c>
      <c r="G263" s="881" t="str">
        <f>" =&gt; Depreciation can be defined on sheet Capex (row " &amp;ROW(Capex!E104) &amp;")"</f>
        <v xml:space="preserve"> =&gt; Depreciation can be defined on sheet Capex (row 104)</v>
      </c>
      <c r="H263" s="877"/>
      <c r="I263" s="877"/>
      <c r="J263" s="877"/>
      <c r="K263" s="876"/>
      <c r="L263" s="288"/>
      <c r="M263" s="288"/>
      <c r="N263" s="288"/>
      <c r="O263" s="288"/>
      <c r="P263" s="288"/>
      <c r="Q263" s="288"/>
      <c r="R263" s="876"/>
      <c r="S263" s="288"/>
      <c r="T263" s="876"/>
      <c r="U263" s="876"/>
      <c r="V263" s="876"/>
      <c r="W263" s="876"/>
      <c r="X263" s="876"/>
      <c r="Y263" s="876"/>
      <c r="Z263" s="876"/>
      <c r="AA263" s="876"/>
      <c r="AB263" s="876"/>
      <c r="AC263" s="876"/>
      <c r="AD263" s="876"/>
      <c r="AE263" s="876"/>
      <c r="AF263" s="876"/>
      <c r="AG263" s="876"/>
    </row>
    <row r="264" spans="1:33" s="199" customFormat="1" ht="16.5" customHeight="1" outlineLevel="2">
      <c r="A264" s="876"/>
      <c r="B264" s="180"/>
      <c r="C264" s="24" t="s">
        <v>1021</v>
      </c>
      <c r="D264" s="180"/>
      <c r="E264" s="8" t="str">
        <f>Currency_Label</f>
        <v>USD</v>
      </c>
      <c r="F264" s="263">
        <v>0</v>
      </c>
      <c r="G264" s="881" t="str">
        <f>" =&gt; Depreciation can be defined on sheet Capex (row " &amp;ROW(Capex!E136) &amp;")"</f>
        <v xml:space="preserve"> =&gt; Depreciation can be defined on sheet Capex (row 136)</v>
      </c>
      <c r="H264" s="877"/>
      <c r="I264" s="877"/>
      <c r="J264" s="877"/>
      <c r="K264" s="180"/>
      <c r="L264" s="180"/>
      <c r="M264" s="180"/>
      <c r="N264" s="288"/>
      <c r="O264" s="180"/>
      <c r="P264" s="180"/>
      <c r="Q264" s="180"/>
      <c r="R264" s="876"/>
      <c r="S264" s="288"/>
      <c r="T264" s="876"/>
      <c r="U264" s="876"/>
      <c r="V264" s="876"/>
      <c r="W264" s="876"/>
      <c r="X264" s="876"/>
      <c r="Y264" s="876"/>
      <c r="Z264" s="876"/>
      <c r="AA264" s="876"/>
      <c r="AB264" s="876"/>
      <c r="AC264" s="876"/>
      <c r="AD264" s="876"/>
      <c r="AE264" s="876"/>
      <c r="AF264" s="876"/>
      <c r="AG264" s="876"/>
    </row>
    <row r="265" spans="1:33" s="680" customFormat="1" ht="16.5" customHeight="1" outlineLevel="2">
      <c r="A265" s="876"/>
      <c r="B265" s="288"/>
      <c r="C265" s="285"/>
      <c r="D265" s="288"/>
      <c r="E265" s="314"/>
      <c r="F265" s="285"/>
      <c r="G265" s="883"/>
      <c r="H265" s="877"/>
      <c r="I265" s="877"/>
      <c r="J265" s="877"/>
      <c r="K265" s="288"/>
      <c r="L265" s="288"/>
      <c r="M265" s="288"/>
      <c r="N265" s="288"/>
      <c r="O265" s="288"/>
      <c r="P265" s="876"/>
      <c r="Q265" s="876"/>
      <c r="R265" s="876"/>
      <c r="S265" s="288"/>
      <c r="T265" s="876"/>
      <c r="U265" s="876"/>
      <c r="V265" s="876"/>
      <c r="W265" s="876"/>
      <c r="X265" s="876"/>
      <c r="Y265" s="876"/>
      <c r="Z265" s="876"/>
      <c r="AA265" s="876"/>
      <c r="AB265" s="876"/>
      <c r="AC265" s="876"/>
      <c r="AD265" s="876"/>
      <c r="AE265" s="876"/>
      <c r="AF265" s="876"/>
      <c r="AG265" s="876"/>
    </row>
    <row r="266" spans="1:33" s="199" customFormat="1" ht="16.5" customHeight="1" outlineLevel="2">
      <c r="A266" s="876"/>
      <c r="B266" s="180"/>
      <c r="C266" s="286" t="s">
        <v>392</v>
      </c>
      <c r="D266" s="180"/>
      <c r="E266" s="299"/>
      <c r="F266" s="725">
        <f>SUM(F267:F269)</f>
        <v>7500</v>
      </c>
      <c r="G266" s="883"/>
      <c r="H266" s="877"/>
      <c r="I266" s="877"/>
      <c r="J266" s="877"/>
      <c r="K266" s="180"/>
      <c r="L266" s="180"/>
      <c r="M266" s="876"/>
      <c r="N266" s="876"/>
      <c r="O266" s="876"/>
      <c r="P266" s="876"/>
      <c r="Q266" s="180"/>
      <c r="R266" s="876"/>
      <c r="S266" s="288"/>
      <c r="T266" s="876"/>
      <c r="U266" s="876"/>
      <c r="V266" s="876"/>
      <c r="W266" s="876"/>
      <c r="X266" s="876"/>
      <c r="Y266" s="876"/>
      <c r="Z266" s="876"/>
      <c r="AA266" s="876"/>
      <c r="AB266" s="876"/>
      <c r="AC266" s="876"/>
      <c r="AD266" s="876"/>
      <c r="AE266" s="876"/>
      <c r="AF266" s="876"/>
      <c r="AG266" s="876"/>
    </row>
    <row r="267" spans="1:33" s="199" customFormat="1" ht="16.5" customHeight="1" outlineLevel="2">
      <c r="A267" s="876"/>
      <c r="B267" s="180"/>
      <c r="C267" s="36" t="str">
        <f>CHOOSE(language,"Stocks","Inventory")</f>
        <v>Inventory</v>
      </c>
      <c r="D267" s="180"/>
      <c r="E267" s="8" t="str">
        <f>Currency_Label</f>
        <v>USD</v>
      </c>
      <c r="F267" s="263">
        <v>2500</v>
      </c>
      <c r="G267" s="883"/>
      <c r="H267" s="877"/>
      <c r="I267" s="877"/>
      <c r="J267" s="877"/>
      <c r="K267" s="876"/>
      <c r="L267" s="876"/>
      <c r="M267" s="876"/>
      <c r="N267" s="876"/>
      <c r="O267" s="876"/>
      <c r="P267" s="876"/>
      <c r="Q267" s="288"/>
      <c r="R267" s="876"/>
      <c r="S267" s="288"/>
      <c r="T267" s="876"/>
      <c r="U267" s="876"/>
      <c r="V267" s="876"/>
      <c r="W267" s="876"/>
      <c r="X267" s="876"/>
      <c r="Y267" s="876"/>
      <c r="Z267" s="876"/>
      <c r="AA267" s="876"/>
      <c r="AB267" s="876"/>
      <c r="AC267" s="876"/>
      <c r="AD267" s="876"/>
      <c r="AE267" s="876"/>
      <c r="AF267" s="876"/>
      <c r="AG267" s="876"/>
    </row>
    <row r="268" spans="1:33" s="199" customFormat="1" ht="16.5" customHeight="1" outlineLevel="2">
      <c r="A268" s="876"/>
      <c r="B268" s="180"/>
      <c r="C268" s="36" t="str">
        <f>CHOOSE(language,"Trade Debtors","Accounts Receivables")</f>
        <v>Accounts Receivables</v>
      </c>
      <c r="D268" s="180"/>
      <c r="E268" s="8" t="str">
        <f>Currency_Label</f>
        <v>USD</v>
      </c>
      <c r="F268" s="263">
        <v>5000</v>
      </c>
      <c r="G268" s="883" t="s">
        <v>652</v>
      </c>
      <c r="H268" s="877"/>
      <c r="I268" s="877"/>
      <c r="J268" s="904">
        <v>6</v>
      </c>
      <c r="K268" s="301"/>
      <c r="L268" s="180"/>
      <c r="M268" s="876"/>
      <c r="N268" s="876"/>
      <c r="O268" s="876"/>
      <c r="P268" s="876"/>
      <c r="Q268" s="180"/>
      <c r="R268" s="876"/>
      <c r="S268" s="288"/>
      <c r="T268" s="876"/>
      <c r="U268" s="876"/>
      <c r="V268" s="876"/>
      <c r="W268" s="876"/>
      <c r="X268" s="876"/>
      <c r="Y268" s="876"/>
      <c r="Z268" s="876"/>
      <c r="AA268" s="876"/>
      <c r="AB268" s="876"/>
      <c r="AC268" s="876"/>
      <c r="AD268" s="876"/>
      <c r="AE268" s="876"/>
      <c r="AF268" s="876"/>
      <c r="AG268" s="876"/>
    </row>
    <row r="269" spans="1:33" s="199" customFormat="1" ht="16.5" customHeight="1" outlineLevel="2">
      <c r="A269" s="876"/>
      <c r="B269" s="180"/>
      <c r="C269" s="40" t="s">
        <v>315</v>
      </c>
      <c r="D269" s="180"/>
      <c r="E269" s="8" t="str">
        <f>Currency_Label</f>
        <v>USD</v>
      </c>
      <c r="F269" s="263">
        <v>0</v>
      </c>
      <c r="G269" s="883"/>
      <c r="H269" s="877"/>
      <c r="I269" s="877"/>
      <c r="J269" s="877"/>
      <c r="K269" s="301"/>
      <c r="L269" s="180"/>
      <c r="M269" s="876"/>
      <c r="N269" s="876"/>
      <c r="O269" s="876"/>
      <c r="P269" s="876"/>
      <c r="Q269" s="180"/>
      <c r="R269" s="876"/>
      <c r="S269" s="288"/>
      <c r="T269" s="876"/>
      <c r="U269" s="876"/>
      <c r="V269" s="876"/>
      <c r="W269" s="876"/>
      <c r="X269" s="876"/>
      <c r="Y269" s="876"/>
      <c r="Z269" s="876"/>
      <c r="AA269" s="876"/>
      <c r="AB269" s="876"/>
      <c r="AC269" s="876"/>
      <c r="AD269" s="876"/>
      <c r="AE269" s="876"/>
      <c r="AF269" s="876"/>
      <c r="AG269" s="876"/>
    </row>
    <row r="270" spans="1:33" s="199" customFormat="1" ht="16.5" customHeight="1" outlineLevel="2">
      <c r="A270" s="876"/>
      <c r="B270" s="180"/>
      <c r="C270" s="285"/>
      <c r="D270" s="180"/>
      <c r="E270" s="314"/>
      <c r="F270" s="285"/>
      <c r="G270" s="883"/>
      <c r="H270" s="877"/>
      <c r="I270" s="877"/>
      <c r="J270" s="877"/>
      <c r="K270" s="301"/>
      <c r="L270" s="180"/>
      <c r="M270" s="876"/>
      <c r="N270" s="876"/>
      <c r="O270" s="876"/>
      <c r="P270" s="876"/>
      <c r="Q270" s="180"/>
      <c r="R270" s="876"/>
      <c r="S270" s="288"/>
      <c r="T270" s="876"/>
      <c r="U270" s="876"/>
      <c r="V270" s="876"/>
      <c r="W270" s="876"/>
      <c r="X270" s="876"/>
      <c r="Y270" s="876"/>
      <c r="Z270" s="876"/>
      <c r="AA270" s="876"/>
      <c r="AB270" s="876"/>
      <c r="AC270" s="876"/>
      <c r="AD270" s="876"/>
      <c r="AE270" s="876"/>
      <c r="AF270" s="876"/>
      <c r="AG270" s="876"/>
    </row>
    <row r="271" spans="1:33" s="680" customFormat="1" ht="16.5" customHeight="1" outlineLevel="2">
      <c r="A271" s="876"/>
      <c r="B271" s="288"/>
      <c r="C271" s="286" t="s">
        <v>396</v>
      </c>
      <c r="D271" s="288"/>
      <c r="E271" s="299"/>
      <c r="F271" s="724">
        <f>SUM(F272:F275)</f>
        <v>6000</v>
      </c>
      <c r="G271" s="883"/>
      <c r="H271" s="877"/>
      <c r="I271" s="877"/>
      <c r="J271" s="877"/>
      <c r="K271" s="301"/>
      <c r="L271" s="288"/>
      <c r="M271" s="876"/>
      <c r="N271" s="876"/>
      <c r="O271" s="876"/>
      <c r="P271" s="876"/>
      <c r="Q271" s="180"/>
      <c r="R271" s="876"/>
      <c r="S271" s="288"/>
      <c r="T271" s="876"/>
      <c r="U271" s="876"/>
      <c r="V271" s="876"/>
      <c r="W271" s="876"/>
      <c r="X271" s="876"/>
      <c r="Y271" s="876"/>
      <c r="Z271" s="876"/>
      <c r="AA271" s="876"/>
      <c r="AB271" s="876"/>
      <c r="AC271" s="876"/>
      <c r="AD271" s="876"/>
      <c r="AE271" s="876"/>
      <c r="AF271" s="876"/>
      <c r="AG271" s="876"/>
    </row>
    <row r="272" spans="1:33" s="680" customFormat="1" ht="16.5" customHeight="1" outlineLevel="2">
      <c r="A272" s="876"/>
      <c r="B272" s="288"/>
      <c r="C272" s="40" t="s">
        <v>319</v>
      </c>
      <c r="D272" s="180"/>
      <c r="E272" s="8" t="str">
        <f>Currency_Label</f>
        <v>USD</v>
      </c>
      <c r="F272" s="263">
        <v>0</v>
      </c>
      <c r="G272" s="883"/>
      <c r="H272" s="877"/>
      <c r="I272" s="877"/>
      <c r="J272" s="877"/>
      <c r="K272" s="301"/>
      <c r="L272" s="288"/>
      <c r="M272" s="876"/>
      <c r="N272" s="876"/>
      <c r="O272" s="876"/>
      <c r="P272" s="876"/>
      <c r="Q272" s="180"/>
      <c r="R272" s="876"/>
      <c r="S272" s="288"/>
      <c r="T272" s="876"/>
      <c r="U272" s="876"/>
      <c r="V272" s="876"/>
      <c r="W272" s="876"/>
      <c r="X272" s="876"/>
      <c r="Y272" s="876"/>
      <c r="Z272" s="876"/>
      <c r="AA272" s="876"/>
      <c r="AB272" s="876"/>
      <c r="AC272" s="876"/>
      <c r="AD272" s="876"/>
      <c r="AE272" s="876"/>
      <c r="AF272" s="876"/>
      <c r="AG272" s="876"/>
    </row>
    <row r="273" spans="1:33" s="680" customFormat="1" ht="16.5" customHeight="1" outlineLevel="2">
      <c r="A273" s="876"/>
      <c r="B273" s="288"/>
      <c r="C273" s="36" t="str">
        <f>CHOOSE(language,"Trade Creditors","Accounts Payables")</f>
        <v>Accounts Payables</v>
      </c>
      <c r="D273" s="180"/>
      <c r="E273" s="8" t="str">
        <f>Currency_Label</f>
        <v>USD</v>
      </c>
      <c r="F273" s="263">
        <v>6000</v>
      </c>
      <c r="G273" s="883" t="s">
        <v>652</v>
      </c>
      <c r="H273" s="877"/>
      <c r="I273" s="877"/>
      <c r="J273" s="904">
        <v>2</v>
      </c>
      <c r="K273" s="301"/>
      <c r="L273" s="288"/>
      <c r="M273" s="876"/>
      <c r="N273" s="876"/>
      <c r="O273" s="876"/>
      <c r="P273" s="876"/>
      <c r="Q273" s="180"/>
      <c r="R273" s="876"/>
      <c r="S273" s="288"/>
      <c r="T273" s="876"/>
      <c r="U273" s="876"/>
      <c r="V273" s="876"/>
      <c r="W273" s="876"/>
      <c r="X273" s="876"/>
      <c r="Y273" s="876"/>
      <c r="Z273" s="876"/>
      <c r="AA273" s="876"/>
      <c r="AB273" s="876"/>
      <c r="AC273" s="876"/>
      <c r="AD273" s="876"/>
      <c r="AE273" s="876"/>
      <c r="AF273" s="876"/>
      <c r="AG273" s="876"/>
    </row>
    <row r="274" spans="1:33" s="680" customFormat="1" ht="16.5" customHeight="1" outlineLevel="2">
      <c r="A274" s="876"/>
      <c r="B274" s="288"/>
      <c r="C274" s="40" t="s">
        <v>338</v>
      </c>
      <c r="D274" s="180"/>
      <c r="E274" s="8" t="str">
        <f>Currency_Label</f>
        <v>USD</v>
      </c>
      <c r="F274" s="263">
        <v>0</v>
      </c>
      <c r="G274" s="881" t="str">
        <f>" =&gt; detailed input on this sheet (row " &amp;ROW(Inputs!C338) &amp;" et seq.)"</f>
        <v xml:space="preserve"> =&gt; detailed input on this sheet (row 338 et seq.)</v>
      </c>
      <c r="H274" s="877"/>
      <c r="I274" s="877"/>
      <c r="J274" s="877"/>
      <c r="K274" s="301"/>
      <c r="L274" s="288"/>
      <c r="M274" s="876"/>
      <c r="N274" s="876"/>
      <c r="O274" s="876"/>
      <c r="P274" s="876"/>
      <c r="Q274" s="180"/>
      <c r="R274" s="876"/>
      <c r="S274" s="288"/>
      <c r="T274" s="876"/>
      <c r="U274" s="876"/>
      <c r="V274" s="876"/>
      <c r="W274" s="876"/>
      <c r="X274" s="876"/>
      <c r="Y274" s="876"/>
      <c r="Z274" s="876"/>
      <c r="AA274" s="876"/>
      <c r="AB274" s="876"/>
      <c r="AC274" s="876"/>
      <c r="AD274" s="876"/>
      <c r="AE274" s="876"/>
      <c r="AF274" s="876"/>
      <c r="AG274" s="876"/>
    </row>
    <row r="275" spans="1:33" s="680" customFormat="1" ht="16.5" customHeight="1" outlineLevel="2">
      <c r="A275" s="876"/>
      <c r="B275" s="288"/>
      <c r="C275" s="40" t="str">
        <f>CHOOSE(language,"PAYE owed","Payroll withholdings owed")</f>
        <v>Payroll withholdings owed</v>
      </c>
      <c r="D275" s="288"/>
      <c r="E275" s="8" t="str">
        <f>Currency_Label</f>
        <v>USD</v>
      </c>
      <c r="F275" s="263">
        <v>0</v>
      </c>
      <c r="G275" s="881" t="str">
        <f>" =&gt; detailed input on this sheet (row " &amp;ROW(Inputs!C358) &amp;")"</f>
        <v xml:space="preserve"> =&gt; detailed input on this sheet (row 358)</v>
      </c>
      <c r="H275" s="877"/>
      <c r="I275" s="877"/>
      <c r="J275" s="877"/>
      <c r="K275" s="301"/>
      <c r="L275" s="288"/>
      <c r="M275" s="876"/>
      <c r="N275" s="876"/>
      <c r="O275" s="876"/>
      <c r="P275" s="876"/>
      <c r="Q275" s="180"/>
      <c r="R275" s="876"/>
      <c r="S275" s="288"/>
      <c r="T275" s="876"/>
      <c r="U275" s="876"/>
      <c r="V275" s="876"/>
      <c r="W275" s="876"/>
      <c r="X275" s="876"/>
      <c r="Y275" s="876"/>
      <c r="Z275" s="876"/>
      <c r="AA275" s="876"/>
      <c r="AB275" s="876"/>
      <c r="AC275" s="876"/>
      <c r="AD275" s="876"/>
      <c r="AE275" s="876"/>
      <c r="AF275" s="876"/>
      <c r="AG275" s="876"/>
    </row>
    <row r="276" spans="1:33" s="680" customFormat="1" ht="16.5" customHeight="1" outlineLevel="2">
      <c r="A276" s="876"/>
      <c r="B276" s="288"/>
      <c r="C276" s="285"/>
      <c r="D276" s="288"/>
      <c r="E276" s="314"/>
      <c r="F276" s="285"/>
      <c r="G276" s="883"/>
      <c r="H276" s="877"/>
      <c r="I276" s="877"/>
      <c r="J276" s="877"/>
      <c r="K276" s="301"/>
      <c r="L276" s="288"/>
      <c r="M276" s="876"/>
      <c r="N276" s="876"/>
      <c r="O276" s="876"/>
      <c r="P276" s="876"/>
      <c r="Q276" s="180"/>
      <c r="R276" s="876"/>
      <c r="S276" s="288"/>
      <c r="T276" s="876"/>
      <c r="U276" s="876"/>
      <c r="V276" s="876"/>
      <c r="W276" s="876"/>
      <c r="X276" s="876"/>
      <c r="Y276" s="876"/>
      <c r="Z276" s="876"/>
      <c r="AA276" s="876"/>
      <c r="AB276" s="876"/>
      <c r="AC276" s="876"/>
      <c r="AD276" s="876"/>
      <c r="AE276" s="876"/>
      <c r="AF276" s="876"/>
      <c r="AG276" s="876"/>
    </row>
    <row r="277" spans="1:33" s="680" customFormat="1" ht="16.5" customHeight="1" outlineLevel="2">
      <c r="A277" s="876"/>
      <c r="B277" s="288"/>
      <c r="C277" s="286" t="s">
        <v>321</v>
      </c>
      <c r="D277" s="288"/>
      <c r="E277" s="299"/>
      <c r="F277" s="311"/>
      <c r="G277" s="883"/>
      <c r="H277" s="877"/>
      <c r="I277" s="877"/>
      <c r="J277" s="877"/>
      <c r="K277" s="301"/>
      <c r="L277" s="288"/>
      <c r="M277" s="876"/>
      <c r="N277" s="876"/>
      <c r="O277" s="876"/>
      <c r="P277" s="876"/>
      <c r="Q277" s="180"/>
      <c r="R277" s="876"/>
      <c r="S277" s="288"/>
      <c r="T277" s="876"/>
      <c r="U277" s="876"/>
      <c r="V277" s="876"/>
      <c r="W277" s="876"/>
      <c r="X277" s="876"/>
      <c r="Y277" s="876"/>
      <c r="Z277" s="876"/>
      <c r="AA277" s="876"/>
      <c r="AB277" s="876"/>
      <c r="AC277" s="876"/>
      <c r="AD277" s="876"/>
      <c r="AE277" s="876"/>
      <c r="AF277" s="876"/>
      <c r="AG277" s="876"/>
    </row>
    <row r="278" spans="1:33" s="680" customFormat="1" ht="16.5" customHeight="1" outlineLevel="2">
      <c r="A278" s="876"/>
      <c r="B278" s="288"/>
      <c r="C278" s="40" t="s">
        <v>309</v>
      </c>
      <c r="D278" s="180"/>
      <c r="E278" s="8" t="str">
        <f>Currency_Label</f>
        <v>USD</v>
      </c>
      <c r="F278" s="263">
        <v>10000</v>
      </c>
      <c r="G278" s="881" t="str">
        <f>" =&gt; detailed input of principal repayments and interest on sheet Financing (rows " &amp;ROW(Financing!C144) &amp;" et seq.)"</f>
        <v xml:space="preserve"> =&gt; detailed input of principal repayments and interest on sheet Financing (rows 144 et seq.)</v>
      </c>
      <c r="H278" s="877"/>
      <c r="I278" s="877"/>
      <c r="J278" s="877"/>
      <c r="K278" s="301"/>
      <c r="L278" s="288"/>
      <c r="M278" s="876"/>
      <c r="N278" s="876"/>
      <c r="O278" s="876"/>
      <c r="P278" s="876"/>
      <c r="Q278" s="288"/>
      <c r="R278" s="876"/>
      <c r="S278" s="288"/>
      <c r="T278" s="876"/>
      <c r="U278" s="876"/>
      <c r="V278" s="876"/>
      <c r="W278" s="876"/>
      <c r="X278" s="876"/>
      <c r="Y278" s="876"/>
      <c r="Z278" s="876"/>
      <c r="AA278" s="876"/>
      <c r="AB278" s="876"/>
      <c r="AC278" s="876"/>
      <c r="AD278" s="876"/>
      <c r="AE278" s="876"/>
      <c r="AF278" s="876"/>
      <c r="AG278" s="876"/>
    </row>
    <row r="279" spans="1:33" s="680" customFormat="1" ht="11.25" customHeight="1" outlineLevel="2">
      <c r="A279" s="876"/>
      <c r="B279" s="288"/>
      <c r="C279" s="285"/>
      <c r="D279" s="288"/>
      <c r="E279" s="314"/>
      <c r="F279" s="285"/>
      <c r="G279" s="883"/>
      <c r="H279" s="877"/>
      <c r="I279" s="877"/>
      <c r="J279" s="877"/>
      <c r="K279" s="301"/>
      <c r="L279" s="288"/>
      <c r="M279" s="876"/>
      <c r="N279" s="876"/>
      <c r="O279" s="876"/>
      <c r="P279" s="876"/>
      <c r="Q279" s="288"/>
      <c r="R279" s="876"/>
      <c r="S279" s="288"/>
      <c r="T279" s="876"/>
      <c r="U279" s="876"/>
      <c r="V279" s="876"/>
      <c r="W279" s="876"/>
      <c r="X279" s="876"/>
      <c r="Y279" s="876"/>
      <c r="Z279" s="876"/>
      <c r="AA279" s="876"/>
      <c r="AB279" s="876"/>
      <c r="AC279" s="876"/>
      <c r="AD279" s="876"/>
      <c r="AE279" s="876"/>
      <c r="AF279" s="876"/>
      <c r="AG279" s="876"/>
    </row>
    <row r="280" spans="1:33" s="680" customFormat="1" ht="16.5" customHeight="1" outlineLevel="2">
      <c r="A280" s="876"/>
      <c r="B280" s="288"/>
      <c r="C280" s="312" t="s">
        <v>397</v>
      </c>
      <c r="D280" s="288"/>
      <c r="E280" s="8" t="str">
        <f>Currency_Label</f>
        <v>USD</v>
      </c>
      <c r="F280" s="726">
        <f>F258+F266-F271-F278</f>
        <v>-3500</v>
      </c>
      <c r="G280" s="883"/>
      <c r="H280" s="877"/>
      <c r="I280" s="877"/>
      <c r="J280" s="877"/>
      <c r="K280" s="301"/>
      <c r="L280" s="288"/>
      <c r="M280" s="288"/>
      <c r="N280" s="723"/>
      <c r="O280" s="288"/>
      <c r="P280" s="876"/>
      <c r="Q280" s="288"/>
      <c r="R280" s="288"/>
      <c r="S280" s="288"/>
      <c r="T280" s="876"/>
      <c r="U280" s="876"/>
      <c r="V280" s="876"/>
      <c r="W280" s="876"/>
      <c r="X280" s="876"/>
      <c r="Y280" s="876"/>
      <c r="Z280" s="876"/>
      <c r="AA280" s="876"/>
      <c r="AB280" s="876"/>
      <c r="AC280" s="876"/>
      <c r="AD280" s="876"/>
      <c r="AE280" s="876"/>
      <c r="AF280" s="876"/>
      <c r="AG280" s="876"/>
    </row>
    <row r="281" spans="1:33" s="680" customFormat="1" ht="11.25" customHeight="1" outlineLevel="2">
      <c r="A281" s="876"/>
      <c r="B281" s="288"/>
      <c r="C281" s="285"/>
      <c r="D281" s="288"/>
      <c r="E281" s="314"/>
      <c r="F281" s="285"/>
      <c r="G281" s="883"/>
      <c r="H281" s="877"/>
      <c r="I281" s="877"/>
      <c r="J281" s="877"/>
      <c r="K281" s="301"/>
      <c r="L281" s="301"/>
      <c r="M281" s="288"/>
      <c r="N281" s="288"/>
      <c r="O281" s="723"/>
      <c r="P281" s="876"/>
      <c r="Q281" s="288"/>
      <c r="R281" s="288"/>
      <c r="S281" s="288"/>
      <c r="T281" s="876"/>
      <c r="U281" s="876"/>
      <c r="V281" s="876"/>
      <c r="W281" s="876"/>
      <c r="X281" s="876"/>
      <c r="Y281" s="876"/>
      <c r="Z281" s="876"/>
      <c r="AA281" s="876"/>
      <c r="AB281" s="876"/>
      <c r="AC281" s="876"/>
      <c r="AD281" s="876"/>
      <c r="AE281" s="876"/>
      <c r="AF281" s="876"/>
      <c r="AG281" s="876"/>
    </row>
    <row r="282" spans="1:33" s="199" customFormat="1" ht="16.5" customHeight="1" outlineLevel="2">
      <c r="A282" s="876"/>
      <c r="B282" s="180"/>
      <c r="C282" s="286" t="s">
        <v>327</v>
      </c>
      <c r="D282" s="180"/>
      <c r="E282" s="299"/>
      <c r="F282" s="311"/>
      <c r="G282" s="883"/>
      <c r="H282" s="877"/>
      <c r="I282" s="877"/>
      <c r="J282" s="877"/>
      <c r="K282" s="301"/>
      <c r="L282" s="301"/>
      <c r="M282" s="180"/>
      <c r="N282" s="288"/>
      <c r="O282" s="705"/>
      <c r="P282" s="876"/>
      <c r="Q282" s="288"/>
      <c r="R282" s="180"/>
      <c r="S282" s="288"/>
      <c r="T282" s="876"/>
      <c r="U282" s="876"/>
      <c r="V282" s="876"/>
      <c r="W282" s="876"/>
      <c r="X282" s="876"/>
      <c r="Y282" s="876"/>
      <c r="Z282" s="876"/>
      <c r="AA282" s="876"/>
      <c r="AB282" s="876"/>
      <c r="AC282" s="876"/>
      <c r="AD282" s="876"/>
      <c r="AE282" s="876"/>
      <c r="AF282" s="876"/>
      <c r="AG282" s="876"/>
    </row>
    <row r="283" spans="1:33" s="199" customFormat="1" ht="16.5" customHeight="1" outlineLevel="2">
      <c r="A283" s="876"/>
      <c r="B283" s="180"/>
      <c r="C283" s="40" t="s">
        <v>591</v>
      </c>
      <c r="D283" s="180"/>
      <c r="E283" s="8" t="str">
        <f>Currency_Label</f>
        <v>USD</v>
      </c>
      <c r="F283" s="263">
        <v>20000</v>
      </c>
      <c r="G283" s="883"/>
      <c r="H283" s="877"/>
      <c r="I283" s="877"/>
      <c r="J283" s="877"/>
      <c r="K283" s="301"/>
      <c r="L283" s="301"/>
      <c r="M283" s="180"/>
      <c r="N283" s="288"/>
      <c r="O283" s="705"/>
      <c r="P283" s="876"/>
      <c r="Q283" s="288"/>
      <c r="R283" s="180"/>
      <c r="S283" s="288"/>
      <c r="T283" s="876"/>
      <c r="U283" s="876"/>
      <c r="V283" s="876"/>
      <c r="W283" s="876"/>
      <c r="X283" s="876"/>
      <c r="Y283" s="876"/>
      <c r="Z283" s="876"/>
      <c r="AA283" s="876"/>
      <c r="AB283" s="876"/>
      <c r="AC283" s="876"/>
      <c r="AD283" s="876"/>
      <c r="AE283" s="876"/>
      <c r="AF283" s="876"/>
      <c r="AG283" s="876"/>
    </row>
    <row r="284" spans="1:33" s="199" customFormat="1" ht="16.5" customHeight="1" outlineLevel="2">
      <c r="A284" s="876"/>
      <c r="B284" s="180"/>
      <c r="C284" s="680" t="s">
        <v>326</v>
      </c>
      <c r="D284" s="180"/>
      <c r="E284" s="8" t="str">
        <f>Currency_Label</f>
        <v>USD</v>
      </c>
      <c r="F284" s="263">
        <v>-23500</v>
      </c>
      <c r="G284" s="881" t="s">
        <v>453</v>
      </c>
      <c r="H284" s="877"/>
      <c r="I284" s="877"/>
      <c r="J284" s="877"/>
      <c r="K284" s="301"/>
      <c r="L284" s="301"/>
      <c r="M284" s="180"/>
      <c r="N284" s="288"/>
      <c r="O284" s="705"/>
      <c r="P284" s="288"/>
      <c r="Q284" s="288"/>
      <c r="R284" s="180"/>
      <c r="S284" s="288"/>
      <c r="T284" s="876"/>
      <c r="U284" s="876"/>
      <c r="V284" s="876"/>
      <c r="W284" s="876"/>
      <c r="X284" s="876"/>
      <c r="Y284" s="876"/>
      <c r="Z284" s="876"/>
      <c r="AA284" s="876"/>
      <c r="AB284" s="876"/>
      <c r="AC284" s="876"/>
      <c r="AD284" s="876"/>
      <c r="AE284" s="876"/>
      <c r="AF284" s="876"/>
      <c r="AG284" s="876"/>
    </row>
    <row r="285" spans="1:33" s="199" customFormat="1" ht="11.25" customHeight="1" outlineLevel="2">
      <c r="A285" s="876"/>
      <c r="B285" s="180"/>
      <c r="C285" s="286"/>
      <c r="D285" s="180"/>
      <c r="E285" s="314"/>
      <c r="F285" s="285"/>
      <c r="G285" s="883"/>
      <c r="H285" s="877"/>
      <c r="I285" s="877"/>
      <c r="J285" s="877"/>
      <c r="K285" s="301"/>
      <c r="L285" s="301"/>
      <c r="M285" s="180"/>
      <c r="N285" s="288"/>
      <c r="O285" s="705"/>
      <c r="P285" s="288"/>
      <c r="Q285" s="288"/>
      <c r="R285" s="180"/>
      <c r="S285" s="288"/>
      <c r="T285" s="876"/>
      <c r="U285" s="876"/>
      <c r="V285" s="876"/>
      <c r="W285" s="876"/>
      <c r="X285" s="876"/>
      <c r="Y285" s="876"/>
      <c r="Z285" s="876"/>
      <c r="AA285" s="876"/>
      <c r="AB285" s="876"/>
      <c r="AC285" s="876"/>
      <c r="AD285" s="876"/>
      <c r="AE285" s="876"/>
      <c r="AF285" s="876"/>
      <c r="AG285" s="876"/>
    </row>
    <row r="286" spans="1:33" s="680" customFormat="1" ht="16.5" customHeight="1" outlineLevel="2">
      <c r="A286" s="876"/>
      <c r="B286" s="288"/>
      <c r="C286" s="312" t="s">
        <v>327</v>
      </c>
      <c r="D286" s="288"/>
      <c r="E286" s="8" t="str">
        <f>Currency_Label</f>
        <v>USD</v>
      </c>
      <c r="F286" s="726">
        <f>SUM(F283:F284)</f>
        <v>-3500</v>
      </c>
      <c r="G286" s="883"/>
      <c r="H286" s="877"/>
      <c r="I286" s="877"/>
      <c r="J286" s="877"/>
      <c r="K286" s="301"/>
      <c r="L286" s="301"/>
      <c r="M286" s="288"/>
      <c r="N286" s="288"/>
      <c r="O286" s="705"/>
      <c r="P286" s="288"/>
      <c r="Q286" s="288"/>
      <c r="R286" s="288"/>
      <c r="S286" s="288"/>
      <c r="T286" s="876"/>
      <c r="U286" s="876"/>
      <c r="V286" s="876"/>
      <c r="W286" s="876"/>
      <c r="X286" s="876"/>
      <c r="Y286" s="876"/>
      <c r="Z286" s="876"/>
      <c r="AA286" s="876"/>
      <c r="AB286" s="876"/>
      <c r="AC286" s="876"/>
      <c r="AD286" s="876"/>
      <c r="AE286" s="876"/>
      <c r="AF286" s="876"/>
      <c r="AG286" s="876"/>
    </row>
    <row r="287" spans="1:33" s="199" customFormat="1" ht="16.5" customHeight="1" outlineLevel="2">
      <c r="A287" s="876"/>
      <c r="B287" s="180"/>
      <c r="C287" s="285" t="s">
        <v>730</v>
      </c>
      <c r="D287" s="180"/>
      <c r="E287" s="314"/>
      <c r="F287" s="626">
        <f>IF(ROUND(F280-F286,3)=0,0,1)</f>
        <v>0</v>
      </c>
      <c r="G287" s="886">
        <f>F280-F286</f>
        <v>0</v>
      </c>
      <c r="H287" s="648" t="s">
        <v>52</v>
      </c>
      <c r="I287" s="877"/>
      <c r="J287" s="877"/>
      <c r="K287" s="301"/>
      <c r="L287" s="301"/>
      <c r="M287" s="180"/>
      <c r="N287" s="288"/>
      <c r="O287" s="180"/>
      <c r="P287" s="180"/>
      <c r="Q287" s="180"/>
      <c r="R287" s="180"/>
      <c r="S287" s="180"/>
      <c r="T287" s="180"/>
      <c r="U287" s="876"/>
      <c r="V287" s="876"/>
      <c r="W287" s="876"/>
      <c r="X287" s="876"/>
      <c r="Y287" s="876"/>
      <c r="Z287" s="876"/>
      <c r="AA287" s="876"/>
      <c r="AB287" s="876"/>
      <c r="AC287" s="876"/>
      <c r="AD287" s="876"/>
      <c r="AE287" s="876"/>
      <c r="AF287" s="876"/>
      <c r="AG287" s="876"/>
    </row>
    <row r="288" spans="1:33" s="88" customFormat="1" outlineLevel="1">
      <c r="A288" s="876"/>
      <c r="B288" s="288"/>
      <c r="C288" s="285"/>
      <c r="D288" s="288"/>
      <c r="E288" s="300"/>
      <c r="F288" s="288"/>
      <c r="G288" s="877"/>
      <c r="H288" s="877"/>
      <c r="I288" s="877"/>
      <c r="J288" s="877"/>
      <c r="K288" s="301"/>
      <c r="L288" s="301"/>
      <c r="M288" s="288"/>
      <c r="N288" s="288"/>
      <c r="O288" s="180"/>
      <c r="P288" s="180"/>
      <c r="Q288" s="180"/>
      <c r="R288" s="180"/>
      <c r="S288" s="180"/>
      <c r="T288" s="180"/>
      <c r="U288" s="876"/>
      <c r="V288" s="876"/>
      <c r="W288" s="876"/>
      <c r="X288" s="876"/>
      <c r="Y288" s="876"/>
      <c r="Z288" s="876"/>
      <c r="AA288" s="876"/>
      <c r="AB288" s="876"/>
      <c r="AC288" s="876"/>
      <c r="AD288" s="876"/>
      <c r="AE288" s="876"/>
      <c r="AF288" s="876"/>
      <c r="AG288" s="876"/>
    </row>
    <row r="289" spans="1:33" s="87" customFormat="1">
      <c r="A289" s="876"/>
      <c r="B289" s="180"/>
      <c r="C289" s="285"/>
      <c r="D289" s="300"/>
      <c r="E289" s="180"/>
      <c r="F289" s="180"/>
      <c r="G289" s="180"/>
      <c r="H289" s="180"/>
      <c r="I289" s="180"/>
      <c r="J289" s="180"/>
      <c r="K289" s="180"/>
      <c r="L289" s="180"/>
      <c r="M289" s="180"/>
      <c r="N289" s="180"/>
      <c r="O289" s="180"/>
      <c r="P289" s="180"/>
      <c r="Q289" s="180"/>
      <c r="R289" s="180"/>
      <c r="S289" s="180"/>
      <c r="T289" s="180"/>
      <c r="U289" s="876"/>
      <c r="V289" s="876"/>
      <c r="W289" s="876"/>
      <c r="X289" s="876"/>
      <c r="Y289" s="876"/>
      <c r="Z289" s="876"/>
      <c r="AA289" s="876"/>
      <c r="AB289" s="876"/>
      <c r="AC289" s="876"/>
      <c r="AD289" s="876"/>
      <c r="AE289" s="876"/>
      <c r="AF289" s="876"/>
      <c r="AG289" s="876"/>
    </row>
    <row r="290" spans="1:33" s="72" customFormat="1" ht="24.75" customHeight="1" thickBot="1">
      <c r="A290" s="283"/>
      <c r="B290" s="283"/>
      <c r="C290" s="283" t="s">
        <v>119</v>
      </c>
      <c r="D290" s="284"/>
      <c r="E290" s="284"/>
      <c r="F290" s="284"/>
      <c r="G290" s="284"/>
      <c r="H290" s="284"/>
      <c r="I290" s="284"/>
      <c r="J290" s="284"/>
      <c r="K290" s="284"/>
      <c r="L290" s="284"/>
      <c r="M290" s="284"/>
      <c r="N290" s="284"/>
      <c r="O290" s="284"/>
      <c r="P290" s="876"/>
      <c r="Q290" s="876"/>
      <c r="R290" s="180"/>
      <c r="S290" s="180"/>
      <c r="T290" s="180"/>
      <c r="U290" s="876"/>
      <c r="V290" s="876"/>
      <c r="W290" s="876"/>
      <c r="X290" s="876"/>
      <c r="Y290" s="876"/>
      <c r="Z290" s="876"/>
      <c r="AA290" s="876"/>
      <c r="AB290" s="876"/>
      <c r="AC290" s="876"/>
      <c r="AD290" s="876"/>
      <c r="AE290" s="876"/>
      <c r="AF290" s="876"/>
      <c r="AG290" s="876"/>
    </row>
    <row r="291" spans="1:33" s="87" customFormat="1" ht="11.25" customHeight="1" outlineLevel="1">
      <c r="A291" s="876"/>
      <c r="B291" s="180"/>
      <c r="C291" s="293"/>
      <c r="D291" s="300"/>
      <c r="E291" s="180"/>
      <c r="F291" s="180"/>
      <c r="G291" s="180"/>
      <c r="H291" s="180"/>
      <c r="I291" s="180"/>
      <c r="J291" s="180"/>
      <c r="K291" s="180"/>
      <c r="L291" s="180"/>
      <c r="M291" s="180"/>
      <c r="N291" s="180"/>
      <c r="O291" s="180"/>
      <c r="P291" s="876"/>
      <c r="Q291" s="876"/>
      <c r="R291" s="180"/>
      <c r="S291" s="180"/>
      <c r="T291" s="180"/>
      <c r="U291" s="876"/>
      <c r="V291" s="876"/>
      <c r="W291" s="876"/>
      <c r="X291" s="876"/>
      <c r="Y291" s="876"/>
      <c r="Z291" s="876"/>
      <c r="AA291" s="876"/>
      <c r="AB291" s="876"/>
      <c r="AC291" s="876"/>
      <c r="AD291" s="876"/>
      <c r="AE291" s="876"/>
      <c r="AF291" s="876"/>
      <c r="AG291" s="876"/>
    </row>
    <row r="292" spans="1:33" s="87" customFormat="1" ht="15" customHeight="1" outlineLevel="2">
      <c r="A292" s="876"/>
      <c r="B292" s="180"/>
      <c r="C292" s="11" t="s">
        <v>118</v>
      </c>
      <c r="D292" s="300"/>
      <c r="E292" s="65" t="s">
        <v>123</v>
      </c>
      <c r="F292" s="65" t="s">
        <v>121</v>
      </c>
      <c r="G292" s="65" t="s">
        <v>115</v>
      </c>
      <c r="H292" s="65" t="s">
        <v>120</v>
      </c>
      <c r="I292" s="180"/>
      <c r="J292" s="180"/>
      <c r="K292" s="876"/>
      <c r="L292" s="876"/>
      <c r="M292" s="876"/>
      <c r="N292" s="876"/>
      <c r="O292" s="876"/>
      <c r="P292" s="876"/>
      <c r="Q292" s="876"/>
      <c r="R292" s="180"/>
      <c r="S292" s="180"/>
      <c r="T292" s="180"/>
      <c r="U292" s="876"/>
      <c r="V292" s="876"/>
      <c r="W292" s="876"/>
      <c r="X292" s="876"/>
      <c r="Y292" s="876"/>
      <c r="Z292" s="876"/>
      <c r="AA292" s="876"/>
      <c r="AB292" s="876"/>
      <c r="AC292" s="876"/>
      <c r="AD292" s="876"/>
      <c r="AE292" s="876"/>
      <c r="AF292" s="876"/>
      <c r="AG292" s="876"/>
    </row>
    <row r="293" spans="1:33" s="87" customFormat="1" ht="8.25" customHeight="1" outlineLevel="2">
      <c r="A293" s="876"/>
      <c r="B293" s="180"/>
      <c r="C293" s="285"/>
      <c r="D293" s="300"/>
      <c r="E293" s="180"/>
      <c r="F293" s="180"/>
      <c r="G293" s="180"/>
      <c r="H293" s="180"/>
      <c r="I293" s="876"/>
      <c r="J293" s="876"/>
      <c r="K293" s="876"/>
      <c r="L293" s="180"/>
      <c r="M293" s="180"/>
      <c r="N293" s="180"/>
      <c r="O293" s="180"/>
      <c r="P293" s="180"/>
      <c r="Q293" s="180"/>
      <c r="R293" s="180"/>
      <c r="S293" s="180"/>
      <c r="T293" s="180"/>
      <c r="U293" s="876"/>
      <c r="V293" s="876"/>
      <c r="W293" s="876"/>
      <c r="X293" s="876"/>
      <c r="Y293" s="876"/>
      <c r="Z293" s="876"/>
      <c r="AA293" s="876"/>
      <c r="AB293" s="876"/>
      <c r="AC293" s="876"/>
      <c r="AD293" s="876"/>
      <c r="AE293" s="876"/>
      <c r="AF293" s="876"/>
      <c r="AG293" s="876"/>
    </row>
    <row r="294" spans="1:33" s="87" customFormat="1" ht="16.5" customHeight="1" outlineLevel="2">
      <c r="A294" s="876"/>
      <c r="B294" s="180"/>
      <c r="C294" s="15" t="s">
        <v>536</v>
      </c>
      <c r="D294" s="300"/>
      <c r="E294" s="34" t="s">
        <v>122</v>
      </c>
      <c r="F294" s="70">
        <f ca="1">IFS!I194</f>
        <v>0</v>
      </c>
      <c r="G294" s="19">
        <v>1E-3</v>
      </c>
      <c r="H294" s="626">
        <f ca="1">IF(ABS(F294)&gt;G294,1,0)</f>
        <v>0</v>
      </c>
      <c r="I294" s="876"/>
      <c r="J294" s="876"/>
      <c r="K294" s="876"/>
      <c r="L294" s="180"/>
      <c r="M294" s="180"/>
      <c r="N294" s="180"/>
      <c r="O294" s="180"/>
      <c r="P294" s="180"/>
      <c r="Q294" s="180"/>
      <c r="R294" s="180"/>
      <c r="S294" s="180"/>
      <c r="T294" s="180"/>
      <c r="U294" s="876"/>
      <c r="V294" s="876"/>
      <c r="W294" s="876"/>
      <c r="X294" s="876"/>
      <c r="Y294" s="876"/>
      <c r="Z294" s="876"/>
      <c r="AA294" s="876"/>
      <c r="AB294" s="876"/>
      <c r="AC294" s="876"/>
      <c r="AD294" s="876"/>
      <c r="AE294" s="876"/>
      <c r="AF294" s="876"/>
      <c r="AG294" s="876"/>
    </row>
    <row r="295" spans="1:33" s="199" customFormat="1" ht="16.5" customHeight="1" outlineLevel="2">
      <c r="A295" s="876"/>
      <c r="B295" s="180"/>
      <c r="C295" s="15" t="s">
        <v>537</v>
      </c>
      <c r="D295" s="300"/>
      <c r="E295" s="34" t="s">
        <v>122</v>
      </c>
      <c r="F295" s="70">
        <f ca="1">'Summary 04'!I51</f>
        <v>0</v>
      </c>
      <c r="G295" s="19">
        <v>1E-3</v>
      </c>
      <c r="H295" s="626">
        <f ca="1">IF(ABS(F295)&gt;G295,1,0)</f>
        <v>0</v>
      </c>
      <c r="I295" s="876"/>
      <c r="J295" s="876"/>
      <c r="K295" s="876"/>
      <c r="L295" s="288"/>
      <c r="M295" s="180"/>
      <c r="N295" s="180"/>
      <c r="O295" s="180"/>
      <c r="P295" s="180"/>
      <c r="Q295" s="180"/>
      <c r="R295" s="180"/>
      <c r="S295" s="180"/>
      <c r="T295" s="180"/>
      <c r="U295" s="876"/>
      <c r="V295" s="876"/>
      <c r="W295" s="876"/>
      <c r="X295" s="876"/>
      <c r="Y295" s="876"/>
      <c r="Z295" s="876"/>
      <c r="AA295" s="876"/>
      <c r="AB295" s="876"/>
      <c r="AC295" s="876"/>
      <c r="AD295" s="876"/>
      <c r="AE295" s="876"/>
      <c r="AF295" s="876"/>
      <c r="AG295" s="876"/>
    </row>
    <row r="296" spans="1:33" s="199" customFormat="1" ht="16.5" customHeight="1" outlineLevel="2">
      <c r="A296" s="876"/>
      <c r="B296" s="180"/>
      <c r="C296" s="15" t="s">
        <v>538</v>
      </c>
      <c r="D296" s="300"/>
      <c r="E296" s="34" t="s">
        <v>122</v>
      </c>
      <c r="F296" s="70">
        <f ca="1">SUM('Summary 01'!J198:S198)</f>
        <v>0</v>
      </c>
      <c r="G296" s="19">
        <v>1E-3</v>
      </c>
      <c r="H296" s="626">
        <f ca="1">IF(ABS(F296)&gt;G296,1,0)</f>
        <v>0</v>
      </c>
      <c r="I296" s="876"/>
      <c r="J296" s="876"/>
      <c r="K296" s="876"/>
      <c r="L296" s="288"/>
      <c r="M296" s="180"/>
      <c r="N296" s="180"/>
      <c r="O296" s="180"/>
      <c r="P296" s="180"/>
      <c r="Q296" s="180"/>
      <c r="R296" s="180"/>
      <c r="S296" s="180"/>
      <c r="T296" s="180"/>
      <c r="U296" s="876"/>
      <c r="V296" s="876"/>
      <c r="W296" s="876"/>
      <c r="X296" s="876"/>
      <c r="Y296" s="876"/>
      <c r="Z296" s="876"/>
      <c r="AA296" s="876"/>
      <c r="AB296" s="876"/>
      <c r="AC296" s="876"/>
      <c r="AD296" s="876"/>
      <c r="AE296" s="876"/>
      <c r="AF296" s="876"/>
      <c r="AG296" s="876"/>
    </row>
    <row r="297" spans="1:33" s="199" customFormat="1" ht="16.5" customHeight="1" outlineLevel="2">
      <c r="A297" s="876"/>
      <c r="B297" s="180"/>
      <c r="C297" s="15" t="s">
        <v>539</v>
      </c>
      <c r="D297" s="300"/>
      <c r="E297" s="34" t="s">
        <v>122</v>
      </c>
      <c r="F297" s="70">
        <f>F287</f>
        <v>0</v>
      </c>
      <c r="G297" s="19">
        <v>1E-3</v>
      </c>
      <c r="H297" s="626">
        <f t="shared" ref="H297" si="12">IF(ABS(F297)&gt;G297,1,0)</f>
        <v>0</v>
      </c>
      <c r="I297" s="876"/>
      <c r="J297" s="876"/>
      <c r="K297" s="876"/>
      <c r="L297" s="180"/>
      <c r="M297" s="180"/>
      <c r="N297" s="180"/>
      <c r="O297" s="180"/>
      <c r="P297" s="180"/>
      <c r="Q297" s="180"/>
      <c r="R297" s="180"/>
      <c r="S297" s="180"/>
      <c r="T297" s="180"/>
      <c r="U297" s="876"/>
      <c r="V297" s="876"/>
      <c r="W297" s="876"/>
      <c r="X297" s="876"/>
      <c r="Y297" s="876"/>
      <c r="Z297" s="876"/>
      <c r="AA297" s="876"/>
      <c r="AB297" s="876"/>
      <c r="AC297" s="876"/>
      <c r="AD297" s="876"/>
      <c r="AE297" s="876"/>
      <c r="AF297" s="876"/>
      <c r="AG297" s="876"/>
    </row>
    <row r="298" spans="1:33" s="199" customFormat="1" ht="16.5" customHeight="1" outlineLevel="2">
      <c r="A298" s="180"/>
      <c r="B298" s="180"/>
      <c r="C298" s="15" t="s">
        <v>540</v>
      </c>
      <c r="D298" s="300"/>
      <c r="E298" s="34" t="s">
        <v>122</v>
      </c>
      <c r="F298" s="70">
        <f ca="1">'Summary 01'!J54</f>
        <v>0</v>
      </c>
      <c r="G298" s="19">
        <v>1E-3</v>
      </c>
      <c r="H298" s="626">
        <f t="shared" ref="H298:H311" ca="1" si="13">IF(ABS(F298)&gt;G298,1,0)</f>
        <v>0</v>
      </c>
      <c r="I298" s="876"/>
      <c r="J298" s="876"/>
      <c r="K298" s="876"/>
      <c r="L298" s="180"/>
      <c r="M298" s="180"/>
      <c r="N298" s="180"/>
      <c r="O298" s="180"/>
      <c r="P298" s="180"/>
      <c r="Q298" s="180"/>
      <c r="R298" s="180"/>
      <c r="S298" s="180"/>
      <c r="T298" s="180"/>
      <c r="U298" s="876"/>
      <c r="V298" s="876"/>
      <c r="W298" s="876"/>
      <c r="X298" s="876"/>
      <c r="Y298" s="876"/>
      <c r="Z298" s="876"/>
      <c r="AA298" s="876"/>
      <c r="AB298" s="876"/>
      <c r="AC298" s="876"/>
      <c r="AD298" s="876"/>
      <c r="AE298" s="876"/>
      <c r="AF298" s="876"/>
      <c r="AG298" s="876"/>
    </row>
    <row r="299" spans="1:33" s="87" customFormat="1" ht="16.5" customHeight="1" outlineLevel="2">
      <c r="A299" s="180"/>
      <c r="B299" s="180"/>
      <c r="C299" s="15" t="s">
        <v>929</v>
      </c>
      <c r="D299" s="300"/>
      <c r="E299" s="34" t="s">
        <v>122</v>
      </c>
      <c r="F299" s="70">
        <f ca="1">Financing!I77</f>
        <v>0</v>
      </c>
      <c r="G299" s="19">
        <v>1E-3</v>
      </c>
      <c r="H299" s="626">
        <f t="shared" ca="1" si="13"/>
        <v>0</v>
      </c>
      <c r="I299" s="876"/>
      <c r="J299" s="876"/>
      <c r="K299" s="876"/>
      <c r="L299" s="180"/>
      <c r="M299" s="180"/>
      <c r="N299" s="180"/>
      <c r="O299" s="180"/>
      <c r="P299" s="180"/>
      <c r="Q299" s="180"/>
      <c r="R299" s="180"/>
      <c r="S299" s="180"/>
      <c r="T299" s="180"/>
      <c r="U299" s="876"/>
      <c r="V299" s="876"/>
      <c r="W299" s="876"/>
      <c r="X299" s="876"/>
      <c r="Y299" s="876"/>
      <c r="Z299" s="876"/>
      <c r="AA299" s="876"/>
      <c r="AB299" s="876"/>
      <c r="AC299" s="876"/>
      <c r="AD299" s="876"/>
      <c r="AE299" s="876"/>
      <c r="AF299" s="876"/>
      <c r="AG299" s="876"/>
    </row>
    <row r="300" spans="1:33" s="87" customFormat="1" ht="16.5" customHeight="1" outlineLevel="2">
      <c r="A300" s="180"/>
      <c r="B300" s="180"/>
      <c r="C300" s="15" t="s">
        <v>541</v>
      </c>
      <c r="D300" s="300"/>
      <c r="E300" s="34" t="s">
        <v>122</v>
      </c>
      <c r="F300" s="70">
        <f ca="1">IFS!I148</f>
        <v>0</v>
      </c>
      <c r="G300" s="19">
        <v>1E-3</v>
      </c>
      <c r="H300" s="626">
        <f t="shared" ca="1" si="13"/>
        <v>0</v>
      </c>
      <c r="I300" s="876"/>
      <c r="J300" s="876"/>
      <c r="K300" s="876"/>
      <c r="L300" s="180"/>
      <c r="M300" s="180"/>
      <c r="N300" s="180"/>
      <c r="O300" s="180"/>
      <c r="P300" s="180"/>
      <c r="Q300" s="180"/>
      <c r="R300" s="180"/>
      <c r="S300" s="180"/>
      <c r="T300" s="180"/>
      <c r="U300" s="876"/>
      <c r="V300" s="876"/>
      <c r="W300" s="876"/>
      <c r="X300" s="876"/>
      <c r="Y300" s="876"/>
      <c r="Z300" s="876"/>
      <c r="AA300" s="876"/>
      <c r="AB300" s="876"/>
      <c r="AC300" s="876"/>
      <c r="AD300" s="876"/>
      <c r="AE300" s="876"/>
      <c r="AF300" s="876"/>
      <c r="AG300" s="876"/>
    </row>
    <row r="301" spans="1:33" s="199" customFormat="1" ht="16.5" customHeight="1" outlineLevel="2">
      <c r="A301" s="180"/>
      <c r="B301" s="180"/>
      <c r="C301" s="15" t="str">
        <f>CHOOSE(language,"Aggregation P&amp;L (Summary 02)","Aggregation Income Statement (Summary 02")</f>
        <v>Aggregation Income Statement (Summary 02</v>
      </c>
      <c r="D301" s="300"/>
      <c r="E301" s="34" t="s">
        <v>122</v>
      </c>
      <c r="F301" s="70">
        <f ca="1">'Summary 02'!I91</f>
        <v>0</v>
      </c>
      <c r="G301" s="19">
        <v>1E-3</v>
      </c>
      <c r="H301" s="626">
        <f t="shared" ca="1" si="13"/>
        <v>0</v>
      </c>
      <c r="I301" s="876"/>
      <c r="J301" s="876"/>
      <c r="K301" s="876"/>
      <c r="L301" s="180"/>
      <c r="M301" s="180"/>
      <c r="N301" s="180"/>
      <c r="O301" s="180"/>
      <c r="P301" s="180"/>
      <c r="Q301" s="180"/>
      <c r="R301" s="180"/>
      <c r="S301" s="180"/>
      <c r="T301" s="180"/>
      <c r="U301" s="876"/>
      <c r="V301" s="876"/>
      <c r="W301" s="876"/>
      <c r="X301" s="876"/>
      <c r="Y301" s="876"/>
      <c r="Z301" s="876"/>
      <c r="AA301" s="876"/>
      <c r="AB301" s="876"/>
      <c r="AC301" s="876"/>
      <c r="AD301" s="876"/>
      <c r="AE301" s="876"/>
      <c r="AF301" s="876"/>
      <c r="AG301" s="876"/>
    </row>
    <row r="302" spans="1:33" s="199" customFormat="1" ht="16.5" customHeight="1" outlineLevel="2">
      <c r="A302" s="180"/>
      <c r="B302" s="180"/>
      <c r="C302" s="15" t="s">
        <v>542</v>
      </c>
      <c r="D302" s="300"/>
      <c r="E302" s="34" t="s">
        <v>122</v>
      </c>
      <c r="F302" s="70">
        <f ca="1">'Summary 03'!I58</f>
        <v>0</v>
      </c>
      <c r="G302" s="19">
        <v>1E-3</v>
      </c>
      <c r="H302" s="626">
        <f t="shared" ca="1" si="13"/>
        <v>0</v>
      </c>
      <c r="I302" s="876"/>
      <c r="J302" s="876"/>
      <c r="K302" s="876"/>
      <c r="L302" s="180"/>
      <c r="M302" s="180"/>
      <c r="N302" s="180"/>
      <c r="O302" s="180"/>
      <c r="P302" s="180"/>
      <c r="Q302" s="180"/>
      <c r="R302" s="180"/>
      <c r="S302" s="180"/>
      <c r="T302" s="180"/>
      <c r="U302" s="876"/>
      <c r="V302" s="876"/>
      <c r="W302" s="876"/>
      <c r="X302" s="876"/>
      <c r="Y302" s="876"/>
      <c r="Z302" s="876"/>
      <c r="AA302" s="876"/>
      <c r="AB302" s="876"/>
      <c r="AC302" s="876"/>
      <c r="AD302" s="876"/>
      <c r="AE302" s="876"/>
      <c r="AF302" s="876"/>
      <c r="AG302" s="876"/>
    </row>
    <row r="303" spans="1:33" s="199" customFormat="1" ht="16.5" customHeight="1" outlineLevel="2">
      <c r="A303" s="180"/>
      <c r="B303" s="180"/>
      <c r="C303" s="15" t="s">
        <v>543</v>
      </c>
      <c r="D303" s="300"/>
      <c r="E303" s="34" t="s">
        <v>122</v>
      </c>
      <c r="F303" s="70">
        <f ca="1">'Summary 04'!I53</f>
        <v>0</v>
      </c>
      <c r="G303" s="19">
        <v>1E-3</v>
      </c>
      <c r="H303" s="626">
        <f t="shared" ca="1" si="13"/>
        <v>0</v>
      </c>
      <c r="I303" s="876"/>
      <c r="J303" s="876"/>
      <c r="K303" s="876"/>
      <c r="L303" s="180"/>
      <c r="M303" s="180"/>
      <c r="N303" s="180"/>
      <c r="O303" s="180"/>
      <c r="P303" s="180"/>
      <c r="Q303" s="180"/>
      <c r="R303" s="180"/>
      <c r="S303" s="180"/>
      <c r="T303" s="180"/>
      <c r="U303" s="876"/>
      <c r="V303" s="876"/>
      <c r="W303" s="876"/>
      <c r="X303" s="876"/>
      <c r="Y303" s="876"/>
      <c r="Z303" s="876"/>
      <c r="AA303" s="876"/>
      <c r="AB303" s="876"/>
      <c r="AC303" s="876"/>
      <c r="AD303" s="876"/>
      <c r="AE303" s="876"/>
      <c r="AF303" s="876"/>
      <c r="AG303" s="876"/>
    </row>
    <row r="304" spans="1:33" s="199" customFormat="1" ht="16.5" customHeight="1" outlineLevel="2">
      <c r="A304" s="180"/>
      <c r="B304" s="180"/>
      <c r="C304" s="15" t="str">
        <f>CHOOSE(language,"Aggregation P&amp;L (Summary 01)","Aggregation Income Statement (Summary 01")</f>
        <v>Aggregation Income Statement (Summary 01</v>
      </c>
      <c r="D304" s="300"/>
      <c r="E304" s="34" t="s">
        <v>122</v>
      </c>
      <c r="F304" s="70">
        <f ca="1">'Summary 01'!I85</f>
        <v>0</v>
      </c>
      <c r="G304" s="19">
        <v>1E-3</v>
      </c>
      <c r="H304" s="626">
        <f t="shared" ca="1" si="13"/>
        <v>0</v>
      </c>
      <c r="I304" s="876"/>
      <c r="J304" s="876"/>
      <c r="K304" s="876"/>
      <c r="L304" s="180"/>
      <c r="M304" s="180"/>
      <c r="N304" s="180"/>
      <c r="O304" s="180"/>
      <c r="P304" s="180"/>
      <c r="Q304" s="180"/>
      <c r="R304" s="180"/>
      <c r="S304" s="180"/>
      <c r="T304" s="180"/>
      <c r="U304" s="876"/>
      <c r="V304" s="876"/>
      <c r="W304" s="876"/>
      <c r="X304" s="876"/>
      <c r="Y304" s="876"/>
      <c r="Z304" s="876"/>
      <c r="AA304" s="876"/>
      <c r="AB304" s="876"/>
      <c r="AC304" s="876"/>
      <c r="AD304" s="876"/>
      <c r="AE304" s="876"/>
      <c r="AF304" s="876"/>
      <c r="AG304" s="876"/>
    </row>
    <row r="305" spans="1:33" s="199" customFormat="1" ht="16.5" customHeight="1" outlineLevel="2">
      <c r="A305" s="180"/>
      <c r="B305" s="180"/>
      <c r="C305" s="15" t="s">
        <v>544</v>
      </c>
      <c r="D305" s="300"/>
      <c r="E305" s="34" t="s">
        <v>122</v>
      </c>
      <c r="F305" s="70">
        <f ca="1">'Summary 01'!I174</f>
        <v>0</v>
      </c>
      <c r="G305" s="19">
        <v>1E-3</v>
      </c>
      <c r="H305" s="626">
        <f t="shared" ca="1" si="13"/>
        <v>0</v>
      </c>
      <c r="I305" s="876"/>
      <c r="J305" s="876"/>
      <c r="K305" s="876"/>
      <c r="L305" s="180"/>
      <c r="M305" s="180"/>
      <c r="N305" s="180"/>
      <c r="O305" s="180"/>
      <c r="P305" s="180"/>
      <c r="Q305" s="180"/>
      <c r="R305" s="180"/>
      <c r="S305" s="180"/>
      <c r="T305" s="180"/>
      <c r="U305" s="876"/>
      <c r="V305" s="876"/>
      <c r="W305" s="876"/>
      <c r="X305" s="876"/>
      <c r="Y305" s="876"/>
      <c r="Z305" s="876"/>
      <c r="AA305" s="876"/>
      <c r="AB305" s="876"/>
      <c r="AC305" s="876"/>
      <c r="AD305" s="876"/>
      <c r="AE305" s="876"/>
      <c r="AF305" s="876"/>
      <c r="AG305" s="876"/>
    </row>
    <row r="306" spans="1:33" s="115" customFormat="1" ht="16.5" customHeight="1" outlineLevel="2">
      <c r="A306" s="180"/>
      <c r="B306" s="180"/>
      <c r="C306" s="15" t="str">
        <f>"Check: " &amp;Name_VAT</f>
        <v>Check: VAT</v>
      </c>
      <c r="D306" s="300"/>
      <c r="E306" s="34" t="s">
        <v>122</v>
      </c>
      <c r="F306" s="70">
        <f ca="1">Taxes!H23</f>
        <v>0</v>
      </c>
      <c r="G306" s="19">
        <v>1E-3</v>
      </c>
      <c r="H306" s="626">
        <f t="shared" ca="1" si="13"/>
        <v>0</v>
      </c>
      <c r="I306" s="876"/>
      <c r="J306" s="876"/>
      <c r="K306" s="876"/>
      <c r="L306" s="180"/>
      <c r="M306" s="180"/>
      <c r="N306" s="180"/>
      <c r="O306" s="180"/>
      <c r="P306" s="180"/>
      <c r="Q306" s="180"/>
      <c r="R306" s="180"/>
      <c r="S306" s="180"/>
      <c r="T306" s="180"/>
      <c r="U306" s="876"/>
      <c r="V306" s="876"/>
      <c r="W306" s="876"/>
      <c r="X306" s="876"/>
      <c r="Y306" s="876"/>
      <c r="Z306" s="876"/>
      <c r="AA306" s="876"/>
      <c r="AB306" s="876"/>
      <c r="AC306" s="876"/>
      <c r="AD306" s="876"/>
      <c r="AE306" s="876"/>
      <c r="AF306" s="876"/>
      <c r="AG306" s="876"/>
    </row>
    <row r="307" spans="1:33" s="199" customFormat="1" ht="16.5" customHeight="1" outlineLevel="2">
      <c r="A307" s="180"/>
      <c r="B307" s="180"/>
      <c r="C307" s="15" t="str">
        <f>IFS!$C$181 &amp;" - Principal payments ≤ Debt facility?"</f>
        <v>Debt Facilities (at model start) - Principal payments ≤ Debt facility?</v>
      </c>
      <c r="D307" s="300"/>
      <c r="E307" s="34" t="s">
        <v>122</v>
      </c>
      <c r="F307" s="70">
        <f>IFS!D181</f>
        <v>0</v>
      </c>
      <c r="G307" s="19">
        <v>1E-3</v>
      </c>
      <c r="H307" s="626">
        <f t="shared" si="13"/>
        <v>0</v>
      </c>
      <c r="I307" s="876"/>
      <c r="J307" s="876"/>
      <c r="K307" s="876"/>
      <c r="L307" s="180"/>
      <c r="M307" s="180"/>
      <c r="N307" s="180"/>
      <c r="O307" s="180"/>
      <c r="P307" s="180"/>
      <c r="Q307" s="180"/>
      <c r="R307" s="180"/>
      <c r="S307" s="180"/>
      <c r="T307" s="180"/>
      <c r="U307" s="876"/>
      <c r="V307" s="876"/>
      <c r="W307" s="876"/>
      <c r="X307" s="876"/>
      <c r="Y307" s="876"/>
      <c r="Z307" s="876"/>
      <c r="AA307" s="876"/>
      <c r="AB307" s="876"/>
      <c r="AC307" s="876"/>
      <c r="AD307" s="876"/>
      <c r="AE307" s="876"/>
      <c r="AF307" s="876"/>
      <c r="AG307" s="876"/>
    </row>
    <row r="308" spans="1:33" s="128" customFormat="1" ht="16.5" customHeight="1" outlineLevel="2">
      <c r="A308" s="180"/>
      <c r="B308" s="180"/>
      <c r="C308" s="15" t="str">
        <f>IFS!$C$182 &amp;" - Repayment ≤ Debt ?"</f>
        <v>Debt 1: EasyCredit - Repayment ≤ Debt ?</v>
      </c>
      <c r="D308" s="300"/>
      <c r="E308" s="34" t="s">
        <v>122</v>
      </c>
      <c r="F308" s="70">
        <f ca="1">IFS!D182</f>
        <v>0</v>
      </c>
      <c r="G308" s="19">
        <v>1E-3</v>
      </c>
      <c r="H308" s="626">
        <f t="shared" ca="1" si="13"/>
        <v>0</v>
      </c>
      <c r="I308" s="876"/>
      <c r="J308" s="876"/>
      <c r="K308" s="876"/>
      <c r="L308" s="180"/>
      <c r="M308" s="180"/>
      <c r="N308" s="180"/>
      <c r="O308" s="180"/>
      <c r="P308" s="180"/>
      <c r="Q308" s="180"/>
      <c r="R308" s="180"/>
      <c r="S308" s="180"/>
      <c r="T308" s="180"/>
      <c r="U308" s="876"/>
      <c r="V308" s="876"/>
      <c r="W308" s="876"/>
      <c r="X308" s="876"/>
      <c r="Y308" s="876"/>
      <c r="Z308" s="876"/>
      <c r="AA308" s="876"/>
      <c r="AB308" s="876"/>
      <c r="AC308" s="876"/>
      <c r="AD308" s="876"/>
      <c r="AE308" s="876"/>
      <c r="AF308" s="876"/>
      <c r="AG308" s="876"/>
    </row>
    <row r="309" spans="1:33" s="128" customFormat="1" ht="16.5" customHeight="1" outlineLevel="2">
      <c r="A309" s="180"/>
      <c r="B309" s="180"/>
      <c r="C309" s="15" t="str">
        <f>IFS!$C$183 &amp;" - Tilgung ≤ Darlehensbetrag ?"</f>
        <v>Debt 2: URB Bank - Tilgung ≤ Darlehensbetrag ?</v>
      </c>
      <c r="D309" s="300"/>
      <c r="E309" s="34" t="s">
        <v>122</v>
      </c>
      <c r="F309" s="70">
        <f>IFS!D183</f>
        <v>0</v>
      </c>
      <c r="G309" s="19">
        <v>1E-3</v>
      </c>
      <c r="H309" s="626">
        <f t="shared" si="13"/>
        <v>0</v>
      </c>
      <c r="I309" s="876"/>
      <c r="J309" s="876"/>
      <c r="K309" s="876"/>
      <c r="L309" s="180"/>
      <c r="M309" s="180"/>
      <c r="N309" s="180"/>
      <c r="O309" s="180"/>
      <c r="P309" s="180"/>
      <c r="Q309" s="180"/>
      <c r="R309" s="180"/>
      <c r="S309" s="180"/>
      <c r="T309" s="180"/>
      <c r="U309" s="876"/>
      <c r="V309" s="876"/>
      <c r="W309" s="876"/>
      <c r="X309" s="876"/>
      <c r="Y309" s="876"/>
      <c r="Z309" s="876"/>
      <c r="AA309" s="876"/>
      <c r="AB309" s="876"/>
      <c r="AC309" s="876"/>
      <c r="AD309" s="876"/>
      <c r="AE309" s="876"/>
      <c r="AF309" s="876"/>
      <c r="AG309" s="876"/>
    </row>
    <row r="310" spans="1:33" s="128" customFormat="1" ht="16.5" customHeight="1" outlineLevel="2">
      <c r="A310" s="180"/>
      <c r="B310" s="180"/>
      <c r="C310" s="15" t="str">
        <f>IFS!$C$184 &amp;" - Tilgung ≤ Darlehensbetrag ?"</f>
        <v>Debt 3: FounderBank - Tilgung ≤ Darlehensbetrag ?</v>
      </c>
      <c r="D310" s="300"/>
      <c r="E310" s="34" t="s">
        <v>122</v>
      </c>
      <c r="F310" s="70">
        <f>IFS!D184</f>
        <v>0</v>
      </c>
      <c r="G310" s="19">
        <v>1E-3</v>
      </c>
      <c r="H310" s="626">
        <f t="shared" si="13"/>
        <v>0</v>
      </c>
      <c r="I310" s="876"/>
      <c r="J310" s="876"/>
      <c r="K310" s="876"/>
      <c r="L310" s="180"/>
      <c r="M310" s="180"/>
      <c r="N310" s="180"/>
      <c r="O310" s="180"/>
      <c r="P310" s="180"/>
      <c r="Q310" s="180"/>
      <c r="R310" s="180"/>
      <c r="S310" s="180"/>
      <c r="T310" s="180"/>
      <c r="U310" s="876"/>
      <c r="V310" s="876"/>
      <c r="W310" s="876"/>
      <c r="X310" s="876"/>
      <c r="Y310" s="876"/>
      <c r="Z310" s="876"/>
      <c r="AA310" s="876"/>
      <c r="AB310" s="876"/>
      <c r="AC310" s="876"/>
      <c r="AD310" s="876"/>
      <c r="AE310" s="876"/>
      <c r="AF310" s="876"/>
      <c r="AG310" s="876"/>
    </row>
    <row r="311" spans="1:33" s="128" customFormat="1" ht="16.5" customHeight="1" outlineLevel="2">
      <c r="A311" s="876"/>
      <c r="B311" s="180"/>
      <c r="C311" s="15" t="str">
        <f>IFS!$C$185 &amp;" - Tilgung ≤ Darlehensbetrag ?"</f>
        <v>Debt 4: Shareholder Loan - Tilgung ≤ Darlehensbetrag ?</v>
      </c>
      <c r="D311" s="300"/>
      <c r="E311" s="34" t="s">
        <v>122</v>
      </c>
      <c r="F311" s="70">
        <f>IFS!D185</f>
        <v>0</v>
      </c>
      <c r="G311" s="19">
        <v>1E-3</v>
      </c>
      <c r="H311" s="626">
        <f t="shared" si="13"/>
        <v>0</v>
      </c>
      <c r="I311" s="876"/>
      <c r="J311" s="876"/>
      <c r="K311" s="876"/>
      <c r="L311" s="180"/>
      <c r="M311" s="180"/>
      <c r="N311" s="180"/>
      <c r="O311" s="180"/>
      <c r="P311" s="180"/>
      <c r="Q311" s="180"/>
      <c r="R311" s="180"/>
      <c r="S311" s="180"/>
      <c r="T311" s="180"/>
      <c r="U311" s="876"/>
      <c r="V311" s="876"/>
      <c r="W311" s="876"/>
      <c r="X311" s="876"/>
      <c r="Y311" s="876"/>
      <c r="Z311" s="876"/>
      <c r="AA311" s="876"/>
      <c r="AB311" s="876"/>
      <c r="AC311" s="876"/>
      <c r="AD311" s="876"/>
      <c r="AE311" s="876"/>
      <c r="AF311" s="876"/>
      <c r="AG311" s="876"/>
    </row>
    <row r="312" spans="1:33" s="199" customFormat="1" ht="16.5" customHeight="1" outlineLevel="2">
      <c r="A312" s="876"/>
      <c r="B312" s="180"/>
      <c r="C312" s="15" t="s">
        <v>643</v>
      </c>
      <c r="D312" s="300"/>
      <c r="E312" s="34" t="s">
        <v>122</v>
      </c>
      <c r="F312" s="70">
        <f>F192</f>
        <v>0</v>
      </c>
      <c r="G312" s="19">
        <v>1E-3</v>
      </c>
      <c r="H312" s="626">
        <f t="shared" ref="H312" si="14">IF(ABS(F312)&gt;G312,1,0)</f>
        <v>0</v>
      </c>
      <c r="I312" s="876"/>
      <c r="J312" s="876"/>
      <c r="K312" s="876"/>
      <c r="L312" s="180"/>
      <c r="M312" s="180"/>
      <c r="N312" s="180"/>
      <c r="O312" s="180"/>
      <c r="P312" s="180"/>
      <c r="Q312" s="180"/>
      <c r="R312" s="180"/>
      <c r="S312" s="180"/>
      <c r="T312" s="180"/>
      <c r="U312" s="876"/>
      <c r="V312" s="876"/>
      <c r="W312" s="876"/>
      <c r="X312" s="876"/>
      <c r="Y312" s="876"/>
      <c r="Z312" s="876"/>
      <c r="AA312" s="876"/>
      <c r="AB312" s="876"/>
      <c r="AC312" s="876"/>
      <c r="AD312" s="876"/>
      <c r="AE312" s="876"/>
      <c r="AF312" s="876"/>
      <c r="AG312" s="876"/>
    </row>
    <row r="313" spans="1:33" s="199" customFormat="1" ht="16.5" customHeight="1" outlineLevel="2">
      <c r="A313" s="876"/>
      <c r="B313" s="180"/>
      <c r="C313" s="801" t="s">
        <v>552</v>
      </c>
      <c r="D313" s="300"/>
      <c r="E313" s="34" t="s">
        <v>122</v>
      </c>
      <c r="F313" s="70">
        <f>FK_28</f>
        <v>0</v>
      </c>
      <c r="G313" s="19">
        <v>1E-3</v>
      </c>
      <c r="H313" s="626">
        <f t="shared" ref="H313:H319" si="15">IF(ABS(F313)&gt;G313,1,0)</f>
        <v>0</v>
      </c>
      <c r="I313" s="876"/>
      <c r="J313" s="876"/>
      <c r="K313" s="876"/>
      <c r="L313" s="180"/>
      <c r="M313" s="180"/>
      <c r="N313" s="180"/>
      <c r="O313" s="180"/>
      <c r="P313" s="180"/>
      <c r="Q313" s="180"/>
      <c r="R313" s="180"/>
      <c r="S313" s="180"/>
      <c r="T313" s="180"/>
      <c r="U313" s="876"/>
      <c r="V313" s="876"/>
      <c r="W313" s="876"/>
      <c r="X313" s="876"/>
      <c r="Y313" s="876"/>
      <c r="Z313" s="876"/>
      <c r="AA313" s="876"/>
      <c r="AB313" s="876"/>
      <c r="AC313" s="876"/>
      <c r="AD313" s="876"/>
      <c r="AE313" s="876"/>
      <c r="AF313" s="876"/>
      <c r="AG313" s="876"/>
    </row>
    <row r="314" spans="1:33" s="799" customFormat="1" ht="16.5" customHeight="1" outlineLevel="2">
      <c r="A314" s="876"/>
      <c r="B314" s="288"/>
      <c r="C314" s="801" t="s">
        <v>553</v>
      </c>
      <c r="D314" s="300"/>
      <c r="E314" s="34" t="s">
        <v>122</v>
      </c>
      <c r="F314" s="70">
        <f>E348</f>
        <v>0</v>
      </c>
      <c r="G314" s="19">
        <v>1E-3</v>
      </c>
      <c r="H314" s="626">
        <f t="shared" si="15"/>
        <v>0</v>
      </c>
      <c r="I314" s="876"/>
      <c r="J314" s="876"/>
      <c r="K314" s="876"/>
      <c r="L314" s="288"/>
      <c r="M314" s="288"/>
      <c r="N314" s="288"/>
      <c r="O314" s="288"/>
      <c r="P314" s="288"/>
      <c r="Q314" s="288"/>
      <c r="R314" s="288"/>
      <c r="S314" s="288"/>
      <c r="T314" s="288"/>
      <c r="U314" s="876"/>
      <c r="V314" s="876"/>
      <c r="W314" s="876"/>
      <c r="X314" s="876"/>
      <c r="Y314" s="876"/>
      <c r="Z314" s="876"/>
      <c r="AA314" s="876"/>
      <c r="AB314" s="876"/>
      <c r="AC314" s="876"/>
      <c r="AD314" s="876"/>
      <c r="AE314" s="876"/>
      <c r="AF314" s="876"/>
      <c r="AG314" s="876"/>
    </row>
    <row r="315" spans="1:33" s="799" customFormat="1" ht="16.5" customHeight="1" outlineLevel="2">
      <c r="A315" s="876"/>
      <c r="B315" s="288"/>
      <c r="C315" s="801" t="s">
        <v>554</v>
      </c>
      <c r="D315" s="300"/>
      <c r="E315" s="34" t="s">
        <v>122</v>
      </c>
      <c r="F315" s="70">
        <f>E354</f>
        <v>0</v>
      </c>
      <c r="G315" s="19">
        <v>1E-3</v>
      </c>
      <c r="H315" s="626">
        <f t="shared" si="15"/>
        <v>0</v>
      </c>
      <c r="I315" s="876"/>
      <c r="J315" s="876"/>
      <c r="K315" s="876"/>
      <c r="L315" s="288"/>
      <c r="M315" s="288"/>
      <c r="N315" s="288"/>
      <c r="O315" s="288"/>
      <c r="P315" s="288"/>
      <c r="Q315" s="288"/>
      <c r="R315" s="288"/>
      <c r="S315" s="288"/>
      <c r="T315" s="288"/>
      <c r="U315" s="876"/>
      <c r="V315" s="876"/>
      <c r="W315" s="876"/>
      <c r="X315" s="876"/>
      <c r="Y315" s="876"/>
      <c r="Z315" s="876"/>
      <c r="AA315" s="876"/>
      <c r="AB315" s="876"/>
      <c r="AC315" s="876"/>
      <c r="AD315" s="876"/>
      <c r="AE315" s="876"/>
      <c r="AF315" s="876"/>
      <c r="AG315" s="876"/>
    </row>
    <row r="316" spans="1:33" s="799" customFormat="1" ht="16.5" customHeight="1" outlineLevel="2">
      <c r="A316" s="876"/>
      <c r="B316" s="288"/>
      <c r="C316" s="801" t="s">
        <v>720</v>
      </c>
      <c r="D316" s="300"/>
      <c r="E316" s="34" t="s">
        <v>122</v>
      </c>
      <c r="F316" s="70">
        <f>E358</f>
        <v>0</v>
      </c>
      <c r="G316" s="19">
        <v>1E-3</v>
      </c>
      <c r="H316" s="626">
        <f t="shared" si="15"/>
        <v>0</v>
      </c>
      <c r="I316" s="876"/>
      <c r="J316" s="876"/>
      <c r="K316" s="876"/>
      <c r="L316" s="288"/>
      <c r="M316" s="288"/>
      <c r="N316" s="288"/>
      <c r="O316" s="288"/>
      <c r="P316" s="288"/>
      <c r="Q316" s="288"/>
      <c r="R316" s="288"/>
      <c r="S316" s="288"/>
      <c r="T316" s="288"/>
      <c r="U316" s="876"/>
      <c r="V316" s="876"/>
      <c r="W316" s="876"/>
      <c r="X316" s="876"/>
      <c r="Y316" s="876"/>
      <c r="Z316" s="876"/>
      <c r="AA316" s="876"/>
      <c r="AB316" s="876"/>
      <c r="AC316" s="876"/>
      <c r="AD316" s="876"/>
      <c r="AE316" s="876"/>
      <c r="AF316" s="876"/>
      <c r="AG316" s="876"/>
    </row>
    <row r="317" spans="1:33" s="799" customFormat="1" ht="16.5" customHeight="1" outlineLevel="2">
      <c r="A317" s="876"/>
      <c r="B317" s="288"/>
      <c r="C317" s="801" t="s">
        <v>557</v>
      </c>
      <c r="D317" s="300"/>
      <c r="E317" s="34" t="s">
        <v>122</v>
      </c>
      <c r="F317" s="70">
        <f>Capex!H184</f>
        <v>0</v>
      </c>
      <c r="G317" s="19">
        <v>1E-3</v>
      </c>
      <c r="H317" s="626">
        <f t="shared" si="15"/>
        <v>0</v>
      </c>
      <c r="I317" s="876"/>
      <c r="J317" s="876"/>
      <c r="K317" s="876"/>
      <c r="L317" s="288"/>
      <c r="M317" s="288"/>
      <c r="N317" s="288"/>
      <c r="O317" s="288"/>
      <c r="P317" s="288"/>
      <c r="Q317" s="288"/>
      <c r="R317" s="288"/>
      <c r="S317" s="288"/>
      <c r="T317" s="288"/>
      <c r="U317" s="876"/>
      <c r="V317" s="876"/>
      <c r="W317" s="876"/>
      <c r="X317" s="876"/>
      <c r="Y317" s="876"/>
      <c r="Z317" s="876"/>
      <c r="AA317" s="876"/>
      <c r="AB317" s="876"/>
      <c r="AC317" s="876"/>
      <c r="AD317" s="876"/>
      <c r="AE317" s="876"/>
      <c r="AF317" s="876"/>
      <c r="AG317" s="876"/>
    </row>
    <row r="318" spans="1:33" s="799" customFormat="1" ht="16.5" customHeight="1" outlineLevel="2">
      <c r="A318" s="876"/>
      <c r="B318" s="288"/>
      <c r="C318" s="801" t="s">
        <v>1007</v>
      </c>
      <c r="D318" s="300"/>
      <c r="E318" s="34" t="s">
        <v>122</v>
      </c>
      <c r="F318" s="70">
        <f ca="1">Costs!I37</f>
        <v>0</v>
      </c>
      <c r="G318" s="19">
        <v>1E-3</v>
      </c>
      <c r="H318" s="626">
        <f t="shared" ca="1" si="15"/>
        <v>0</v>
      </c>
      <c r="I318" s="876"/>
      <c r="J318" s="876"/>
      <c r="K318" s="876"/>
      <c r="L318" s="288"/>
      <c r="M318" s="288"/>
      <c r="N318" s="288"/>
      <c r="O318" s="288"/>
      <c r="P318" s="288"/>
      <c r="Q318" s="288"/>
      <c r="R318" s="288"/>
      <c r="S318" s="288"/>
      <c r="T318" s="288"/>
      <c r="U318" s="876"/>
      <c r="V318" s="876"/>
      <c r="W318" s="876"/>
      <c r="X318" s="876"/>
      <c r="Y318" s="876"/>
      <c r="Z318" s="876"/>
      <c r="AA318" s="876"/>
      <c r="AB318" s="876"/>
      <c r="AC318" s="876"/>
      <c r="AD318" s="876"/>
      <c r="AE318" s="876"/>
      <c r="AF318" s="876"/>
      <c r="AG318" s="876"/>
    </row>
    <row r="319" spans="1:33" s="878" customFormat="1" ht="16.5" customHeight="1" outlineLevel="2">
      <c r="A319" s="876"/>
      <c r="B319" s="876"/>
      <c r="C319" s="801" t="s">
        <v>1008</v>
      </c>
      <c r="D319" s="300"/>
      <c r="E319" s="34" t="s">
        <v>122</v>
      </c>
      <c r="F319" s="70">
        <f ca="1">Costs!I51</f>
        <v>0</v>
      </c>
      <c r="G319" s="19">
        <v>1E-3</v>
      </c>
      <c r="H319" s="626">
        <f t="shared" ca="1" si="15"/>
        <v>0</v>
      </c>
      <c r="I319" s="876"/>
      <c r="J319" s="876"/>
      <c r="K319" s="876"/>
      <c r="L319" s="876"/>
      <c r="M319" s="876"/>
      <c r="N319" s="876"/>
      <c r="O319" s="876"/>
      <c r="P319" s="876"/>
      <c r="Q319" s="876"/>
      <c r="R319" s="876"/>
      <c r="S319" s="876"/>
      <c r="T319" s="876"/>
      <c r="U319" s="876"/>
      <c r="V319" s="876"/>
      <c r="W319" s="876"/>
      <c r="X319" s="876"/>
      <c r="Y319" s="876"/>
      <c r="Z319" s="876"/>
      <c r="AA319" s="876"/>
      <c r="AB319" s="876"/>
      <c r="AC319" s="876"/>
      <c r="AD319" s="876"/>
      <c r="AE319" s="876"/>
      <c r="AF319" s="876"/>
      <c r="AG319" s="876"/>
    </row>
    <row r="320" spans="1:33" s="799" customFormat="1" ht="16.5" customHeight="1" outlineLevel="2">
      <c r="A320" s="876"/>
      <c r="B320" s="288"/>
      <c r="C320" s="801" t="s">
        <v>1037</v>
      </c>
      <c r="D320" s="300"/>
      <c r="E320" s="34" t="s">
        <v>122</v>
      </c>
      <c r="F320" s="70"/>
      <c r="G320" s="19">
        <v>1E-3</v>
      </c>
      <c r="H320" s="626">
        <f t="shared" ref="H320:H322" si="16">IF(ABS(F320)&gt;G320,1,0)</f>
        <v>0</v>
      </c>
      <c r="I320" s="288"/>
      <c r="J320" s="288"/>
      <c r="K320" s="288"/>
      <c r="L320" s="288"/>
      <c r="M320" s="288"/>
      <c r="N320" s="288"/>
      <c r="O320" s="288"/>
      <c r="P320" s="288"/>
      <c r="Q320" s="288"/>
      <c r="R320" s="288"/>
      <c r="S320" s="288"/>
      <c r="T320" s="288"/>
      <c r="U320" s="876"/>
      <c r="V320" s="876"/>
      <c r="W320" s="876"/>
      <c r="X320" s="876"/>
      <c r="Y320" s="876"/>
      <c r="Z320" s="876"/>
      <c r="AA320" s="876"/>
      <c r="AB320" s="876"/>
      <c r="AC320" s="876"/>
      <c r="AD320" s="876"/>
      <c r="AE320" s="876"/>
      <c r="AF320" s="876"/>
      <c r="AG320" s="876"/>
    </row>
    <row r="321" spans="1:33" s="878" customFormat="1" ht="16.5" customHeight="1" outlineLevel="2">
      <c r="A321" s="876"/>
      <c r="B321" s="876"/>
      <c r="C321" s="801" t="s">
        <v>44</v>
      </c>
      <c r="D321" s="300"/>
      <c r="F321" s="70"/>
      <c r="G321" s="19">
        <v>1E-3</v>
      </c>
      <c r="H321" s="626">
        <f t="shared" ref="H321" si="17">IF(ABS(F321)&gt;G321,1,0)</f>
        <v>0</v>
      </c>
      <c r="I321" s="876"/>
      <c r="J321" s="876"/>
      <c r="K321" s="876"/>
      <c r="L321" s="876"/>
      <c r="M321" s="876"/>
      <c r="N321" s="876"/>
      <c r="O321" s="876"/>
      <c r="P321" s="876"/>
      <c r="Q321" s="876"/>
      <c r="R321" s="876"/>
      <c r="S321" s="876"/>
      <c r="T321" s="876"/>
      <c r="U321" s="876"/>
      <c r="V321" s="876"/>
      <c r="W321" s="876"/>
      <c r="X321" s="876"/>
      <c r="Y321" s="876"/>
      <c r="Z321" s="876"/>
      <c r="AA321" s="876"/>
      <c r="AB321" s="876"/>
      <c r="AC321" s="876"/>
      <c r="AD321" s="876"/>
      <c r="AE321" s="876"/>
      <c r="AF321" s="876"/>
      <c r="AG321" s="876"/>
    </row>
    <row r="322" spans="1:33" s="87" customFormat="1" ht="16.5" customHeight="1" outlineLevel="2">
      <c r="A322" s="876"/>
      <c r="B322" s="180"/>
      <c r="C322" s="801" t="s">
        <v>44</v>
      </c>
      <c r="D322" s="300"/>
      <c r="E322" s="878"/>
      <c r="F322" s="70"/>
      <c r="G322" s="19">
        <v>1E-3</v>
      </c>
      <c r="H322" s="626">
        <f t="shared" si="16"/>
        <v>0</v>
      </c>
      <c r="I322" s="288"/>
      <c r="J322" s="180"/>
      <c r="K322" s="180"/>
      <c r="L322" s="180"/>
      <c r="M322" s="180"/>
      <c r="N322" s="180"/>
      <c r="O322" s="180"/>
      <c r="P322" s="180"/>
      <c r="Q322" s="180"/>
      <c r="R322" s="180"/>
      <c r="S322" s="180"/>
      <c r="T322" s="180"/>
      <c r="U322" s="876"/>
      <c r="V322" s="876"/>
      <c r="W322" s="876"/>
      <c r="X322" s="876"/>
      <c r="Y322" s="876"/>
      <c r="Z322" s="876"/>
      <c r="AA322" s="876"/>
      <c r="AB322" s="876"/>
      <c r="AC322" s="876"/>
      <c r="AD322" s="876"/>
      <c r="AE322" s="876"/>
      <c r="AF322" s="876"/>
      <c r="AG322" s="876"/>
    </row>
    <row r="323" spans="1:33" s="87" customFormat="1" outlineLevel="2">
      <c r="A323" s="876"/>
      <c r="B323" s="180"/>
      <c r="C323" s="180"/>
      <c r="D323" s="300"/>
      <c r="E323" s="180"/>
      <c r="F323" s="180"/>
      <c r="G323" s="180"/>
      <c r="H323" s="180"/>
      <c r="I323" s="180"/>
      <c r="J323" s="180"/>
      <c r="K323" s="180"/>
      <c r="L323" s="180"/>
      <c r="M323" s="180"/>
      <c r="N323" s="180"/>
      <c r="O323" s="180"/>
      <c r="P323" s="180"/>
      <c r="Q323" s="180"/>
      <c r="R323" s="180"/>
      <c r="S323" s="180"/>
      <c r="T323" s="180"/>
      <c r="U323" s="876"/>
      <c r="V323" s="876"/>
      <c r="W323" s="876"/>
      <c r="X323" s="876"/>
      <c r="Y323" s="876"/>
      <c r="Z323" s="876"/>
      <c r="AA323" s="876"/>
      <c r="AB323" s="876"/>
      <c r="AC323" s="876"/>
      <c r="AD323" s="876"/>
      <c r="AE323" s="876"/>
      <c r="AF323" s="876"/>
      <c r="AG323" s="876"/>
    </row>
    <row r="324" spans="1:33" s="87" customFormat="1" ht="15" customHeight="1" outlineLevel="2">
      <c r="A324" s="876"/>
      <c r="B324" s="876"/>
      <c r="C324" s="285"/>
      <c r="D324" s="300"/>
      <c r="E324" s="550"/>
      <c r="F324" s="550"/>
      <c r="G324" s="619" t="s">
        <v>731</v>
      </c>
      <c r="H324" s="626">
        <f ca="1">IFERROR(SUM(H294:H323),1)</f>
        <v>0</v>
      </c>
      <c r="I324" s="550"/>
      <c r="J324" s="550"/>
      <c r="K324" s="180"/>
      <c r="L324" s="180"/>
      <c r="M324" s="180"/>
      <c r="N324" s="180"/>
      <c r="O324" s="180"/>
      <c r="P324" s="180"/>
      <c r="Q324" s="180"/>
      <c r="R324" s="180"/>
      <c r="S324" s="180"/>
      <c r="T324" s="180"/>
      <c r="U324" s="876"/>
      <c r="V324" s="876"/>
      <c r="W324" s="876"/>
      <c r="X324" s="876"/>
      <c r="Y324" s="876"/>
      <c r="Z324" s="876"/>
      <c r="AA324" s="876"/>
      <c r="AB324" s="876"/>
      <c r="AC324" s="876"/>
      <c r="AD324" s="876"/>
      <c r="AE324" s="876"/>
      <c r="AF324" s="876"/>
      <c r="AG324" s="876"/>
    </row>
    <row r="325" spans="1:33">
      <c r="A325" s="876"/>
      <c r="B325" s="876"/>
      <c r="C325" s="180"/>
      <c r="D325" s="180"/>
      <c r="E325" s="180"/>
      <c r="F325" s="180"/>
      <c r="G325" s="180"/>
      <c r="H325" s="180"/>
      <c r="I325" s="180"/>
      <c r="J325" s="180"/>
      <c r="K325" s="180"/>
      <c r="L325" s="180"/>
      <c r="M325" s="180"/>
      <c r="N325" s="180"/>
      <c r="O325" s="180"/>
      <c r="P325" s="180"/>
      <c r="Q325" s="180"/>
      <c r="R325" s="180"/>
      <c r="S325" s="180"/>
      <c r="T325" s="180"/>
      <c r="U325" s="876"/>
      <c r="V325" s="876"/>
      <c r="W325" s="876"/>
      <c r="X325" s="876"/>
      <c r="Y325" s="876"/>
      <c r="Z325" s="876"/>
      <c r="AA325" s="876"/>
      <c r="AB325" s="876"/>
      <c r="AC325" s="876"/>
      <c r="AD325" s="876"/>
      <c r="AE325" s="876"/>
      <c r="AF325" s="876"/>
      <c r="AG325" s="876"/>
    </row>
    <row r="326" spans="1:33" s="632" customFormat="1" ht="24.75" customHeight="1" thickBot="1">
      <c r="A326" s="283"/>
      <c r="B326" s="283"/>
      <c r="C326" s="283" t="s">
        <v>722</v>
      </c>
      <c r="D326" s="284"/>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row>
    <row r="327" spans="1:33" s="632" customFormat="1" ht="7.5" customHeight="1" outlineLevel="1">
      <c r="A327" s="876"/>
      <c r="B327" s="876"/>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row>
    <row r="328" spans="1:33" s="632" customFormat="1" ht="17.25" customHeight="1" outlineLevel="1">
      <c r="A328" s="876"/>
      <c r="B328" s="876"/>
      <c r="C328" s="288" t="str">
        <f>Timing!C4</f>
        <v>Period Start</v>
      </c>
      <c r="D328" s="288"/>
      <c r="E328" s="288"/>
      <c r="F328" s="703" t="s">
        <v>334</v>
      </c>
      <c r="G328" s="703"/>
      <c r="H328" s="337"/>
      <c r="I328" s="401"/>
      <c r="J328" s="638">
        <f>Timing!J4</f>
        <v>43132</v>
      </c>
      <c r="K328" s="638">
        <f>Timing!K4</f>
        <v>43160</v>
      </c>
      <c r="L328" s="638">
        <f>Timing!L4</f>
        <v>43191</v>
      </c>
      <c r="M328" s="638">
        <f>Timing!M4</f>
        <v>43221</v>
      </c>
      <c r="N328" s="638">
        <f>Timing!N4</f>
        <v>43252</v>
      </c>
      <c r="O328" s="638">
        <f>Timing!O4</f>
        <v>43282</v>
      </c>
      <c r="P328" s="638">
        <f>Timing!P4</f>
        <v>43313</v>
      </c>
      <c r="Q328" s="638">
        <f>Timing!Q4</f>
        <v>43344</v>
      </c>
      <c r="R328" s="638">
        <f>Timing!R4</f>
        <v>43374</v>
      </c>
      <c r="S328" s="638">
        <f>Timing!S4</f>
        <v>43405</v>
      </c>
      <c r="T328" s="638">
        <f>Timing!T4</f>
        <v>43435</v>
      </c>
      <c r="U328" s="638">
        <f>Timing!U4</f>
        <v>43466</v>
      </c>
      <c r="V328" s="638">
        <f>Timing!V4</f>
        <v>43497</v>
      </c>
      <c r="W328" s="638">
        <f>Timing!W4</f>
        <v>43525</v>
      </c>
      <c r="X328" s="638">
        <f>Timing!X4</f>
        <v>43556</v>
      </c>
      <c r="Y328" s="638">
        <f>Timing!Y4</f>
        <v>43586</v>
      </c>
      <c r="Z328" s="638">
        <f>Timing!Z4</f>
        <v>43617</v>
      </c>
      <c r="AA328" s="638">
        <f>Timing!AA4</f>
        <v>43647</v>
      </c>
      <c r="AB328" s="638">
        <f>Timing!AB4</f>
        <v>43678</v>
      </c>
      <c r="AC328" s="638">
        <f>Timing!AC4</f>
        <v>43709</v>
      </c>
      <c r="AD328" s="638">
        <f>Timing!AD4</f>
        <v>43739</v>
      </c>
      <c r="AE328" s="638">
        <f>Timing!AE4</f>
        <v>43770</v>
      </c>
      <c r="AF328" s="638">
        <f>Timing!AF4</f>
        <v>43800</v>
      </c>
      <c r="AG328" s="638">
        <f>Timing!AG4</f>
        <v>43831</v>
      </c>
    </row>
    <row r="329" spans="1:33" s="632" customFormat="1" ht="17.25" customHeight="1" outlineLevel="1">
      <c r="A329" s="876"/>
      <c r="B329" s="876"/>
      <c r="C329" s="288" t="str">
        <f>Timing!C5</f>
        <v>Period End</v>
      </c>
      <c r="D329" s="288"/>
      <c r="E329" s="288"/>
      <c r="F329" s="65" t="str">
        <f>Timing!D5</f>
        <v>Start</v>
      </c>
      <c r="G329" s="11" t="str">
        <f>Timing!E5</f>
        <v>End</v>
      </c>
      <c r="H329" s="337"/>
      <c r="I329" s="637">
        <f>Timing!I5</f>
        <v>43131</v>
      </c>
      <c r="J329" s="639">
        <f>Timing!J5</f>
        <v>43159</v>
      </c>
      <c r="K329" s="639">
        <f>Timing!K5</f>
        <v>43190</v>
      </c>
      <c r="L329" s="639">
        <f>Timing!L5</f>
        <v>43220</v>
      </c>
      <c r="M329" s="639">
        <f>Timing!M5</f>
        <v>43251</v>
      </c>
      <c r="N329" s="639">
        <f>Timing!N5</f>
        <v>43281</v>
      </c>
      <c r="O329" s="639">
        <f>Timing!O5</f>
        <v>43312</v>
      </c>
      <c r="P329" s="639">
        <f>Timing!P5</f>
        <v>43343</v>
      </c>
      <c r="Q329" s="639">
        <f>Timing!Q5</f>
        <v>43373</v>
      </c>
      <c r="R329" s="639">
        <f>Timing!R5</f>
        <v>43404</v>
      </c>
      <c r="S329" s="639">
        <f>Timing!S5</f>
        <v>43434</v>
      </c>
      <c r="T329" s="639">
        <f>Timing!T5</f>
        <v>43465</v>
      </c>
      <c r="U329" s="639">
        <f>Timing!U5</f>
        <v>43496</v>
      </c>
      <c r="V329" s="639">
        <f>Timing!V5</f>
        <v>43524</v>
      </c>
      <c r="W329" s="639">
        <f>Timing!W5</f>
        <v>43555</v>
      </c>
      <c r="X329" s="639">
        <f>Timing!X5</f>
        <v>43585</v>
      </c>
      <c r="Y329" s="639">
        <f>Timing!Y5</f>
        <v>43616</v>
      </c>
      <c r="Z329" s="639">
        <f>Timing!Z5</f>
        <v>43646</v>
      </c>
      <c r="AA329" s="639">
        <f>Timing!AA5</f>
        <v>43677</v>
      </c>
      <c r="AB329" s="639">
        <f>Timing!AB5</f>
        <v>43708</v>
      </c>
      <c r="AC329" s="639">
        <f>Timing!AC5</f>
        <v>43738</v>
      </c>
      <c r="AD329" s="639">
        <f>Timing!AD5</f>
        <v>43769</v>
      </c>
      <c r="AE329" s="639">
        <f>Timing!AE5</f>
        <v>43799</v>
      </c>
      <c r="AF329" s="639">
        <f>Timing!AF5</f>
        <v>43830</v>
      </c>
      <c r="AG329" s="639">
        <f>Timing!AG5</f>
        <v>43861</v>
      </c>
    </row>
    <row r="330" spans="1:33" s="632" customFormat="1" ht="17.25" customHeight="1" outlineLevel="1">
      <c r="A330" s="876"/>
      <c r="B330" s="876"/>
      <c r="C330" s="288" t="str">
        <f>Timing!C6</f>
        <v>Model Life</v>
      </c>
      <c r="D330" s="288"/>
      <c r="E330" s="288"/>
      <c r="F330" s="637">
        <f>Timing!D6</f>
        <v>43132</v>
      </c>
      <c r="G330" s="637">
        <f>Timing!E6</f>
        <v>43799</v>
      </c>
      <c r="H330" s="641"/>
      <c r="I330" s="669">
        <f>Timing!I6</f>
        <v>22</v>
      </c>
      <c r="J330" s="643">
        <f>Timing!J6</f>
        <v>1</v>
      </c>
      <c r="K330" s="643">
        <f>Timing!K6</f>
        <v>1</v>
      </c>
      <c r="L330" s="643">
        <f>Timing!L6</f>
        <v>1</v>
      </c>
      <c r="M330" s="643">
        <f>Timing!M6</f>
        <v>1</v>
      </c>
      <c r="N330" s="643">
        <f>Timing!N6</f>
        <v>1</v>
      </c>
      <c r="O330" s="643">
        <f>Timing!O6</f>
        <v>1</v>
      </c>
      <c r="P330" s="643">
        <f>Timing!P6</f>
        <v>1</v>
      </c>
      <c r="Q330" s="643">
        <f>Timing!Q6</f>
        <v>1</v>
      </c>
      <c r="R330" s="643">
        <f>Timing!R6</f>
        <v>1</v>
      </c>
      <c r="S330" s="643">
        <f>Timing!S6</f>
        <v>1</v>
      </c>
      <c r="T330" s="643">
        <f>Timing!T6</f>
        <v>1</v>
      </c>
      <c r="U330" s="643">
        <f>Timing!U6</f>
        <v>1</v>
      </c>
      <c r="V330" s="643">
        <f>Timing!V6</f>
        <v>1</v>
      </c>
      <c r="W330" s="643">
        <f>Timing!W6</f>
        <v>1</v>
      </c>
      <c r="X330" s="643">
        <f>Timing!X6</f>
        <v>1</v>
      </c>
      <c r="Y330" s="643">
        <f>Timing!Y6</f>
        <v>1</v>
      </c>
      <c r="Z330" s="643">
        <f>Timing!Z6</f>
        <v>1</v>
      </c>
      <c r="AA330" s="643">
        <f>Timing!AA6</f>
        <v>1</v>
      </c>
      <c r="AB330" s="643">
        <f>Timing!AB6</f>
        <v>1</v>
      </c>
      <c r="AC330" s="643">
        <f>Timing!AC6</f>
        <v>1</v>
      </c>
      <c r="AD330" s="643">
        <f>Timing!AD6</f>
        <v>1</v>
      </c>
      <c r="AE330" s="643">
        <f>Timing!AE6</f>
        <v>1</v>
      </c>
      <c r="AF330" s="643">
        <f>Timing!AF6</f>
        <v>0</v>
      </c>
      <c r="AG330" s="643">
        <f>Timing!AG6</f>
        <v>0</v>
      </c>
    </row>
    <row r="331" spans="1:33" s="632" customFormat="1" ht="17.25" customHeight="1" outlineLevel="1">
      <c r="A331" s="876"/>
      <c r="B331" s="876"/>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row>
    <row r="332" spans="1:33" s="632" customFormat="1" ht="17.25" customHeight="1" outlineLevel="1">
      <c r="A332" s="876"/>
      <c r="B332" s="876"/>
      <c r="C332" s="293" t="str">
        <f>CHOOSE(language,"P&amp;L Items","Income Statement Items")</f>
        <v>Income Statement Items</v>
      </c>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row>
    <row r="333" spans="1:33" s="632" customFormat="1" ht="17.25" customHeight="1" outlineLevel="1">
      <c r="A333" s="876"/>
      <c r="B333" s="876"/>
      <c r="C333" s="288" t="s">
        <v>279</v>
      </c>
      <c r="D333" s="288"/>
      <c r="E333" s="288"/>
      <c r="F333" s="288"/>
      <c r="G333" s="288"/>
      <c r="H333" s="288"/>
      <c r="I333" s="71">
        <f>SUMPRODUCT((J$330:AG$330),(J333:AG333))</f>
        <v>2750</v>
      </c>
      <c r="J333" s="263"/>
      <c r="K333" s="263"/>
      <c r="L333" s="263">
        <v>2750</v>
      </c>
      <c r="M333" s="263"/>
      <c r="N333" s="263"/>
      <c r="O333" s="263"/>
      <c r="P333" s="263"/>
      <c r="Q333" s="263"/>
      <c r="R333" s="263"/>
      <c r="S333" s="263"/>
      <c r="T333" s="263"/>
      <c r="U333" s="263"/>
      <c r="V333" s="263"/>
      <c r="W333" s="263"/>
      <c r="X333" s="263"/>
      <c r="Y333" s="263"/>
      <c r="Z333" s="263"/>
      <c r="AA333" s="263"/>
      <c r="AB333" s="263"/>
      <c r="AC333" s="263"/>
      <c r="AD333" s="263"/>
      <c r="AE333" s="263"/>
      <c r="AF333" s="263"/>
      <c r="AG333" s="263"/>
    </row>
    <row r="334" spans="1:33" s="632" customFormat="1" ht="17.25" customHeight="1" outlineLevel="1">
      <c r="A334" s="876"/>
      <c r="B334" s="876"/>
      <c r="C334" s="288" t="s">
        <v>281</v>
      </c>
      <c r="D334" s="288"/>
      <c r="E334" s="288"/>
      <c r="F334" s="288"/>
      <c r="G334" s="288"/>
      <c r="H334" s="288"/>
      <c r="I334" s="71">
        <f>SUMPRODUCT((J$330:AG$330),(J334:AG334))</f>
        <v>0</v>
      </c>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c r="AF334" s="263"/>
      <c r="AG334" s="263"/>
    </row>
    <row r="335" spans="1:33" s="632" customFormat="1" ht="17.25" customHeight="1" outlineLevel="1">
      <c r="A335" s="876"/>
      <c r="B335" s="876"/>
      <c r="C335" s="288" t="s">
        <v>282</v>
      </c>
      <c r="D335" s="288"/>
      <c r="E335" s="288"/>
      <c r="F335" s="288"/>
      <c r="G335" s="288"/>
      <c r="H335" s="288"/>
      <c r="I335" s="71">
        <f>SUMPRODUCT((J$330:AG$330),(J335:AG335))</f>
        <v>4550</v>
      </c>
      <c r="J335" s="263"/>
      <c r="K335" s="263"/>
      <c r="L335" s="263"/>
      <c r="M335" s="263"/>
      <c r="N335" s="263"/>
      <c r="O335" s="263"/>
      <c r="P335" s="263"/>
      <c r="Q335" s="263"/>
      <c r="R335" s="263"/>
      <c r="S335" s="263"/>
      <c r="T335" s="263"/>
      <c r="U335" s="263"/>
      <c r="V335" s="263"/>
      <c r="W335" s="263"/>
      <c r="X335" s="263"/>
      <c r="Y335" s="263"/>
      <c r="Z335" s="263"/>
      <c r="AA335" s="263"/>
      <c r="AB335" s="263">
        <v>4550</v>
      </c>
      <c r="AC335" s="263"/>
      <c r="AD335" s="263"/>
      <c r="AE335" s="263"/>
      <c r="AF335" s="263"/>
      <c r="AG335" s="263"/>
    </row>
    <row r="336" spans="1:33" s="632" customFormat="1" ht="17.25" customHeight="1" outlineLevel="1">
      <c r="A336" s="876"/>
      <c r="B336" s="876"/>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row>
    <row r="337" spans="1:33" s="288" customFormat="1" ht="18" customHeight="1" outlineLevel="1">
      <c r="A337" s="876"/>
      <c r="B337" s="876"/>
      <c r="C337" s="293" t="s">
        <v>335</v>
      </c>
    </row>
    <row r="338" spans="1:33" s="288" customFormat="1" ht="18" customHeight="1" outlineLevel="1">
      <c r="A338" s="876"/>
      <c r="B338" s="876"/>
      <c r="C338" s="704" t="s">
        <v>336</v>
      </c>
      <c r="I338" s="550"/>
    </row>
    <row r="339" spans="1:33" s="288" customFormat="1" ht="18" customHeight="1" outlineLevel="1">
      <c r="A339" s="876"/>
      <c r="B339" s="876"/>
      <c r="C339" s="632" t="s">
        <v>140</v>
      </c>
      <c r="D339" s="8" t="str">
        <f>Currency_Label</f>
        <v>USD</v>
      </c>
      <c r="I339" s="550"/>
      <c r="J339" s="129">
        <f t="shared" ref="J339:AG339" si="18">I342*J$330</f>
        <v>0</v>
      </c>
      <c r="K339" s="129">
        <f t="shared" si="18"/>
        <v>0</v>
      </c>
      <c r="L339" s="129">
        <f t="shared" si="18"/>
        <v>0</v>
      </c>
      <c r="M339" s="129">
        <f t="shared" si="18"/>
        <v>0</v>
      </c>
      <c r="N339" s="129">
        <f t="shared" si="18"/>
        <v>0</v>
      </c>
      <c r="O339" s="129">
        <f t="shared" si="18"/>
        <v>0</v>
      </c>
      <c r="P339" s="129">
        <f t="shared" si="18"/>
        <v>6750</v>
      </c>
      <c r="Q339" s="129">
        <f t="shared" si="18"/>
        <v>6750</v>
      </c>
      <c r="R339" s="129">
        <f t="shared" si="18"/>
        <v>6750</v>
      </c>
      <c r="S339" s="129">
        <f t="shared" si="18"/>
        <v>6750</v>
      </c>
      <c r="T339" s="129">
        <f t="shared" si="18"/>
        <v>6750</v>
      </c>
      <c r="U339" s="129">
        <f t="shared" si="18"/>
        <v>6750</v>
      </c>
      <c r="V339" s="129">
        <f t="shared" si="18"/>
        <v>6750</v>
      </c>
      <c r="W339" s="129">
        <f t="shared" si="18"/>
        <v>6750</v>
      </c>
      <c r="X339" s="129">
        <f t="shared" si="18"/>
        <v>6750</v>
      </c>
      <c r="Y339" s="129">
        <f t="shared" si="18"/>
        <v>6750</v>
      </c>
      <c r="Z339" s="129">
        <f t="shared" si="18"/>
        <v>6750</v>
      </c>
      <c r="AA339" s="129">
        <f t="shared" si="18"/>
        <v>5750</v>
      </c>
      <c r="AB339" s="129">
        <f t="shared" si="18"/>
        <v>5750</v>
      </c>
      <c r="AC339" s="129">
        <f t="shared" si="18"/>
        <v>5750</v>
      </c>
      <c r="AD339" s="129">
        <f t="shared" si="18"/>
        <v>5750</v>
      </c>
      <c r="AE339" s="129">
        <f t="shared" si="18"/>
        <v>5750</v>
      </c>
      <c r="AF339" s="129">
        <f t="shared" si="18"/>
        <v>0</v>
      </c>
      <c r="AG339" s="129">
        <f t="shared" si="18"/>
        <v>0</v>
      </c>
    </row>
    <row r="340" spans="1:33" s="288" customFormat="1" ht="18" customHeight="1" outlineLevel="1">
      <c r="A340" s="876"/>
      <c r="B340" s="876"/>
      <c r="C340" s="24" t="s">
        <v>1063</v>
      </c>
      <c r="D340" s="8" t="str">
        <f>Currency_Label</f>
        <v>USD</v>
      </c>
      <c r="I340" s="236">
        <f>SUMPRODUCT((IFS!J$6:AG$6),(J340:AG340))</f>
        <v>6750</v>
      </c>
      <c r="J340" s="263"/>
      <c r="K340" s="263"/>
      <c r="L340" s="263"/>
      <c r="M340" s="263"/>
      <c r="N340" s="263"/>
      <c r="O340" s="263">
        <v>6750</v>
      </c>
      <c r="P340" s="263"/>
      <c r="Q340" s="263"/>
      <c r="R340" s="263"/>
      <c r="S340" s="263"/>
      <c r="T340" s="263"/>
      <c r="U340" s="263"/>
      <c r="V340" s="263"/>
      <c r="W340" s="263"/>
      <c r="X340" s="263"/>
      <c r="Y340" s="263"/>
      <c r="Z340" s="263"/>
      <c r="AA340" s="263"/>
      <c r="AB340" s="263"/>
      <c r="AC340" s="263"/>
      <c r="AD340" s="263"/>
      <c r="AE340" s="263"/>
      <c r="AF340" s="263"/>
      <c r="AG340" s="263"/>
    </row>
    <row r="341" spans="1:33" s="288" customFormat="1" ht="18" customHeight="1" outlineLevel="1">
      <c r="A341" s="876"/>
      <c r="B341" s="876"/>
      <c r="C341" s="24" t="s">
        <v>1064</v>
      </c>
      <c r="D341" s="8" t="str">
        <f>Currency_Label</f>
        <v>USD</v>
      </c>
      <c r="I341" s="236">
        <f>SUMPRODUCT((IFS!J$6:AG$6),(J341:AG341))</f>
        <v>-1000</v>
      </c>
      <c r="J341" s="263"/>
      <c r="K341" s="263"/>
      <c r="L341" s="263"/>
      <c r="M341" s="263"/>
      <c r="N341" s="263"/>
      <c r="O341" s="263"/>
      <c r="P341" s="263"/>
      <c r="Q341" s="263"/>
      <c r="R341" s="263"/>
      <c r="S341" s="263"/>
      <c r="T341" s="263"/>
      <c r="U341" s="263"/>
      <c r="V341" s="263"/>
      <c r="W341" s="263"/>
      <c r="X341" s="263"/>
      <c r="Y341" s="263"/>
      <c r="Z341" s="263">
        <v>-1000</v>
      </c>
      <c r="AA341" s="263"/>
      <c r="AB341" s="263"/>
      <c r="AC341" s="263"/>
      <c r="AD341" s="263"/>
      <c r="AE341" s="263"/>
      <c r="AF341" s="263"/>
      <c r="AG341" s="263"/>
    </row>
    <row r="342" spans="1:33" s="288" customFormat="1" ht="18" customHeight="1" outlineLevel="1" thickBot="1">
      <c r="A342" s="876"/>
      <c r="B342" s="876"/>
      <c r="C342" s="632" t="s">
        <v>141</v>
      </c>
      <c r="D342" s="8" t="str">
        <f>Currency_Label</f>
        <v>USD</v>
      </c>
      <c r="E342" s="626">
        <f>IF(MIN(J342:AG342)&lt;0,1,0)</f>
        <v>0</v>
      </c>
      <c r="F342" s="288" t="s">
        <v>337</v>
      </c>
      <c r="I342" s="433">
        <f>Inputs!$F$274</f>
        <v>0</v>
      </c>
      <c r="J342" s="396">
        <f t="shared" ref="J342:AG342" si="19">SUM(J339:J341)*J$330</f>
        <v>0</v>
      </c>
      <c r="K342" s="396">
        <f t="shared" si="19"/>
        <v>0</v>
      </c>
      <c r="L342" s="396">
        <f t="shared" si="19"/>
        <v>0</v>
      </c>
      <c r="M342" s="396">
        <f t="shared" si="19"/>
        <v>0</v>
      </c>
      <c r="N342" s="396">
        <f t="shared" si="19"/>
        <v>0</v>
      </c>
      <c r="O342" s="396">
        <f t="shared" si="19"/>
        <v>6750</v>
      </c>
      <c r="P342" s="396">
        <f t="shared" si="19"/>
        <v>6750</v>
      </c>
      <c r="Q342" s="396">
        <f t="shared" si="19"/>
        <v>6750</v>
      </c>
      <c r="R342" s="396">
        <f t="shared" si="19"/>
        <v>6750</v>
      </c>
      <c r="S342" s="396">
        <f t="shared" si="19"/>
        <v>6750</v>
      </c>
      <c r="T342" s="396">
        <f t="shared" si="19"/>
        <v>6750</v>
      </c>
      <c r="U342" s="396">
        <f t="shared" si="19"/>
        <v>6750</v>
      </c>
      <c r="V342" s="396">
        <f t="shared" si="19"/>
        <v>6750</v>
      </c>
      <c r="W342" s="396">
        <f t="shared" si="19"/>
        <v>6750</v>
      </c>
      <c r="X342" s="396">
        <f t="shared" si="19"/>
        <v>6750</v>
      </c>
      <c r="Y342" s="396">
        <f t="shared" si="19"/>
        <v>6750</v>
      </c>
      <c r="Z342" s="396">
        <f t="shared" si="19"/>
        <v>5750</v>
      </c>
      <c r="AA342" s="396">
        <f t="shared" si="19"/>
        <v>5750</v>
      </c>
      <c r="AB342" s="396">
        <f t="shared" si="19"/>
        <v>5750</v>
      </c>
      <c r="AC342" s="396">
        <f t="shared" si="19"/>
        <v>5750</v>
      </c>
      <c r="AD342" s="396">
        <f t="shared" si="19"/>
        <v>5750</v>
      </c>
      <c r="AE342" s="396">
        <f t="shared" si="19"/>
        <v>5750</v>
      </c>
      <c r="AF342" s="396">
        <f t="shared" si="19"/>
        <v>0</v>
      </c>
      <c r="AG342" s="396">
        <f t="shared" si="19"/>
        <v>0</v>
      </c>
    </row>
    <row r="343" spans="1:33" s="288" customFormat="1" ht="18" customHeight="1" outlineLevel="1" thickTop="1">
      <c r="A343" s="876"/>
      <c r="B343" s="876"/>
      <c r="I343" s="550"/>
    </row>
    <row r="344" spans="1:33" s="288" customFormat="1" ht="18" customHeight="1" outlineLevel="1">
      <c r="A344" s="876"/>
      <c r="B344" s="876"/>
      <c r="C344" s="704" t="s">
        <v>341</v>
      </c>
      <c r="I344" s="550"/>
    </row>
    <row r="345" spans="1:33" s="288" customFormat="1" ht="18" customHeight="1" outlineLevel="1">
      <c r="A345" s="876"/>
      <c r="B345" s="876"/>
      <c r="C345" s="632" t="s">
        <v>140</v>
      </c>
      <c r="D345" s="8" t="str">
        <f>Currency_Label</f>
        <v>USD</v>
      </c>
      <c r="I345" s="550"/>
      <c r="J345" s="129">
        <f t="shared" ref="J345:AG345" si="20">I348*J$330</f>
        <v>0</v>
      </c>
      <c r="K345" s="129">
        <f t="shared" si="20"/>
        <v>0</v>
      </c>
      <c r="L345" s="129">
        <f t="shared" si="20"/>
        <v>0</v>
      </c>
      <c r="M345" s="129">
        <f t="shared" si="20"/>
        <v>3500</v>
      </c>
      <c r="N345" s="129">
        <f t="shared" si="20"/>
        <v>3500</v>
      </c>
      <c r="O345" s="129">
        <f t="shared" si="20"/>
        <v>3500</v>
      </c>
      <c r="P345" s="129">
        <f t="shared" si="20"/>
        <v>3500</v>
      </c>
      <c r="Q345" s="129">
        <f t="shared" si="20"/>
        <v>3500</v>
      </c>
      <c r="R345" s="129">
        <f t="shared" si="20"/>
        <v>3500</v>
      </c>
      <c r="S345" s="129">
        <f t="shared" si="20"/>
        <v>1500</v>
      </c>
      <c r="T345" s="129">
        <f t="shared" si="20"/>
        <v>1500</v>
      </c>
      <c r="U345" s="129">
        <f t="shared" si="20"/>
        <v>1500</v>
      </c>
      <c r="V345" s="129">
        <f t="shared" si="20"/>
        <v>1500</v>
      </c>
      <c r="W345" s="129">
        <f t="shared" si="20"/>
        <v>1500</v>
      </c>
      <c r="X345" s="129">
        <f t="shared" si="20"/>
        <v>1500</v>
      </c>
      <c r="Y345" s="129">
        <f t="shared" si="20"/>
        <v>1500</v>
      </c>
      <c r="Z345" s="129">
        <f t="shared" si="20"/>
        <v>1500</v>
      </c>
      <c r="AA345" s="129">
        <f t="shared" si="20"/>
        <v>1500</v>
      </c>
      <c r="AB345" s="129">
        <f t="shared" si="20"/>
        <v>1500</v>
      </c>
      <c r="AC345" s="129">
        <f t="shared" si="20"/>
        <v>1500</v>
      </c>
      <c r="AD345" s="129">
        <f t="shared" si="20"/>
        <v>4250</v>
      </c>
      <c r="AE345" s="129">
        <f t="shared" si="20"/>
        <v>4250</v>
      </c>
      <c r="AF345" s="129">
        <f t="shared" si="20"/>
        <v>0</v>
      </c>
      <c r="AG345" s="129">
        <f t="shared" si="20"/>
        <v>0</v>
      </c>
    </row>
    <row r="346" spans="1:33" s="288" customFormat="1" ht="18" customHeight="1" outlineLevel="1">
      <c r="A346" s="876"/>
      <c r="B346" s="876"/>
      <c r="C346" s="24" t="s">
        <v>343</v>
      </c>
      <c r="D346" s="8" t="str">
        <f>Currency_Label</f>
        <v>USD</v>
      </c>
      <c r="E346" s="299" t="s">
        <v>347</v>
      </c>
      <c r="I346" s="236">
        <f>SUMPRODUCT((IFS!J$6:AG$6),(J346:AG346))</f>
        <v>6250</v>
      </c>
      <c r="J346" s="263"/>
      <c r="K346" s="263"/>
      <c r="L346" s="263">
        <v>3500</v>
      </c>
      <c r="M346" s="263"/>
      <c r="N346" s="263"/>
      <c r="O346" s="263"/>
      <c r="P346" s="263"/>
      <c r="Q346" s="263"/>
      <c r="R346" s="263"/>
      <c r="S346" s="263"/>
      <c r="T346" s="263"/>
      <c r="U346" s="263"/>
      <c r="V346" s="263"/>
      <c r="W346" s="263"/>
      <c r="X346" s="263"/>
      <c r="Y346" s="263"/>
      <c r="Z346" s="263"/>
      <c r="AA346" s="263"/>
      <c r="AB346" s="263"/>
      <c r="AC346" s="263">
        <v>2750</v>
      </c>
      <c r="AD346" s="263"/>
      <c r="AE346" s="263"/>
      <c r="AF346" s="263"/>
      <c r="AG346" s="263"/>
    </row>
    <row r="347" spans="1:33" s="288" customFormat="1" ht="18" customHeight="1" outlineLevel="1">
      <c r="A347" s="876"/>
      <c r="B347" s="876"/>
      <c r="C347" s="24" t="s">
        <v>344</v>
      </c>
      <c r="D347" s="8" t="str">
        <f>Currency_Label</f>
        <v>USD</v>
      </c>
      <c r="I347" s="236">
        <f>SUMPRODUCT((IFS!J$6:AG$6),(J347:AG347))</f>
        <v>-2000</v>
      </c>
      <c r="J347" s="263"/>
      <c r="K347" s="263"/>
      <c r="L347" s="263"/>
      <c r="M347" s="263"/>
      <c r="N347" s="263"/>
      <c r="O347" s="263"/>
      <c r="P347" s="263"/>
      <c r="Q347" s="263"/>
      <c r="R347" s="263">
        <v>-2000</v>
      </c>
      <c r="S347" s="263"/>
      <c r="T347" s="263"/>
      <c r="U347" s="263"/>
      <c r="V347" s="263"/>
      <c r="W347" s="263"/>
      <c r="X347" s="263"/>
      <c r="Y347" s="263"/>
      <c r="Z347" s="263"/>
      <c r="AA347" s="263"/>
      <c r="AB347" s="263"/>
      <c r="AC347" s="263"/>
      <c r="AD347" s="263"/>
      <c r="AE347" s="263"/>
      <c r="AF347" s="263"/>
      <c r="AG347" s="263"/>
    </row>
    <row r="348" spans="1:33" s="288" customFormat="1" ht="18" customHeight="1" outlineLevel="1" thickBot="1">
      <c r="A348" s="876"/>
      <c r="B348" s="876"/>
      <c r="C348" s="632" t="s">
        <v>141</v>
      </c>
      <c r="D348" s="8" t="str">
        <f>Currency_Label</f>
        <v>USD</v>
      </c>
      <c r="E348" s="626">
        <f>IF(MIN(J348:AG348)&lt;0,1,0)</f>
        <v>0</v>
      </c>
      <c r="F348" s="288" t="s">
        <v>346</v>
      </c>
      <c r="I348" s="678"/>
      <c r="J348" s="396">
        <f t="shared" ref="J348:AG348" si="21">SUM(J345:J347)*J$330</f>
        <v>0</v>
      </c>
      <c r="K348" s="396">
        <f t="shared" si="21"/>
        <v>0</v>
      </c>
      <c r="L348" s="396">
        <f t="shared" si="21"/>
        <v>3500</v>
      </c>
      <c r="M348" s="396">
        <f t="shared" si="21"/>
        <v>3500</v>
      </c>
      <c r="N348" s="396">
        <f t="shared" si="21"/>
        <v>3500</v>
      </c>
      <c r="O348" s="396">
        <f t="shared" si="21"/>
        <v>3500</v>
      </c>
      <c r="P348" s="396">
        <f t="shared" si="21"/>
        <v>3500</v>
      </c>
      <c r="Q348" s="396">
        <f t="shared" si="21"/>
        <v>3500</v>
      </c>
      <c r="R348" s="396">
        <f t="shared" si="21"/>
        <v>1500</v>
      </c>
      <c r="S348" s="396">
        <f t="shared" si="21"/>
        <v>1500</v>
      </c>
      <c r="T348" s="396">
        <f t="shared" si="21"/>
        <v>1500</v>
      </c>
      <c r="U348" s="396">
        <f t="shared" si="21"/>
        <v>1500</v>
      </c>
      <c r="V348" s="396">
        <f t="shared" si="21"/>
        <v>1500</v>
      </c>
      <c r="W348" s="396">
        <f t="shared" si="21"/>
        <v>1500</v>
      </c>
      <c r="X348" s="396">
        <f t="shared" si="21"/>
        <v>1500</v>
      </c>
      <c r="Y348" s="396">
        <f t="shared" si="21"/>
        <v>1500</v>
      </c>
      <c r="Z348" s="396">
        <f t="shared" si="21"/>
        <v>1500</v>
      </c>
      <c r="AA348" s="396">
        <f t="shared" si="21"/>
        <v>1500</v>
      </c>
      <c r="AB348" s="396">
        <f t="shared" si="21"/>
        <v>1500</v>
      </c>
      <c r="AC348" s="396">
        <f t="shared" si="21"/>
        <v>4250</v>
      </c>
      <c r="AD348" s="396">
        <f t="shared" si="21"/>
        <v>4250</v>
      </c>
      <c r="AE348" s="396">
        <f t="shared" si="21"/>
        <v>4250</v>
      </c>
      <c r="AF348" s="396">
        <f t="shared" si="21"/>
        <v>0</v>
      </c>
      <c r="AG348" s="396">
        <f t="shared" si="21"/>
        <v>0</v>
      </c>
    </row>
    <row r="349" spans="1:33" s="288" customFormat="1" ht="18" customHeight="1" outlineLevel="1" thickTop="1">
      <c r="A349" s="876"/>
      <c r="B349" s="876"/>
      <c r="I349" s="550"/>
    </row>
    <row r="350" spans="1:33" s="288" customFormat="1" ht="18" customHeight="1" outlineLevel="1">
      <c r="A350" s="876"/>
      <c r="B350" s="876"/>
      <c r="C350" s="704" t="s">
        <v>342</v>
      </c>
      <c r="I350" s="550"/>
    </row>
    <row r="351" spans="1:33" s="288" customFormat="1" ht="18" customHeight="1" outlineLevel="1">
      <c r="A351" s="876"/>
      <c r="B351" s="876"/>
      <c r="C351" s="632" t="s">
        <v>140</v>
      </c>
      <c r="D351" s="8" t="str">
        <f>Currency_Label</f>
        <v>USD</v>
      </c>
      <c r="I351" s="550"/>
      <c r="J351" s="129">
        <f t="shared" ref="J351:AG351" si="22">I354*J$330</f>
        <v>0</v>
      </c>
      <c r="K351" s="129">
        <f t="shared" si="22"/>
        <v>0</v>
      </c>
      <c r="L351" s="129">
        <f t="shared" si="22"/>
        <v>0</v>
      </c>
      <c r="M351" s="129">
        <f t="shared" si="22"/>
        <v>0</v>
      </c>
      <c r="N351" s="129">
        <f t="shared" si="22"/>
        <v>0</v>
      </c>
      <c r="O351" s="129">
        <f t="shared" si="22"/>
        <v>0</v>
      </c>
      <c r="P351" s="129">
        <f t="shared" si="22"/>
        <v>0</v>
      </c>
      <c r="Q351" s="129">
        <f t="shared" si="22"/>
        <v>0</v>
      </c>
      <c r="R351" s="129">
        <f t="shared" si="22"/>
        <v>0</v>
      </c>
      <c r="S351" s="129">
        <f t="shared" si="22"/>
        <v>0</v>
      </c>
      <c r="T351" s="129">
        <f t="shared" si="22"/>
        <v>0</v>
      </c>
      <c r="U351" s="129">
        <f t="shared" si="22"/>
        <v>0</v>
      </c>
      <c r="V351" s="129">
        <f t="shared" si="22"/>
        <v>0</v>
      </c>
      <c r="W351" s="129">
        <f t="shared" si="22"/>
        <v>0</v>
      </c>
      <c r="X351" s="129">
        <f t="shared" si="22"/>
        <v>2750</v>
      </c>
      <c r="Y351" s="129">
        <f t="shared" si="22"/>
        <v>2750</v>
      </c>
      <c r="Z351" s="129">
        <f t="shared" si="22"/>
        <v>2750</v>
      </c>
      <c r="AA351" s="129">
        <f t="shared" si="22"/>
        <v>2750</v>
      </c>
      <c r="AB351" s="129">
        <f t="shared" si="22"/>
        <v>2750</v>
      </c>
      <c r="AC351" s="129">
        <f t="shared" si="22"/>
        <v>2750</v>
      </c>
      <c r="AD351" s="129">
        <f t="shared" si="22"/>
        <v>2750</v>
      </c>
      <c r="AE351" s="129">
        <f t="shared" si="22"/>
        <v>2250</v>
      </c>
      <c r="AF351" s="129">
        <f t="shared" si="22"/>
        <v>0</v>
      </c>
      <c r="AG351" s="129">
        <f t="shared" si="22"/>
        <v>0</v>
      </c>
    </row>
    <row r="352" spans="1:33" s="288" customFormat="1" ht="18" customHeight="1" outlineLevel="1">
      <c r="A352" s="876"/>
      <c r="B352" s="876"/>
      <c r="C352" s="24" t="s">
        <v>343</v>
      </c>
      <c r="D352" s="8" t="str">
        <f>Currency_Label</f>
        <v>USD</v>
      </c>
      <c r="E352" s="299" t="s">
        <v>348</v>
      </c>
      <c r="I352" s="236">
        <f>SUMPRODUCT((IFS!J$6:AG$6),(J352:AG352))</f>
        <v>2750</v>
      </c>
      <c r="J352" s="263"/>
      <c r="K352" s="263"/>
      <c r="L352" s="263"/>
      <c r="M352" s="263"/>
      <c r="N352" s="263"/>
      <c r="O352" s="263"/>
      <c r="P352" s="263"/>
      <c r="Q352" s="263"/>
      <c r="R352" s="263"/>
      <c r="S352" s="263"/>
      <c r="T352" s="263"/>
      <c r="U352" s="263"/>
      <c r="V352" s="263"/>
      <c r="W352" s="263">
        <v>2750</v>
      </c>
      <c r="X352" s="263"/>
      <c r="Y352" s="263"/>
      <c r="Z352" s="263"/>
      <c r="AA352" s="263"/>
      <c r="AB352" s="263"/>
      <c r="AC352" s="263"/>
      <c r="AD352" s="263"/>
      <c r="AE352" s="263"/>
      <c r="AF352" s="263"/>
      <c r="AG352" s="263"/>
    </row>
    <row r="353" spans="1:33" s="288" customFormat="1" ht="18" customHeight="1" outlineLevel="1">
      <c r="A353" s="876"/>
      <c r="B353" s="876"/>
      <c r="C353" s="24" t="s">
        <v>344</v>
      </c>
      <c r="D353" s="8" t="str">
        <f>Currency_Label</f>
        <v>USD</v>
      </c>
      <c r="I353" s="236">
        <f>SUMPRODUCT((IFS!J$6:AG$6),(J353:AG353))</f>
        <v>-500</v>
      </c>
      <c r="J353" s="263"/>
      <c r="K353" s="263"/>
      <c r="L353" s="263"/>
      <c r="M353" s="263"/>
      <c r="N353" s="263"/>
      <c r="O353" s="263"/>
      <c r="P353" s="263"/>
      <c r="Q353" s="263"/>
      <c r="R353" s="263"/>
      <c r="S353" s="263"/>
      <c r="T353" s="263"/>
      <c r="U353" s="263"/>
      <c r="V353" s="263"/>
      <c r="W353" s="263"/>
      <c r="X353" s="263"/>
      <c r="Y353" s="263"/>
      <c r="Z353" s="263"/>
      <c r="AA353" s="263"/>
      <c r="AB353" s="263"/>
      <c r="AC353" s="263"/>
      <c r="AD353" s="263">
        <v>-500</v>
      </c>
      <c r="AE353" s="263"/>
      <c r="AF353" s="263"/>
      <c r="AG353" s="263"/>
    </row>
    <row r="354" spans="1:33" s="288" customFormat="1" ht="18" customHeight="1" outlineLevel="1" thickBot="1">
      <c r="A354" s="876"/>
      <c r="B354" s="876"/>
      <c r="C354" s="632" t="s">
        <v>141</v>
      </c>
      <c r="D354" s="8" t="str">
        <f>Currency_Label</f>
        <v>USD</v>
      </c>
      <c r="E354" s="626">
        <f>IF(MIN(J354:AG354)&lt;0,1,0)</f>
        <v>0</v>
      </c>
      <c r="F354" s="288" t="s">
        <v>345</v>
      </c>
      <c r="I354" s="678"/>
      <c r="J354" s="396">
        <f t="shared" ref="J354:AG354" si="23">SUM(J351:J353)*J$330</f>
        <v>0</v>
      </c>
      <c r="K354" s="396">
        <f t="shared" si="23"/>
        <v>0</v>
      </c>
      <c r="L354" s="396">
        <f t="shared" si="23"/>
        <v>0</v>
      </c>
      <c r="M354" s="396">
        <f t="shared" si="23"/>
        <v>0</v>
      </c>
      <c r="N354" s="396">
        <f t="shared" si="23"/>
        <v>0</v>
      </c>
      <c r="O354" s="396">
        <f t="shared" si="23"/>
        <v>0</v>
      </c>
      <c r="P354" s="396">
        <f t="shared" si="23"/>
        <v>0</v>
      </c>
      <c r="Q354" s="396">
        <f t="shared" si="23"/>
        <v>0</v>
      </c>
      <c r="R354" s="396">
        <f t="shared" si="23"/>
        <v>0</v>
      </c>
      <c r="S354" s="396">
        <f t="shared" si="23"/>
        <v>0</v>
      </c>
      <c r="T354" s="396">
        <f t="shared" si="23"/>
        <v>0</v>
      </c>
      <c r="U354" s="396">
        <f t="shared" si="23"/>
        <v>0</v>
      </c>
      <c r="V354" s="396">
        <f t="shared" si="23"/>
        <v>0</v>
      </c>
      <c r="W354" s="396">
        <f t="shared" si="23"/>
        <v>2750</v>
      </c>
      <c r="X354" s="396">
        <f t="shared" si="23"/>
        <v>2750</v>
      </c>
      <c r="Y354" s="396">
        <f t="shared" si="23"/>
        <v>2750</v>
      </c>
      <c r="Z354" s="396">
        <f t="shared" si="23"/>
        <v>2750</v>
      </c>
      <c r="AA354" s="396">
        <f t="shared" si="23"/>
        <v>2750</v>
      </c>
      <c r="AB354" s="396">
        <f t="shared" si="23"/>
        <v>2750</v>
      </c>
      <c r="AC354" s="396">
        <f t="shared" si="23"/>
        <v>2750</v>
      </c>
      <c r="AD354" s="396">
        <f t="shared" si="23"/>
        <v>2250</v>
      </c>
      <c r="AE354" s="396">
        <f t="shared" si="23"/>
        <v>2250</v>
      </c>
      <c r="AF354" s="396">
        <f t="shared" si="23"/>
        <v>0</v>
      </c>
      <c r="AG354" s="396">
        <f t="shared" si="23"/>
        <v>0</v>
      </c>
    </row>
    <row r="355" spans="1:33" s="288" customFormat="1" ht="18" customHeight="1" outlineLevel="1" thickTop="1">
      <c r="A355" s="876"/>
      <c r="B355" s="876"/>
      <c r="I355" s="550"/>
    </row>
    <row r="356" spans="1:33" s="180" customFormat="1" ht="18" customHeight="1" outlineLevel="1">
      <c r="A356" s="876"/>
      <c r="B356" s="876"/>
      <c r="D356" s="288"/>
      <c r="E356" s="288"/>
      <c r="F356" s="288"/>
      <c r="I356" s="550"/>
    </row>
    <row r="357" spans="1:33" s="288" customFormat="1" ht="18" customHeight="1" outlineLevel="1">
      <c r="A357" s="876"/>
      <c r="B357" s="876"/>
      <c r="C357" s="704" t="s">
        <v>330</v>
      </c>
      <c r="G357" s="397" t="s">
        <v>350</v>
      </c>
      <c r="I357" s="550"/>
    </row>
    <row r="358" spans="1:33" s="288" customFormat="1" ht="18" customHeight="1" outlineLevel="1">
      <c r="A358" s="876"/>
      <c r="B358" s="876"/>
      <c r="C358" s="40" t="str">
        <f>CHOOSE(language,"PAYE owed","Payroll withholdings owed")</f>
        <v>Payroll withholdings owed</v>
      </c>
      <c r="D358" s="8" t="str">
        <f>Currency_Label</f>
        <v>USD</v>
      </c>
      <c r="E358" s="626">
        <f>IF(G358+I358&lt;0,1,0)</f>
        <v>0</v>
      </c>
      <c r="G358" s="144">
        <f>F275</f>
        <v>0</v>
      </c>
      <c r="I358" s="236">
        <f>SUMPRODUCT((IFS!J$6:AG$6),(J358:AG358))</f>
        <v>0</v>
      </c>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c r="AF358" s="263"/>
      <c r="AG358" s="263"/>
    </row>
    <row r="359" spans="1:33" s="288" customFormat="1" ht="18" customHeight="1" outlineLevel="1">
      <c r="A359" s="876"/>
      <c r="B359" s="876"/>
      <c r="E359" s="705"/>
    </row>
    <row r="360" spans="1:33" s="288" customFormat="1" ht="18" customHeight="1" outlineLevel="1">
      <c r="B360" s="876"/>
    </row>
    <row r="361" spans="1:33" s="180" customFormat="1" ht="18" customHeight="1">
      <c r="B361" s="876"/>
      <c r="C361" s="288"/>
      <c r="D361" s="288"/>
      <c r="E361" s="288"/>
      <c r="F361" s="288"/>
    </row>
    <row r="362" spans="1:33" s="180" customFormat="1" ht="18" customHeight="1">
      <c r="B362" s="876"/>
      <c r="C362" s="288"/>
      <c r="D362" s="288"/>
      <c r="E362" s="288"/>
      <c r="F362" s="288"/>
    </row>
    <row r="363" spans="1:33" s="180" customFormat="1" ht="18" customHeight="1">
      <c r="B363" s="876"/>
      <c r="C363" s="288"/>
      <c r="D363" s="288"/>
      <c r="E363" s="288"/>
      <c r="F363" s="288"/>
    </row>
    <row r="364" spans="1:33" s="180" customFormat="1" ht="18" customHeight="1">
      <c r="B364" s="876"/>
      <c r="D364" s="288"/>
      <c r="E364" s="288"/>
      <c r="F364" s="288"/>
    </row>
    <row r="365" spans="1:33" s="180" customFormat="1" ht="18" customHeight="1">
      <c r="B365" s="876"/>
      <c r="D365" s="288"/>
      <c r="E365" s="288"/>
      <c r="F365" s="288"/>
    </row>
    <row r="366" spans="1:33" s="180" customFormat="1" ht="18" customHeight="1">
      <c r="B366" s="876"/>
      <c r="D366" s="288"/>
      <c r="E366" s="288"/>
      <c r="F366" s="288"/>
    </row>
    <row r="367" spans="1:33" s="180" customFormat="1" ht="18" customHeight="1"/>
    <row r="368" spans="1:33" s="180" customFormat="1" ht="18" customHeight="1"/>
    <row r="369" s="180" customFormat="1" ht="18" customHeight="1"/>
    <row r="370" s="180" customFormat="1" ht="18" customHeight="1"/>
    <row r="371" s="180" customFormat="1" ht="18" customHeight="1"/>
    <row r="372" s="180" customFormat="1" ht="18" customHeight="1"/>
    <row r="373" s="180" customFormat="1" ht="18" customHeight="1"/>
    <row r="374" s="180" customFormat="1" ht="18" customHeight="1"/>
    <row r="375" s="180" customFormat="1" ht="18" customHeight="1"/>
    <row r="376" s="180" customFormat="1" ht="18" customHeight="1"/>
    <row r="377" s="180" customFormat="1" ht="18" customHeight="1"/>
    <row r="378" s="180" customFormat="1" ht="18" customHeight="1"/>
    <row r="379" s="180" customFormat="1" ht="18" customHeight="1"/>
    <row r="380" s="180" customFormat="1" ht="18" customHeight="1"/>
    <row r="381" s="180" customFormat="1" ht="18" customHeight="1"/>
    <row r="382" s="180" customFormat="1" ht="18" customHeight="1"/>
    <row r="383" s="180" customFormat="1" ht="18" customHeight="1"/>
    <row r="384" s="180" customFormat="1" ht="18" customHeight="1"/>
    <row r="385" s="180" customFormat="1" ht="18" customHeight="1"/>
    <row r="386" s="180" customFormat="1" ht="18" customHeight="1"/>
    <row r="387" s="180" customFormat="1" ht="18" customHeight="1"/>
    <row r="388" s="180" customFormat="1" ht="18" customHeight="1"/>
    <row r="389" s="180" customFormat="1" ht="18" customHeight="1"/>
    <row r="390" s="180" customFormat="1" ht="18" customHeight="1"/>
    <row r="391" s="180" customFormat="1" ht="18" customHeight="1"/>
    <row r="392" s="180" customFormat="1" ht="18" customHeight="1"/>
    <row r="393" s="180" customFormat="1" ht="18" customHeight="1"/>
    <row r="394" s="180" customFormat="1" ht="18" customHeight="1"/>
    <row r="395" s="180" customFormat="1" ht="18" customHeight="1"/>
    <row r="396" s="180" customFormat="1" ht="18" customHeight="1"/>
    <row r="397" s="180" customFormat="1" ht="18" customHeight="1"/>
    <row r="398" s="180" customFormat="1" ht="18" customHeight="1"/>
    <row r="399" s="180" customFormat="1" ht="18" customHeight="1"/>
    <row r="400" s="180" customFormat="1" ht="18" customHeight="1"/>
    <row r="401" s="180" customFormat="1" ht="18" customHeight="1"/>
    <row r="402" s="180" customFormat="1" ht="18" customHeight="1"/>
    <row r="403" s="180" customFormat="1" ht="18" customHeight="1"/>
    <row r="404" s="180" customFormat="1" ht="18" customHeight="1"/>
    <row r="405" s="180" customFormat="1" ht="18" customHeight="1"/>
    <row r="406" s="180" customFormat="1" ht="18" customHeight="1"/>
    <row r="407" s="180" customFormat="1" ht="18" customHeight="1"/>
    <row r="408" s="180" customFormat="1" ht="18" customHeight="1"/>
    <row r="409" s="180" customFormat="1" ht="18" customHeight="1"/>
    <row r="410" s="180" customFormat="1" ht="18" customHeight="1"/>
    <row r="411" s="180" customFormat="1" ht="18" customHeight="1"/>
    <row r="412" s="180" customFormat="1" ht="18" customHeight="1"/>
    <row r="413" s="180" customFormat="1" ht="18" customHeight="1"/>
    <row r="414" s="180" customFormat="1" ht="18" customHeight="1"/>
  </sheetData>
  <sheetProtection password="F66A" sheet="1"/>
  <sortState ref="C72:D72">
    <sortCondition sortBy="fontColor" ref="D73" dxfId="385"/>
  </sortState>
  <conditionalFormatting sqref="F159">
    <cfRule type="expression" dxfId="384" priority="118" stopIfTrue="1">
      <formula>an_aus_darlehen1=0</formula>
    </cfRule>
  </conditionalFormatting>
  <conditionalFormatting sqref="G159">
    <cfRule type="expression" dxfId="383" priority="117" stopIfTrue="1">
      <formula>an_aus_darlehen1=0</formula>
    </cfRule>
  </conditionalFormatting>
  <conditionalFormatting sqref="F161">
    <cfRule type="expression" dxfId="382" priority="116" stopIfTrue="1">
      <formula>an_aus_darlehen1=0</formula>
    </cfRule>
  </conditionalFormatting>
  <conditionalFormatting sqref="F163">
    <cfRule type="expression" dxfId="381" priority="115" stopIfTrue="1">
      <formula>an_aus_darlehen1=0</formula>
    </cfRule>
  </conditionalFormatting>
  <conditionalFormatting sqref="F164">
    <cfRule type="expression" dxfId="380" priority="114" stopIfTrue="1">
      <formula>an_aus_darlehen1=0</formula>
    </cfRule>
  </conditionalFormatting>
  <conditionalFormatting sqref="F170">
    <cfRule type="expression" dxfId="379" priority="113" stopIfTrue="1">
      <formula>an_aus_darlehen1=0</formula>
    </cfRule>
  </conditionalFormatting>
  <conditionalFormatting sqref="F171">
    <cfRule type="expression" dxfId="378" priority="112" stopIfTrue="1">
      <formula>an_aus_darlehen1=0</formula>
    </cfRule>
  </conditionalFormatting>
  <conditionalFormatting sqref="F173">
    <cfRule type="expression" dxfId="377" priority="111" stopIfTrue="1">
      <formula>an_aus_darlehen1=0</formula>
    </cfRule>
  </conditionalFormatting>
  <conditionalFormatting sqref="F165:F166">
    <cfRule type="expression" dxfId="376" priority="109" stopIfTrue="1">
      <formula>an_aus_darlehen1=0</formula>
    </cfRule>
  </conditionalFormatting>
  <conditionalFormatting sqref="F167">
    <cfRule type="expression" dxfId="375" priority="108" stopIfTrue="1">
      <formula>an_aus_darlehen1=0</formula>
    </cfRule>
  </conditionalFormatting>
  <conditionalFormatting sqref="F172">
    <cfRule type="expression" dxfId="374" priority="107" stopIfTrue="1">
      <formula>an_aus_darlehen1=0</formula>
    </cfRule>
  </conditionalFormatting>
  <conditionalFormatting sqref="H170">
    <cfRule type="expression" dxfId="373" priority="106" stopIfTrue="1">
      <formula>an_aus_darlehen1=0</formula>
    </cfRule>
  </conditionalFormatting>
  <conditionalFormatting sqref="H173">
    <cfRule type="expression" dxfId="372" priority="105" stopIfTrue="1">
      <formula>an_aus_darlehen1=0</formula>
    </cfRule>
  </conditionalFormatting>
  <conditionalFormatting sqref="F178">
    <cfRule type="expression" dxfId="371" priority="104" stopIfTrue="1">
      <formula>Darlehen_02_manuell=1</formula>
    </cfRule>
  </conditionalFormatting>
  <conditionalFormatting sqref="F183">
    <cfRule type="expression" dxfId="370" priority="103" stopIfTrue="1">
      <formula>Darlehen_03_manuell=1</formula>
    </cfRule>
  </conditionalFormatting>
  <conditionalFormatting sqref="F188">
    <cfRule type="expression" dxfId="369" priority="102" stopIfTrue="1">
      <formula>Darlehen_04_manuell=1</formula>
    </cfRule>
  </conditionalFormatting>
  <conditionalFormatting sqref="F198">
    <cfRule type="expression" dxfId="368" priority="95" stopIfTrue="1">
      <formula>#REF!=0</formula>
    </cfRule>
  </conditionalFormatting>
  <conditionalFormatting sqref="H320 H295:H317 H322">
    <cfRule type="cellIs" dxfId="367" priority="71" operator="notEqual">
      <formula>0</formula>
    </cfRule>
  </conditionalFormatting>
  <conditionalFormatting sqref="H294">
    <cfRule type="cellIs" dxfId="366" priority="70" operator="notEqual">
      <formula>0</formula>
    </cfRule>
  </conditionalFormatting>
  <conditionalFormatting sqref="H324">
    <cfRule type="cellIs" dxfId="365" priority="68" operator="notEqual">
      <formula>0</formula>
    </cfRule>
  </conditionalFormatting>
  <conditionalFormatting sqref="D3">
    <cfRule type="cellIs" dxfId="364" priority="67" operator="notEqual">
      <formula>0</formula>
    </cfRule>
  </conditionalFormatting>
  <conditionalFormatting sqref="K330">
    <cfRule type="cellIs" dxfId="363" priority="52" stopIfTrue="1" operator="equal">
      <formula>1</formula>
    </cfRule>
  </conditionalFormatting>
  <conditionalFormatting sqref="J328:AG329">
    <cfRule type="expression" dxfId="362" priority="51" stopIfTrue="1">
      <formula>J$330=1</formula>
    </cfRule>
  </conditionalFormatting>
  <conditionalFormatting sqref="J330:AG330">
    <cfRule type="cellIs" dxfId="361" priority="49" stopIfTrue="1" operator="equal">
      <formula>1</formula>
    </cfRule>
  </conditionalFormatting>
  <conditionalFormatting sqref="K328">
    <cfRule type="expression" dxfId="360" priority="48" stopIfTrue="1">
      <formula>K$330=1</formula>
    </cfRule>
  </conditionalFormatting>
  <conditionalFormatting sqref="K329">
    <cfRule type="expression" dxfId="359" priority="47" stopIfTrue="1">
      <formula>K$330=1</formula>
    </cfRule>
  </conditionalFormatting>
  <conditionalFormatting sqref="J333:AG335 J340:AG341 J352:AG353 J346:AG347 J358:AG358">
    <cfRule type="expression" dxfId="358" priority="45" stopIfTrue="1">
      <formula>J$330=0</formula>
    </cfRule>
  </conditionalFormatting>
  <conditionalFormatting sqref="E342">
    <cfRule type="cellIs" dxfId="357" priority="37" operator="notEqual">
      <formula>0</formula>
    </cfRule>
  </conditionalFormatting>
  <conditionalFormatting sqref="F287">
    <cfRule type="cellIs" dxfId="356" priority="36" operator="notEqual">
      <formula>0</formula>
    </cfRule>
  </conditionalFormatting>
  <conditionalFormatting sqref="E354">
    <cfRule type="cellIs" dxfId="355" priority="33" operator="notEqual">
      <formula>0</formula>
    </cfRule>
  </conditionalFormatting>
  <conditionalFormatting sqref="E348">
    <cfRule type="cellIs" dxfId="354" priority="30" operator="notEqual">
      <formula>0</formula>
    </cfRule>
  </conditionalFormatting>
  <conditionalFormatting sqref="E358">
    <cfRule type="cellIs" dxfId="353" priority="28" operator="notEqual">
      <formula>0</formula>
    </cfRule>
  </conditionalFormatting>
  <conditionalFormatting sqref="F199">
    <cfRule type="expression" dxfId="352" priority="25" stopIfTrue="1">
      <formula>F$6=0</formula>
    </cfRule>
  </conditionalFormatting>
  <conditionalFormatting sqref="F199">
    <cfRule type="expression" dxfId="351" priority="24" stopIfTrue="1">
      <formula>F$6=0</formula>
    </cfRule>
  </conditionalFormatting>
  <conditionalFormatting sqref="F199">
    <cfRule type="expression" dxfId="350" priority="27" stopIfTrue="1">
      <formula>F$6=0</formula>
    </cfRule>
  </conditionalFormatting>
  <conditionalFormatting sqref="F199">
    <cfRule type="expression" dxfId="349" priority="26" stopIfTrue="1">
      <formula>F$6=0</formula>
    </cfRule>
  </conditionalFormatting>
  <conditionalFormatting sqref="F199">
    <cfRule type="expression" dxfId="348" priority="23" stopIfTrue="1">
      <formula>F$6=0</formula>
    </cfRule>
  </conditionalFormatting>
  <conditionalFormatting sqref="F192">
    <cfRule type="cellIs" dxfId="347" priority="22" operator="notEqual">
      <formula>0</formula>
    </cfRule>
  </conditionalFormatting>
  <conditionalFormatting sqref="F162">
    <cfRule type="expression" dxfId="346" priority="21" stopIfTrue="1">
      <formula>an_aus_darlehen1=0</formula>
    </cfRule>
  </conditionalFormatting>
  <conditionalFormatting sqref="H318">
    <cfRule type="cellIs" dxfId="345" priority="20" operator="notEqual">
      <formula>0</formula>
    </cfRule>
  </conditionalFormatting>
  <conditionalFormatting sqref="F233">
    <cfRule type="expression" dxfId="344" priority="16" stopIfTrue="1">
      <formula>F232=0</formula>
    </cfRule>
  </conditionalFormatting>
  <conditionalFormatting sqref="F234">
    <cfRule type="expression" dxfId="343" priority="15" stopIfTrue="1">
      <formula>$F$232=0</formula>
    </cfRule>
  </conditionalFormatting>
  <conditionalFormatting sqref="H319">
    <cfRule type="cellIs" dxfId="342" priority="14" operator="notEqual">
      <formula>0</formula>
    </cfRule>
  </conditionalFormatting>
  <conditionalFormatting sqref="F27">
    <cfRule type="cellIs" dxfId="341" priority="5" stopIfTrue="1" operator="equal">
      <formula>1</formula>
    </cfRule>
  </conditionalFormatting>
  <conditionalFormatting sqref="F90">
    <cfRule type="cellIs" dxfId="340" priority="4" stopIfTrue="1" operator="equal">
      <formula>1</formula>
    </cfRule>
  </conditionalFormatting>
  <conditionalFormatting sqref="F95">
    <cfRule type="cellIs" dxfId="339" priority="3" stopIfTrue="1" operator="equal">
      <formula>1</formula>
    </cfRule>
  </conditionalFormatting>
  <conditionalFormatting sqref="F100">
    <cfRule type="cellIs" dxfId="338" priority="2" stopIfTrue="1" operator="equal">
      <formula>1</formula>
    </cfRule>
  </conditionalFormatting>
  <conditionalFormatting sqref="C73 F88 F36:F37 G42:G43 F59:F60 F68:F73 F42:F46 F76:F77 F79 F30:F34 F50:F52 H45 F54:F56 F82:F85 H88 F62:F65">
    <cfRule type="expression" dxfId="337" priority="760" stopIfTrue="1">
      <formula>$F$27=0</formula>
    </cfRule>
  </conditionalFormatting>
  <conditionalFormatting sqref="F93">
    <cfRule type="expression" dxfId="336" priority="761" stopIfTrue="1">
      <formula>$F$90=0</formula>
    </cfRule>
  </conditionalFormatting>
  <conditionalFormatting sqref="F98">
    <cfRule type="expression" dxfId="335" priority="762" stopIfTrue="1">
      <formula>$F$95=0</formula>
    </cfRule>
  </conditionalFormatting>
  <conditionalFormatting sqref="F103">
    <cfRule type="expression" dxfId="334" priority="763" stopIfTrue="1">
      <formula>$F$100=0</formula>
    </cfRule>
  </conditionalFormatting>
  <conditionalFormatting sqref="H321">
    <cfRule type="cellIs" dxfId="333" priority="1" operator="notEqual">
      <formula>0</formula>
    </cfRule>
  </conditionalFormatting>
  <dataValidations count="27">
    <dataValidation type="list" allowBlank="1" showInputMessage="1" showErrorMessage="1" sqref="F158 F177 F182 F187 F232 I151 F28 F91 F96 F101">
      <formula1>"1,0"</formula1>
    </dataValidation>
    <dataValidation type="whole" allowBlank="1" showErrorMessage="1" errorTitle="Error" error="Valid input has to be between 1 and 36 months !" sqref="F161">
      <formula1>1</formula1>
      <formula2>36</formula2>
    </dataValidation>
    <dataValidation type="list" allowBlank="1" showInputMessage="1" showErrorMessage="1" sqref="H219:H220 H88 H45">
      <formula1>VAT_Rates</formula1>
    </dataValidation>
    <dataValidation type="whole" allowBlank="1" showInputMessage="1" showErrorMessage="1" errorTitle="Error" error="Tenor must be between 1 yr (min.) and 20 yrs maximum." sqref="F163">
      <formula1>1</formula1>
      <formula2>20</formula2>
    </dataValidation>
    <dataValidation type="custom" allowBlank="1" showErrorMessage="1" errorTitle="Error" error="Valid inputs only 0 and quarters:_x000a_i.e.:  0, 3, 6, 9 etc." sqref="F164">
      <formula1>MOD(F164,3)=0</formula1>
    </dataValidation>
    <dataValidation type="list" allowBlank="1" showInputMessage="1" showErrorMessage="1" sqref="I153">
      <formula1>Period_Start</formula1>
    </dataValidation>
    <dataValidation type="whole" allowBlank="1" showInputMessage="1" showErrorMessage="1" errorTitle="Error" error="Valid inputs:_x000a_1 = Jan_x000a_2 = Feb_x000a_3 = Mar" sqref="F205">
      <formula1>1</formula1>
      <formula2>3</formula2>
    </dataValidation>
    <dataValidation type="list" allowBlank="1" showInputMessage="1" showErrorMessage="1" sqref="F216 F55 F31">
      <formula1>Periodicity</formula1>
    </dataValidation>
    <dataValidation type="decimal" operator="greaterThanOrEqual" allowBlank="1" showInputMessage="1" showErrorMessage="1" errorTitle="Inputs" error="Positive numbers/inputs only !" sqref="F283 F261:F264 F259 F267:F269 F272:F275 F278 J346:AG346 J352:AG352 J340:AG340 J333:AG335">
      <formula1>0</formula1>
    </dataValidation>
    <dataValidation type="decimal" operator="lessThanOrEqual" allowBlank="1" showInputMessage="1" showErrorMessage="1" errorTitle="Inputs" error="Negative numbers/inputs only !" sqref="F199 J358:AG358 J347:AG347 J353:AG353 J341:AG341">
      <formula1>0</formula1>
    </dataValidation>
    <dataValidation type="whole" allowBlank="1" showInputMessage="1" showErrorMessage="1" errorTitle="Error" error="Valid inputs:_x000a_Month 1 to 12 only" sqref="F206">
      <formula1>1</formula1>
      <formula2>12</formula2>
    </dataValidation>
    <dataValidation type="decimal" allowBlank="1" showInputMessage="1" showErrorMessage="1" errorTitle="Error" error="Input value must be between 0% and 100% (maximum)!" sqref="F219:F220">
      <formula1>0</formula1>
      <formula2>1</formula2>
    </dataValidation>
    <dataValidation type="whole" allowBlank="1" showInputMessage="1" showErrorMessage="1" errorTitle="Error" error="Only positive integers between 1 and 24 months !" sqref="J268 J273">
      <formula1>1</formula1>
      <formula2>24</formula2>
    </dataValidation>
    <dataValidation allowBlank="1" showInputMessage="1" sqref="F233"/>
    <dataValidation type="decimal" allowBlank="1" showInputMessage="1" showErrorMessage="1" errorTitle="Error" error="Maximum = 100%" sqref="F234 F60 F50:F51 F88 F46">
      <formula1>0</formula1>
      <formula2>1</formula2>
    </dataValidation>
    <dataValidation type="decimal" allowBlank="1" showInputMessage="1" showErrorMessage="1" errorTitle="Error" error="Must be less than 100% as contract cannot be eternal !" sqref="F33">
      <formula1>0</formula1>
      <formula2>0.999</formula2>
    </dataValidation>
    <dataValidation type="decimal" allowBlank="1" showInputMessage="1" showErrorMessage="1" errorTitle="Achtung" error="Werte &gt; 100% nicht möglich!" sqref="F45">
      <formula1>0</formula1>
      <formula2>1</formula2>
    </dataValidation>
    <dataValidation type="list" allowBlank="1" showInputMessage="1" showErrorMessage="1" sqref="F56">
      <formula1>Billing_Type</formula1>
    </dataValidation>
    <dataValidation type="list" allowBlank="1" showInputMessage="1" showErrorMessage="1" errorTitle="Error" error="Maximum = 100%" sqref="F54">
      <formula1>"Direct,By 3rd Party"</formula1>
    </dataValidation>
    <dataValidation type="list" allowBlank="1" showInputMessage="1" showErrorMessage="1" errorTitle="Error" error="Maximum = 100%" sqref="F32">
      <formula1>"Recurring,One-Time"</formula1>
    </dataValidation>
    <dataValidation type="list" allowBlank="1" showInputMessage="1" showErrorMessage="1" errorTitle="Error" error="Maximum = 100%" sqref="F63 F83">
      <formula1>"fully variable,step costs"</formula1>
    </dataValidation>
    <dataValidation type="list" allowBlank="1" showInputMessage="1" showErrorMessage="1" sqref="F52">
      <formula1>Rev_share_basis</formula1>
    </dataValidation>
    <dataValidation type="list" showInputMessage="1" showErrorMessage="1" errorTitle="Error" error="Cannot be changed in free trial version_x000a_=&gt; Please purchase the commercial version!" promptTitle="Note:" prompt="Cannot be changed in free trial version_x000a_=&gt; Please purchase the commercial version!" sqref="F15">
      <formula1>"USD"</formula1>
    </dataValidation>
    <dataValidation type="whole" showInputMessage="1" showErrorMessage="1" errorTitle="Error" error="Cannot be changed in free trial version_x000a_=&gt; Please purchase the commercial version!" promptTitle="Note:" prompt="Cannot be changed in free trial version_x000a_=&gt; Please purchase the commercial version!" sqref="F16">
      <formula1>1</formula1>
      <formula2>1</formula2>
    </dataValidation>
    <dataValidation type="list" allowBlank="1" showInputMessage="1" showErrorMessage="1" errorTitle="Error" error="Cannot be changed in free trial version_x000a_=&gt; Please purchase the commercial version!" promptTitle="Note:" prompt="Cannot be changed in free trial version_x000a_=&gt; Please purchase the commercial version!" sqref="F21">
      <formula1>"1"</formula1>
    </dataValidation>
    <dataValidation type="list" allowBlank="1" showInputMessage="1" showErrorMessage="1" errorTitle="Error" error="Cannot be changed in free trial version_x000a_=&gt; Please purchase the commercial version!_x000a_" promptTitle="Note:" prompt="Cannot be changed in free trial version_x000a_=&gt; Please purchase the commercial version!_x000a_" sqref="F20">
      <formula1>"01.03.2019"</formula1>
    </dataValidation>
    <dataValidation type="list" allowBlank="1" showInputMessage="1" showErrorMessage="1" errorTitle="Error" error="Cannot be changed in free trial version_x000a_=&gt; Please purchase the commercial version!" promptTitle="Note:" prompt="Cannot be changed in free trial version_x000a_=&gt; Please purchase the commercial version!" sqref="I20">
      <formula1>"NOV"</formula1>
    </dataValidation>
  </dataValidations>
  <hyperlinks>
    <hyperlink ref="F3" location="Fehlerkontrolle" display="Go to error checks"/>
    <hyperlink ref="F2" location="Index!A1" display="Go to table of contents"/>
    <hyperlink ref="E294" location="FK_01" display="To Control Cell"/>
    <hyperlink ref="E295:E298" location="FK_01" display="zur Kontrollzelle"/>
    <hyperlink ref="E298" location="FK_05" display="To Control Cell"/>
    <hyperlink ref="E297" location="FK_04" display="To Control Cell"/>
    <hyperlink ref="E295" location="FK_03" display="To Control Cell"/>
    <hyperlink ref="E299:E311" location="FK_01" display="zur Kontrollzelle"/>
    <hyperlink ref="E299" location="FK_06" display="To Control Cell"/>
    <hyperlink ref="E300" location="FK_07" display="To Control Cell"/>
    <hyperlink ref="E301" location="FK_08" display="To Control Cell"/>
    <hyperlink ref="E302" location="FK_09" display="To Control Cell"/>
    <hyperlink ref="E303" location="FK_10" display="To Control Cell"/>
    <hyperlink ref="E304" location="FK_11" display="To Control Cell"/>
    <hyperlink ref="E305" location="FK_12" display="To Control Cell"/>
    <hyperlink ref="E306" location="FK_13" display="To Control Cell"/>
    <hyperlink ref="E307" location="FK_16" display="To Control Cell"/>
    <hyperlink ref="E308" location="FK_17" display="To Control Cell"/>
    <hyperlink ref="E309" location="FK_18" display="To Control Cell"/>
    <hyperlink ref="E310" location="FK_19" display="To Control Cell"/>
    <hyperlink ref="E311" location="FK_20" display="To Control Cell"/>
    <hyperlink ref="E296" location="FK_29" display="To Control Cell"/>
    <hyperlink ref="E312" location="FK_30" display="To Control Cell"/>
    <hyperlink ref="E313:E317" location="FK_01" display="zur Kontrollzelle"/>
    <hyperlink ref="E313" location="FK_28" display="To Control Cell"/>
    <hyperlink ref="E314" location="FK_21" display="To Control Cell"/>
    <hyperlink ref="E315" location="FK_23" display="To Control Cell"/>
    <hyperlink ref="E316" location="FK_26" display="To Control Cell"/>
    <hyperlink ref="E317" location="FK_27" display="To Control Cell"/>
    <hyperlink ref="E318" location="FK_31" display="To Control Cell"/>
    <hyperlink ref="E319" location="FK_32" display="To Control Cell"/>
    <hyperlink ref="E320" location="FK_24" display="To Control Cell"/>
  </hyperlinks>
  <printOptions horizontalCentered="1"/>
  <pageMargins left="0.39370078740157483" right="0.39370078740157483" top="0.59055118110236227" bottom="0.59055118110236227" header="0.31496062992125984" footer="0.31496062992125984"/>
  <pageSetup paperSize="9" scale="58" fitToHeight="6" orientation="landscape" r:id="rId1"/>
  <headerFooter>
    <oddFooter>&amp;Lwww.excel-financial-model.com&amp;C&amp;A&amp;RSeite &amp;P von &amp;N</oddFooter>
  </headerFooter>
  <rowBreaks count="9" manualBreakCount="9">
    <brk id="48" min="1" max="13" man="1"/>
    <brk id="89" min="1" max="13" man="1"/>
    <brk id="104" min="1" max="13" man="1"/>
    <brk id="135" min="1" max="13" man="1"/>
    <brk id="146" min="1" max="13" man="1"/>
    <brk id="194" min="1" max="13" man="1"/>
    <brk id="222" min="1" max="13" man="1"/>
    <brk id="255" min="1" max="13" man="1"/>
    <brk id="288" min="1" max="13" man="1"/>
  </rowBreaks>
  <ignoredErrors>
    <ignoredError sqref="F260" formulaRange="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2667" r:id="rId5" name="Button 139">
              <controlPr defaultSize="0" print="0" autoFill="0" autoPict="0" altText="">
                <anchor moveWithCells="1" sizeWithCells="1">
                  <from>
                    <xdr:col>6</xdr:col>
                    <xdr:colOff>1066800</xdr:colOff>
                    <xdr:row>2</xdr:row>
                    <xdr:rowOff>0</xdr:rowOff>
                  </from>
                  <to>
                    <xdr:col>10</xdr:col>
                    <xdr:colOff>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showInputMessage="1" showErrorMessage="1" promptTitle="Sprachwahl / Language Selection">
          <x14:formula1>
            <xm:f>Formats!$J$85:$J$86</xm:f>
          </x14:formula1>
          <xm:sqref>F14</xm:sqref>
        </x14:dataValidation>
        <x14:dataValidation type="list" allowBlank="1" showInputMessage="1" showErrorMessage="1">
          <x14:formula1>
            <xm:f>Formats!$J$89:$J$91</xm:f>
          </x14:formula1>
          <xm:sqref>F209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ffering1">
    <tabColor rgb="FFFFFF00"/>
    <pageSetUpPr autoPageBreaks="0"/>
  </sheetPr>
  <dimension ref="A1:BU271"/>
  <sheetViews>
    <sheetView showGridLines="0" zoomScale="85" zoomScaleNormal="85" workbookViewId="0">
      <pane xSplit="9" ySplit="6" topLeftCell="J7" activePane="bottomRight" state="frozenSplit"/>
      <selection pane="topRight" activeCell="J1" sqref="J1"/>
      <selection pane="bottomLeft" activeCell="A7" sqref="A7"/>
      <selection pane="bottomRight" activeCell="J7" sqref="J7"/>
    </sheetView>
  </sheetViews>
  <sheetFormatPr baseColWidth="10" defaultColWidth="0" defaultRowHeight="12.75" outlineLevelRow="2"/>
  <cols>
    <col min="1" max="1" width="3.7109375" customWidth="1"/>
    <col min="2" max="2" width="3.85546875" customWidth="1"/>
    <col min="3" max="3" width="59.42578125" customWidth="1"/>
    <col min="4" max="4" width="11.42578125" customWidth="1"/>
    <col min="5" max="5" width="20.7109375" customWidth="1"/>
    <col min="6" max="6" width="17.42578125" customWidth="1"/>
    <col min="7" max="7" width="15" customWidth="1"/>
    <col min="8" max="8" width="8.7109375" customWidth="1"/>
    <col min="9" max="33" width="11.42578125" customWidth="1"/>
    <col min="34" max="73" width="0" hidden="1" customWidth="1"/>
    <col min="74" max="16384" width="11.42578125" hidden="1"/>
  </cols>
  <sheetData>
    <row r="1" spans="1:33" ht="20.25">
      <c r="A1" s="41" t="s">
        <v>962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6.5" customHeight="1">
      <c r="A2" s="127"/>
      <c r="B2" s="127"/>
      <c r="C2" s="268" t="str">
        <f>Timing!C2</f>
        <v>Model: Fictitious 5 Year Forecast</v>
      </c>
      <c r="D2" s="268"/>
      <c r="E2" s="429" t="s">
        <v>148</v>
      </c>
      <c r="F2" s="127"/>
      <c r="G2" s="127"/>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row>
    <row r="3" spans="1:33" ht="16.5" customHeight="1">
      <c r="A3" s="127"/>
      <c r="B3" s="127"/>
      <c r="C3" s="268" t="str">
        <f>Timing!C3</f>
        <v>Model Integrity:</v>
      </c>
      <c r="D3" s="668">
        <f ca="1">Timing!D3</f>
        <v>0</v>
      </c>
      <c r="E3" s="429" t="s">
        <v>149</v>
      </c>
      <c r="F3" s="127"/>
      <c r="G3" s="280"/>
      <c r="H3" s="280"/>
      <c r="I3" s="277"/>
      <c r="J3" s="281"/>
      <c r="K3" s="861"/>
      <c r="L3" s="281"/>
      <c r="M3" s="861"/>
      <c r="N3" s="281"/>
      <c r="O3" s="861"/>
      <c r="P3" s="281"/>
      <c r="Q3" s="861"/>
      <c r="R3" s="281"/>
      <c r="S3" s="861"/>
      <c r="T3" s="281"/>
      <c r="U3" s="861"/>
      <c r="V3" s="281"/>
      <c r="W3" s="861"/>
      <c r="X3" s="281"/>
      <c r="Y3" s="861"/>
      <c r="Z3" s="281"/>
      <c r="AA3" s="861"/>
      <c r="AB3" s="281"/>
      <c r="AC3" s="861"/>
      <c r="AD3" s="281"/>
      <c r="AE3" s="861"/>
      <c r="AF3" s="281"/>
      <c r="AG3" s="861"/>
    </row>
    <row r="4" spans="1:33" ht="16.5" customHeight="1">
      <c r="A4" s="275"/>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6.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6.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16.5" customHeight="1">
      <c r="A7" s="861"/>
      <c r="B7" s="861"/>
      <c r="C7" s="861" t="str">
        <f>Timing!C17</f>
        <v>Month of model</v>
      </c>
      <c r="D7" s="270" t="str">
        <f>Timing!D17</f>
        <v>#</v>
      </c>
      <c r="E7" s="861"/>
      <c r="F7" s="861"/>
      <c r="G7" s="861"/>
      <c r="H7" s="861"/>
      <c r="I7" s="861"/>
      <c r="J7" s="861">
        <f>Timing!J17</f>
        <v>1</v>
      </c>
      <c r="K7" s="861">
        <f>Timing!K17</f>
        <v>2</v>
      </c>
      <c r="L7" s="861">
        <f>Timing!L17</f>
        <v>3</v>
      </c>
      <c r="M7" s="861">
        <f>Timing!M17</f>
        <v>4</v>
      </c>
      <c r="N7" s="861">
        <f>Timing!N17</f>
        <v>5</v>
      </c>
      <c r="O7" s="861">
        <f>Timing!O17</f>
        <v>6</v>
      </c>
      <c r="P7" s="861">
        <f>Timing!P17</f>
        <v>7</v>
      </c>
      <c r="Q7" s="861">
        <f>Timing!Q17</f>
        <v>8</v>
      </c>
      <c r="R7" s="861">
        <f>Timing!R17</f>
        <v>9</v>
      </c>
      <c r="S7" s="861">
        <f>Timing!S17</f>
        <v>10</v>
      </c>
      <c r="T7" s="861">
        <f>Timing!T17</f>
        <v>11</v>
      </c>
      <c r="U7" s="861">
        <f>Timing!U17</f>
        <v>12</v>
      </c>
      <c r="V7" s="861">
        <f>Timing!V17</f>
        <v>13</v>
      </c>
      <c r="W7" s="861">
        <f>Timing!W17</f>
        <v>14</v>
      </c>
      <c r="X7" s="861">
        <f>Timing!X17</f>
        <v>15</v>
      </c>
      <c r="Y7" s="861">
        <f>Timing!Y17</f>
        <v>16</v>
      </c>
      <c r="Z7" s="861">
        <f>Timing!Z17</f>
        <v>17</v>
      </c>
      <c r="AA7" s="861">
        <f>Timing!AA17</f>
        <v>18</v>
      </c>
      <c r="AB7" s="861">
        <f>Timing!AB17</f>
        <v>19</v>
      </c>
      <c r="AC7" s="861">
        <f>Timing!AC17</f>
        <v>20</v>
      </c>
      <c r="AD7" s="861">
        <f>Timing!AD17</f>
        <v>21</v>
      </c>
      <c r="AE7" s="861">
        <f>Timing!AE17</f>
        <v>22</v>
      </c>
      <c r="AF7" s="861">
        <f>Timing!AF17</f>
        <v>23</v>
      </c>
      <c r="AG7" s="861">
        <f>Timing!AG17</f>
        <v>24</v>
      </c>
    </row>
    <row r="8" spans="1:33" ht="16.5" customHeight="1">
      <c r="A8" s="861"/>
      <c r="B8" s="861"/>
      <c r="C8" s="861" t="str">
        <f>Timing!C11</f>
        <v>Calendar Year (Counter)</v>
      </c>
      <c r="D8" s="270" t="str">
        <f>Timing!D11</f>
        <v>#</v>
      </c>
      <c r="E8" s="861"/>
      <c r="F8" s="861"/>
      <c r="G8" s="861"/>
      <c r="H8" s="861"/>
      <c r="I8" s="861"/>
      <c r="J8" s="861">
        <f>Timing!J11</f>
        <v>1</v>
      </c>
      <c r="K8" s="861">
        <f>Timing!K11</f>
        <v>1</v>
      </c>
      <c r="L8" s="861">
        <f>Timing!L11</f>
        <v>1</v>
      </c>
      <c r="M8" s="861">
        <f>Timing!M11</f>
        <v>1</v>
      </c>
      <c r="N8" s="861">
        <f>Timing!N11</f>
        <v>1</v>
      </c>
      <c r="O8" s="861">
        <f>Timing!O11</f>
        <v>1</v>
      </c>
      <c r="P8" s="861">
        <f>Timing!P11</f>
        <v>1</v>
      </c>
      <c r="Q8" s="861">
        <f>Timing!Q11</f>
        <v>1</v>
      </c>
      <c r="R8" s="861">
        <f>Timing!R11</f>
        <v>1</v>
      </c>
      <c r="S8" s="861">
        <f>Timing!S11</f>
        <v>1</v>
      </c>
      <c r="T8" s="861">
        <f>Timing!T11</f>
        <v>1</v>
      </c>
      <c r="U8" s="861">
        <f>Timing!U11</f>
        <v>2</v>
      </c>
      <c r="V8" s="861">
        <f>Timing!V11</f>
        <v>2</v>
      </c>
      <c r="W8" s="861">
        <f>Timing!W11</f>
        <v>2</v>
      </c>
      <c r="X8" s="861">
        <f>Timing!X11</f>
        <v>2</v>
      </c>
      <c r="Y8" s="861">
        <f>Timing!Y11</f>
        <v>2</v>
      </c>
      <c r="Z8" s="861">
        <f>Timing!Z11</f>
        <v>2</v>
      </c>
      <c r="AA8" s="861">
        <f>Timing!AA11</f>
        <v>2</v>
      </c>
      <c r="AB8" s="861">
        <f>Timing!AB11</f>
        <v>2</v>
      </c>
      <c r="AC8" s="861">
        <f>Timing!AC11</f>
        <v>2</v>
      </c>
      <c r="AD8" s="861">
        <f>Timing!AD11</f>
        <v>2</v>
      </c>
      <c r="AE8" s="861">
        <f>Timing!AE11</f>
        <v>2</v>
      </c>
      <c r="AF8" s="861">
        <f>Timing!AF11</f>
        <v>2</v>
      </c>
      <c r="AG8" s="861">
        <f>Timing!AG11</f>
        <v>3</v>
      </c>
    </row>
    <row r="9" spans="1:33" ht="16.5" customHeight="1">
      <c r="A9" s="861"/>
      <c r="B9" s="861"/>
      <c r="C9" s="861"/>
      <c r="D9" s="270"/>
      <c r="E9" s="861"/>
      <c r="F9" s="861"/>
      <c r="G9" s="861"/>
      <c r="H9" s="512"/>
      <c r="I9" s="861"/>
      <c r="J9" s="861"/>
      <c r="K9" s="861"/>
      <c r="L9" s="861"/>
      <c r="M9" s="861"/>
      <c r="N9" s="861"/>
      <c r="O9" s="861"/>
      <c r="P9" s="861"/>
      <c r="Q9" s="861"/>
      <c r="R9" s="861"/>
      <c r="S9" s="861"/>
      <c r="T9" s="861"/>
      <c r="U9" s="861"/>
      <c r="V9" s="861"/>
      <c r="W9" s="861"/>
      <c r="X9" s="861"/>
      <c r="Y9" s="861"/>
      <c r="Z9" s="861"/>
      <c r="AA9" s="861"/>
      <c r="AB9" s="861"/>
      <c r="AC9" s="861"/>
      <c r="AD9" s="861"/>
      <c r="AE9" s="861"/>
      <c r="AF9" s="861"/>
      <c r="AG9" s="861"/>
    </row>
    <row r="10" spans="1:33" ht="29.25" customHeight="1" thickBot="1">
      <c r="A10" s="427"/>
      <c r="B10" s="427"/>
      <c r="C10" s="427" t="str">
        <f>"Product/Service 1: "&amp;Inputs!$F$30</f>
        <v>Product/Service 1: WonderApp</v>
      </c>
      <c r="D10" s="427"/>
      <c r="E10" s="1043" t="s">
        <v>1011</v>
      </c>
      <c r="F10" s="1019">
        <f>OnOff_PS1</f>
        <v>1</v>
      </c>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row>
    <row r="11" spans="1:33" ht="9.75" customHeight="1">
      <c r="A11" s="861"/>
      <c r="B11" s="861"/>
      <c r="C11" s="861"/>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row>
    <row r="12" spans="1:33" ht="21.75" customHeight="1">
      <c r="A12" s="861"/>
      <c r="B12" s="274">
        <v>1</v>
      </c>
      <c r="C12" s="274" t="str">
        <f>"Customers - "&amp;Inputs!$F$30</f>
        <v>Customers - WonderApp</v>
      </c>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61"/>
      <c r="AC12" s="861"/>
      <c r="AD12" s="861"/>
      <c r="AE12" s="861"/>
      <c r="AF12" s="861"/>
      <c r="AG12" s="861"/>
    </row>
    <row r="13" spans="1:33" ht="17.25" customHeight="1" outlineLevel="1">
      <c r="A13" s="861"/>
      <c r="B13" s="861"/>
      <c r="C13" s="737" t="s">
        <v>792</v>
      </c>
      <c r="D13" s="8" t="s">
        <v>39</v>
      </c>
      <c r="E13" s="549"/>
      <c r="F13" s="549"/>
      <c r="G13" s="549"/>
      <c r="H13" s="549"/>
      <c r="I13" s="549"/>
      <c r="J13" s="230">
        <f t="shared" ref="J13:AG13" si="0">I16*J6</f>
        <v>157</v>
      </c>
      <c r="K13" s="230">
        <f t="shared" ca="1" si="0"/>
        <v>207</v>
      </c>
      <c r="L13" s="230">
        <f t="shared" ca="1" si="0"/>
        <v>307</v>
      </c>
      <c r="M13" s="230">
        <f t="shared" ca="1" si="0"/>
        <v>432</v>
      </c>
      <c r="N13" s="230">
        <f t="shared" ca="1" si="0"/>
        <v>551.65</v>
      </c>
      <c r="O13" s="230">
        <f t="shared" ca="1" si="0"/>
        <v>681.85</v>
      </c>
      <c r="P13" s="230">
        <f t="shared" ca="1" si="0"/>
        <v>816.20800000000008</v>
      </c>
      <c r="Q13" s="230">
        <f t="shared" ca="1" si="0"/>
        <v>946.10782000000017</v>
      </c>
      <c r="R13" s="230">
        <f t="shared" ca="1" si="0"/>
        <v>1086.6794328000003</v>
      </c>
      <c r="S13" s="230">
        <f t="shared" ca="1" si="0"/>
        <v>1231.8764101120003</v>
      </c>
      <c r="T13" s="230">
        <f t="shared" ca="1" si="0"/>
        <v>1344.3896415164802</v>
      </c>
      <c r="U13" s="230">
        <f t="shared" ca="1" si="0"/>
        <v>1479.7746921771395</v>
      </c>
      <c r="V13" s="230">
        <f t="shared" ca="1" si="0"/>
        <v>1616.0265448642251</v>
      </c>
      <c r="W13" s="230">
        <f t="shared" ca="1" si="0"/>
        <v>1728.157607908794</v>
      </c>
      <c r="X13" s="230">
        <f t="shared" ca="1" si="0"/>
        <v>1859.0660117751459</v>
      </c>
      <c r="Y13" s="230">
        <f t="shared" ca="1" si="0"/>
        <v>1991.7538157961517</v>
      </c>
      <c r="Z13" s="230">
        <f t="shared" ca="1" si="0"/>
        <v>2106.9739082154979</v>
      </c>
      <c r="AA13" s="230">
        <f t="shared" ca="1" si="0"/>
        <v>2237.9782210446178</v>
      </c>
      <c r="AB13" s="230">
        <f t="shared" ca="1" si="0"/>
        <v>2371.5954350269026</v>
      </c>
      <c r="AC13" s="230">
        <f t="shared" ca="1" si="0"/>
        <v>2492.961868562104</v>
      </c>
      <c r="AD13" s="230">
        <f t="shared" ca="1" si="0"/>
        <v>2627.9740270453431</v>
      </c>
      <c r="AE13" s="230">
        <f t="shared" ca="1" si="0"/>
        <v>2766.389945634312</v>
      </c>
      <c r="AF13" s="230">
        <f t="shared" ca="1" si="0"/>
        <v>0</v>
      </c>
      <c r="AG13" s="230">
        <f t="shared" ca="1" si="0"/>
        <v>0</v>
      </c>
    </row>
    <row r="14" spans="1:33" ht="17.25" customHeight="1" outlineLevel="1">
      <c r="A14" s="861"/>
      <c r="B14" s="861"/>
      <c r="C14" s="737" t="s">
        <v>791</v>
      </c>
      <c r="D14" s="8" t="s">
        <v>39</v>
      </c>
      <c r="E14" s="549"/>
      <c r="F14" s="549"/>
      <c r="G14" s="549"/>
      <c r="H14" s="549"/>
      <c r="I14" s="71">
        <f>SUMPRODUCT((J$6:AG$6),(J14:AG14))</f>
        <v>3872.2598219794372</v>
      </c>
      <c r="J14" s="263">
        <v>50</v>
      </c>
      <c r="K14" s="263">
        <v>100</v>
      </c>
      <c r="L14" s="263">
        <v>125</v>
      </c>
      <c r="M14" s="263">
        <v>130</v>
      </c>
      <c r="N14" s="263">
        <f>M14*(1+4%)</f>
        <v>135.20000000000002</v>
      </c>
      <c r="O14" s="263">
        <f t="shared" ref="O14:AG14" si="1">N14*(1+4%)</f>
        <v>140.60800000000003</v>
      </c>
      <c r="P14" s="263">
        <f t="shared" si="1"/>
        <v>146.23232000000004</v>
      </c>
      <c r="Q14" s="263">
        <f t="shared" si="1"/>
        <v>152.08161280000004</v>
      </c>
      <c r="R14" s="263">
        <f t="shared" si="1"/>
        <v>158.16487731200004</v>
      </c>
      <c r="S14" s="263">
        <f t="shared" si="1"/>
        <v>164.49147240448005</v>
      </c>
      <c r="T14" s="263">
        <f t="shared" si="1"/>
        <v>171.07113130065926</v>
      </c>
      <c r="U14" s="263">
        <f t="shared" si="1"/>
        <v>177.91397655268563</v>
      </c>
      <c r="V14" s="263">
        <f t="shared" si="1"/>
        <v>185.03053561479305</v>
      </c>
      <c r="W14" s="263">
        <f t="shared" si="1"/>
        <v>192.43175703938479</v>
      </c>
      <c r="X14" s="263">
        <f t="shared" si="1"/>
        <v>200.12902732096018</v>
      </c>
      <c r="Y14" s="263">
        <f t="shared" si="1"/>
        <v>208.1341884137986</v>
      </c>
      <c r="Z14" s="263">
        <f t="shared" si="1"/>
        <v>216.45955595035053</v>
      </c>
      <c r="AA14" s="263">
        <f t="shared" si="1"/>
        <v>225.11793818836458</v>
      </c>
      <c r="AB14" s="263">
        <f t="shared" si="1"/>
        <v>234.12265571589916</v>
      </c>
      <c r="AC14" s="263">
        <f t="shared" si="1"/>
        <v>243.48756194453514</v>
      </c>
      <c r="AD14" s="263">
        <f t="shared" si="1"/>
        <v>253.22706442231657</v>
      </c>
      <c r="AE14" s="263">
        <f t="shared" si="1"/>
        <v>263.35614699920927</v>
      </c>
      <c r="AF14" s="263">
        <f t="shared" si="1"/>
        <v>273.89039287917763</v>
      </c>
      <c r="AG14" s="263">
        <f t="shared" si="1"/>
        <v>284.84600859434477</v>
      </c>
    </row>
    <row r="15" spans="1:33" ht="17.25" customHeight="1" outlineLevel="1">
      <c r="A15" s="861"/>
      <c r="B15" s="861"/>
      <c r="C15" s="737" t="s">
        <v>790</v>
      </c>
      <c r="D15" s="8" t="s">
        <v>39</v>
      </c>
      <c r="E15" s="549"/>
      <c r="F15" s="549"/>
      <c r="G15" s="549"/>
      <c r="H15" s="549"/>
      <c r="I15" s="71">
        <f ca="1">SUM(J15:AG15)</f>
        <v>1132.5618614569735</v>
      </c>
      <c r="J15" s="230">
        <f t="shared" ref="J15:AG15" ca="1" si="2">J136+J219</f>
        <v>0</v>
      </c>
      <c r="K15" s="230">
        <f t="shared" ca="1" si="2"/>
        <v>0</v>
      </c>
      <c r="L15" s="230">
        <f t="shared" ca="1" si="2"/>
        <v>0</v>
      </c>
      <c r="M15" s="230">
        <f t="shared" ca="1" si="2"/>
        <v>10.34999999999998</v>
      </c>
      <c r="N15" s="230">
        <f t="shared" ca="1" si="2"/>
        <v>5</v>
      </c>
      <c r="O15" s="230">
        <f t="shared" ca="1" si="2"/>
        <v>6.25</v>
      </c>
      <c r="P15" s="230">
        <f t="shared" ca="1" si="2"/>
        <v>16.332499999999996</v>
      </c>
      <c r="Q15" s="230">
        <f t="shared" ca="1" si="2"/>
        <v>11.509999999999998</v>
      </c>
      <c r="R15" s="230">
        <f t="shared" ca="1" si="2"/>
        <v>12.967900000000007</v>
      </c>
      <c r="S15" s="230">
        <f t="shared" ca="1" si="2"/>
        <v>51.978241000000025</v>
      </c>
      <c r="T15" s="230">
        <f t="shared" ca="1" si="2"/>
        <v>35.686080640000021</v>
      </c>
      <c r="U15" s="230">
        <f t="shared" ca="1" si="2"/>
        <v>41.662123865600009</v>
      </c>
      <c r="V15" s="230">
        <f t="shared" ca="1" si="2"/>
        <v>72.89947257022402</v>
      </c>
      <c r="W15" s="230">
        <f t="shared" ca="1" si="2"/>
        <v>61.523353173032966</v>
      </c>
      <c r="X15" s="230">
        <f t="shared" ca="1" si="2"/>
        <v>67.441223299954274</v>
      </c>
      <c r="Y15" s="230">
        <f t="shared" ca="1" si="2"/>
        <v>92.914095994452452</v>
      </c>
      <c r="Z15" s="230">
        <f t="shared" ca="1" si="2"/>
        <v>85.455243121230595</v>
      </c>
      <c r="AA15" s="230">
        <f t="shared" ca="1" si="2"/>
        <v>91.500724206079795</v>
      </c>
      <c r="AB15" s="230">
        <f t="shared" ca="1" si="2"/>
        <v>112.75622218069796</v>
      </c>
      <c r="AC15" s="230">
        <f t="shared" ca="1" si="2"/>
        <v>108.4754034612959</v>
      </c>
      <c r="AD15" s="230">
        <f t="shared" ca="1" si="2"/>
        <v>114.81114583334771</v>
      </c>
      <c r="AE15" s="230">
        <f t="shared" ca="1" si="2"/>
        <v>133.04813211105792</v>
      </c>
      <c r="AF15" s="230">
        <f t="shared" ca="1" si="2"/>
        <v>0</v>
      </c>
      <c r="AG15" s="230">
        <f t="shared" ca="1" si="2"/>
        <v>0</v>
      </c>
    </row>
    <row r="16" spans="1:33" ht="17.25" customHeight="1" outlineLevel="1" thickBot="1">
      <c r="A16" s="861"/>
      <c r="B16" s="861"/>
      <c r="C16" s="737" t="s">
        <v>789</v>
      </c>
      <c r="D16" s="8" t="s">
        <v>39</v>
      </c>
      <c r="E16" s="549"/>
      <c r="F16" s="549"/>
      <c r="G16" s="549"/>
      <c r="H16" s="549"/>
      <c r="I16" s="144">
        <f>IF(Inputs!$G$32=1,Inputs!F36+Inputs!F37,0)</f>
        <v>157</v>
      </c>
      <c r="J16" s="672">
        <f t="shared" ref="J16:AG16" ca="1" si="3">(J13+J14-J15)*J6</f>
        <v>207</v>
      </c>
      <c r="K16" s="672">
        <f t="shared" ca="1" si="3"/>
        <v>307</v>
      </c>
      <c r="L16" s="672">
        <f t="shared" ca="1" si="3"/>
        <v>432</v>
      </c>
      <c r="M16" s="672">
        <f t="shared" ca="1" si="3"/>
        <v>551.65</v>
      </c>
      <c r="N16" s="672">
        <f t="shared" ca="1" si="3"/>
        <v>681.85</v>
      </c>
      <c r="O16" s="672">
        <f t="shared" ca="1" si="3"/>
        <v>816.20800000000008</v>
      </c>
      <c r="P16" s="672">
        <f t="shared" ca="1" si="3"/>
        <v>946.10782000000017</v>
      </c>
      <c r="Q16" s="672">
        <f t="shared" ca="1" si="3"/>
        <v>1086.6794328000003</v>
      </c>
      <c r="R16" s="672">
        <f t="shared" ca="1" si="3"/>
        <v>1231.8764101120003</v>
      </c>
      <c r="S16" s="672">
        <f t="shared" ca="1" si="3"/>
        <v>1344.3896415164802</v>
      </c>
      <c r="T16" s="672">
        <f t="shared" ca="1" si="3"/>
        <v>1479.7746921771395</v>
      </c>
      <c r="U16" s="672">
        <f t="shared" ca="1" si="3"/>
        <v>1616.0265448642251</v>
      </c>
      <c r="V16" s="672">
        <f t="shared" ca="1" si="3"/>
        <v>1728.157607908794</v>
      </c>
      <c r="W16" s="672">
        <f t="shared" ca="1" si="3"/>
        <v>1859.0660117751459</v>
      </c>
      <c r="X16" s="672">
        <f t="shared" ca="1" si="3"/>
        <v>1991.7538157961517</v>
      </c>
      <c r="Y16" s="672">
        <f t="shared" ca="1" si="3"/>
        <v>2106.9739082154979</v>
      </c>
      <c r="Z16" s="672">
        <f t="shared" ca="1" si="3"/>
        <v>2237.9782210446178</v>
      </c>
      <c r="AA16" s="672">
        <f t="shared" ca="1" si="3"/>
        <v>2371.5954350269026</v>
      </c>
      <c r="AB16" s="672">
        <f t="shared" ca="1" si="3"/>
        <v>2492.961868562104</v>
      </c>
      <c r="AC16" s="672">
        <f t="shared" ca="1" si="3"/>
        <v>2627.9740270453431</v>
      </c>
      <c r="AD16" s="672">
        <f t="shared" ca="1" si="3"/>
        <v>2766.389945634312</v>
      </c>
      <c r="AE16" s="672">
        <f t="shared" ca="1" si="3"/>
        <v>2896.6979605224633</v>
      </c>
      <c r="AF16" s="672">
        <f t="shared" ca="1" si="3"/>
        <v>0</v>
      </c>
      <c r="AG16" s="672">
        <f t="shared" ca="1" si="3"/>
        <v>0</v>
      </c>
    </row>
    <row r="17" spans="1:33" ht="9" customHeight="1" outlineLevel="1" thickTop="1">
      <c r="A17" s="861"/>
      <c r="B17" s="861"/>
      <c r="C17" s="861"/>
      <c r="D17" s="861"/>
      <c r="E17" s="861"/>
      <c r="F17" s="861"/>
      <c r="G17" s="861"/>
      <c r="H17" s="861"/>
      <c r="I17" s="861"/>
      <c r="J17" s="861"/>
      <c r="K17" s="861"/>
      <c r="L17" s="861"/>
      <c r="M17" s="861"/>
      <c r="N17" s="861"/>
      <c r="O17" s="861"/>
      <c r="P17" s="861"/>
      <c r="Q17" s="861"/>
      <c r="R17" s="861"/>
      <c r="S17" s="861"/>
      <c r="T17" s="861"/>
      <c r="U17" s="861"/>
      <c r="V17" s="861"/>
      <c r="W17" s="861"/>
      <c r="X17" s="861"/>
      <c r="Y17" s="861"/>
      <c r="Z17" s="861"/>
      <c r="AA17" s="861"/>
      <c r="AB17" s="861"/>
      <c r="AC17" s="861"/>
      <c r="AD17" s="861"/>
      <c r="AE17" s="861"/>
      <c r="AF17" s="861"/>
      <c r="AG17" s="861"/>
    </row>
    <row r="18" spans="1:33" ht="17.25" customHeight="1" outlineLevel="1">
      <c r="A18" s="861"/>
      <c r="B18" s="861"/>
      <c r="C18" s="737" t="s">
        <v>788</v>
      </c>
      <c r="D18" s="8" t="s">
        <v>39</v>
      </c>
      <c r="E18" s="549"/>
      <c r="F18" s="549"/>
      <c r="G18" s="549"/>
      <c r="H18" s="549"/>
      <c r="I18" s="71">
        <f ca="1">SUMPRODUCT((J$6:AG$6),(J18:AG18))</f>
        <v>2739.6979605224633</v>
      </c>
      <c r="J18" s="230">
        <f t="shared" ref="J18:AG18" ca="1" si="4">(J14-J15)*J6</f>
        <v>50</v>
      </c>
      <c r="K18" s="230">
        <f t="shared" ca="1" si="4"/>
        <v>100</v>
      </c>
      <c r="L18" s="230">
        <f t="shared" ca="1" si="4"/>
        <v>125</v>
      </c>
      <c r="M18" s="230">
        <f t="shared" ca="1" si="4"/>
        <v>119.65000000000002</v>
      </c>
      <c r="N18" s="230">
        <f t="shared" ca="1" si="4"/>
        <v>130.20000000000002</v>
      </c>
      <c r="O18" s="230">
        <f t="shared" ca="1" si="4"/>
        <v>134.35800000000003</v>
      </c>
      <c r="P18" s="230">
        <f t="shared" ca="1" si="4"/>
        <v>129.89982000000003</v>
      </c>
      <c r="Q18" s="230">
        <f t="shared" ca="1" si="4"/>
        <v>140.57161280000005</v>
      </c>
      <c r="R18" s="230">
        <f t="shared" ca="1" si="4"/>
        <v>145.19697731200003</v>
      </c>
      <c r="S18" s="230">
        <f t="shared" ca="1" si="4"/>
        <v>112.51323140448002</v>
      </c>
      <c r="T18" s="230">
        <f t="shared" ca="1" si="4"/>
        <v>135.38505066065923</v>
      </c>
      <c r="U18" s="230">
        <f t="shared" ca="1" si="4"/>
        <v>136.2518526870856</v>
      </c>
      <c r="V18" s="230">
        <f t="shared" ca="1" si="4"/>
        <v>112.13106304456903</v>
      </c>
      <c r="W18" s="230">
        <f t="shared" ca="1" si="4"/>
        <v>130.90840386635182</v>
      </c>
      <c r="X18" s="230">
        <f t="shared" ca="1" si="4"/>
        <v>132.68780402100589</v>
      </c>
      <c r="Y18" s="230">
        <f t="shared" ca="1" si="4"/>
        <v>115.22009241934614</v>
      </c>
      <c r="Z18" s="230">
        <f t="shared" ca="1" si="4"/>
        <v>131.00431282911995</v>
      </c>
      <c r="AA18" s="230">
        <f t="shared" ca="1" si="4"/>
        <v>133.6172139822848</v>
      </c>
      <c r="AB18" s="230">
        <f t="shared" ca="1" si="4"/>
        <v>121.3664335352012</v>
      </c>
      <c r="AC18" s="230">
        <f t="shared" ca="1" si="4"/>
        <v>135.01215848323926</v>
      </c>
      <c r="AD18" s="230">
        <f t="shared" ca="1" si="4"/>
        <v>138.41591858896885</v>
      </c>
      <c r="AE18" s="230">
        <f t="shared" ca="1" si="4"/>
        <v>130.30801488815135</v>
      </c>
      <c r="AF18" s="230">
        <f t="shared" ca="1" si="4"/>
        <v>0</v>
      </c>
      <c r="AG18" s="230">
        <f t="shared" ca="1" si="4"/>
        <v>0</v>
      </c>
    </row>
    <row r="19" spans="1:33" ht="17.25" customHeight="1" outlineLevel="1">
      <c r="A19" s="861"/>
      <c r="B19" s="861"/>
      <c r="C19" s="861"/>
      <c r="D19" s="861"/>
      <c r="E19" s="861"/>
      <c r="F19" s="861"/>
      <c r="G19" s="861"/>
      <c r="H19" s="861"/>
      <c r="I19" s="861"/>
      <c r="J19" s="861"/>
      <c r="K19" s="861"/>
      <c r="L19" s="861"/>
      <c r="M19" s="861"/>
      <c r="N19" s="861"/>
      <c r="O19" s="861"/>
      <c r="P19" s="861"/>
      <c r="Q19" s="861"/>
      <c r="R19" s="861"/>
      <c r="S19" s="861"/>
      <c r="T19" s="861"/>
      <c r="U19" s="861"/>
      <c r="V19" s="861"/>
      <c r="W19" s="861"/>
      <c r="X19" s="861"/>
      <c r="Y19" s="861"/>
      <c r="Z19" s="861"/>
      <c r="AA19" s="861"/>
      <c r="AB19" s="861"/>
      <c r="AC19" s="861"/>
      <c r="AD19" s="861"/>
      <c r="AE19" s="861"/>
      <c r="AF19" s="861"/>
      <c r="AG19" s="861"/>
    </row>
    <row r="20" spans="1:33" ht="21.75" customHeight="1">
      <c r="A20" s="861"/>
      <c r="B20" s="274">
        <v>2</v>
      </c>
      <c r="C20" s="274" t="str">
        <f>"Revenue - "&amp;Inputs!$F$30</f>
        <v>Revenue - WonderApp</v>
      </c>
      <c r="D20" s="861"/>
      <c r="E20" s="861"/>
      <c r="F20" s="861"/>
      <c r="G20" s="861"/>
      <c r="H20" s="861"/>
      <c r="I20" s="861"/>
      <c r="J20" s="861"/>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row>
    <row r="21" spans="1:33" ht="17.25" customHeight="1" outlineLevel="1">
      <c r="A21" s="861"/>
      <c r="B21" s="861"/>
      <c r="C21" s="268" t="s">
        <v>787</v>
      </c>
      <c r="D21" s="861"/>
      <c r="E21" s="861"/>
      <c r="F21" s="861"/>
      <c r="G21" s="861"/>
      <c r="H21" s="861"/>
      <c r="I21" s="861"/>
      <c r="J21" s="319"/>
      <c r="K21" s="319"/>
      <c r="L21" s="319"/>
      <c r="M21" s="968"/>
      <c r="N21" s="319"/>
      <c r="O21" s="319"/>
      <c r="P21" s="967"/>
      <c r="Q21" s="861"/>
      <c r="R21" s="861"/>
      <c r="S21" s="967"/>
      <c r="T21" s="861"/>
      <c r="U21" s="861"/>
      <c r="V21" s="861"/>
      <c r="W21" s="861"/>
      <c r="X21" s="861"/>
      <c r="Y21" s="861"/>
      <c r="Z21" s="861"/>
      <c r="AA21" s="861"/>
      <c r="AB21" s="861"/>
      <c r="AC21" s="861"/>
      <c r="AD21" s="861"/>
      <c r="AE21" s="861"/>
      <c r="AF21" s="861"/>
      <c r="AG21" s="861"/>
    </row>
    <row r="22" spans="1:33" ht="17.25" customHeight="1" outlineLevel="1">
      <c r="A22" s="861"/>
      <c r="B22" s="861"/>
      <c r="C22" s="737" t="s">
        <v>782</v>
      </c>
      <c r="D22" s="8" t="s">
        <v>39</v>
      </c>
      <c r="E22" s="549"/>
      <c r="F22" s="549"/>
      <c r="G22" s="549"/>
      <c r="H22" s="549"/>
      <c r="I22" s="508"/>
      <c r="J22" s="230">
        <f t="shared" ref="J22:AG22" si="5">J109*OnOff_PS1</f>
        <v>170</v>
      </c>
      <c r="K22" s="230">
        <f t="shared" si="5"/>
        <v>270</v>
      </c>
      <c r="L22" s="230">
        <f t="shared" si="5"/>
        <v>395</v>
      </c>
      <c r="M22" s="230">
        <f t="shared" si="5"/>
        <v>484.20000000000005</v>
      </c>
      <c r="N22" s="230">
        <f t="shared" si="5"/>
        <v>595.40000000000009</v>
      </c>
      <c r="O22" s="230">
        <f t="shared" si="5"/>
        <v>706.00800000000015</v>
      </c>
      <c r="P22" s="230">
        <f t="shared" si="5"/>
        <v>790.03232000000014</v>
      </c>
      <c r="Q22" s="230">
        <f t="shared" si="5"/>
        <v>891.42593280000017</v>
      </c>
      <c r="R22" s="230">
        <f t="shared" si="5"/>
        <v>993.04489011200019</v>
      </c>
      <c r="S22" s="230">
        <f t="shared" si="5"/>
        <v>1075.1625257164801</v>
      </c>
      <c r="T22" s="230">
        <f t="shared" si="5"/>
        <v>1171.2111899451395</v>
      </c>
      <c r="U22" s="230">
        <f t="shared" si="5"/>
        <v>1268.1906967429452</v>
      </c>
      <c r="V22" s="230">
        <f t="shared" si="5"/>
        <v>1351.1391630126629</v>
      </c>
      <c r="W22" s="230">
        <f t="shared" si="5"/>
        <v>1445.4967735651694</v>
      </c>
      <c r="X22" s="230">
        <f t="shared" si="5"/>
        <v>1541.4162494997763</v>
      </c>
      <c r="Y22" s="230">
        <f t="shared" si="5"/>
        <v>1627.5607366637673</v>
      </c>
      <c r="Z22" s="230">
        <f t="shared" si="5"/>
        <v>1723.300319594638</v>
      </c>
      <c r="AA22" s="230">
        <f t="shared" si="5"/>
        <v>1821.1880321723436</v>
      </c>
      <c r="AB22" s="230">
        <f t="shared" si="5"/>
        <v>1912.6463097190774</v>
      </c>
      <c r="AC22" s="230">
        <f t="shared" si="5"/>
        <v>2012.4363987407237</v>
      </c>
      <c r="AD22" s="230">
        <f t="shared" si="5"/>
        <v>2114.9401865337322</v>
      </c>
      <c r="AE22" s="230">
        <f t="shared" si="5"/>
        <v>2213.6819687525599</v>
      </c>
      <c r="AF22" s="230">
        <f t="shared" si="5"/>
        <v>0</v>
      </c>
      <c r="AG22" s="230">
        <f t="shared" si="5"/>
        <v>0</v>
      </c>
    </row>
    <row r="23" spans="1:33" ht="17.25" customHeight="1" outlineLevel="1">
      <c r="A23" s="861"/>
      <c r="B23" s="861"/>
      <c r="C23" s="737" t="s">
        <v>780</v>
      </c>
      <c r="D23" s="8" t="s">
        <v>39</v>
      </c>
      <c r="E23" s="549"/>
      <c r="F23" s="549"/>
      <c r="G23" s="549"/>
      <c r="H23" s="549"/>
      <c r="I23" s="508"/>
      <c r="J23" s="230">
        <f t="shared" ref="J23:AG23" ca="1" si="6">J191*OnOff_PS1</f>
        <v>37</v>
      </c>
      <c r="K23" s="230">
        <f t="shared" ca="1" si="6"/>
        <v>37</v>
      </c>
      <c r="L23" s="230">
        <f t="shared" ca="1" si="6"/>
        <v>37</v>
      </c>
      <c r="M23" s="230">
        <f t="shared" ca="1" si="6"/>
        <v>67.45</v>
      </c>
      <c r="N23" s="230">
        <f t="shared" ca="1" si="6"/>
        <v>86.45</v>
      </c>
      <c r="O23" s="230">
        <f t="shared" ca="1" si="6"/>
        <v>110.2</v>
      </c>
      <c r="P23" s="230">
        <f t="shared" ca="1" si="6"/>
        <v>156.07549999999998</v>
      </c>
      <c r="Q23" s="230">
        <f t="shared" ca="1" si="6"/>
        <v>195.25349999999997</v>
      </c>
      <c r="R23" s="230">
        <f t="shared" ca="1" si="6"/>
        <v>238.83151999999998</v>
      </c>
      <c r="S23" s="230">
        <f t="shared" ca="1" si="6"/>
        <v>269.22711580000004</v>
      </c>
      <c r="T23" s="230">
        <f t="shared" ca="1" si="6"/>
        <v>308.56350223200002</v>
      </c>
      <c r="U23" s="230">
        <f t="shared" ca="1" si="6"/>
        <v>347.83584812127998</v>
      </c>
      <c r="V23" s="230">
        <f t="shared" ca="1" si="6"/>
        <v>377.0184448961312</v>
      </c>
      <c r="W23" s="230">
        <f t="shared" ca="1" si="6"/>
        <v>413.5692382099765</v>
      </c>
      <c r="X23" s="230">
        <f t="shared" ca="1" si="6"/>
        <v>450.33756629637554</v>
      </c>
      <c r="Y23" s="230">
        <f t="shared" ca="1" si="6"/>
        <v>479.41317155173056</v>
      </c>
      <c r="Z23" s="230">
        <f t="shared" ca="1" si="6"/>
        <v>514.6779014499798</v>
      </c>
      <c r="AA23" s="230">
        <f t="shared" ca="1" si="6"/>
        <v>550.407402854559</v>
      </c>
      <c r="AB23" s="230">
        <f t="shared" ca="1" si="6"/>
        <v>580.31555884302645</v>
      </c>
      <c r="AC23" s="230">
        <f t="shared" ca="1" si="6"/>
        <v>615.53762830461926</v>
      </c>
      <c r="AD23" s="230">
        <f t="shared" ca="1" si="6"/>
        <v>651.44975910057985</v>
      </c>
      <c r="AE23" s="230">
        <f t="shared" ca="1" si="6"/>
        <v>683.01599176990351</v>
      </c>
      <c r="AF23" s="230">
        <f t="shared" ca="1" si="6"/>
        <v>0</v>
      </c>
      <c r="AG23" s="230">
        <f t="shared" ca="1" si="6"/>
        <v>0</v>
      </c>
    </row>
    <row r="24" spans="1:33" ht="17.25" customHeight="1" outlineLevel="1">
      <c r="A24" s="861"/>
      <c r="B24" s="861"/>
      <c r="C24" s="268" t="s">
        <v>786</v>
      </c>
      <c r="D24" s="861"/>
      <c r="E24" s="861"/>
      <c r="F24" s="861"/>
      <c r="G24" s="861" t="s">
        <v>896</v>
      </c>
      <c r="H24" s="861"/>
      <c r="I24" s="668">
        <f ca="1">SUM(J24:AG24)</f>
        <v>0</v>
      </c>
      <c r="J24" s="966">
        <f t="shared" ref="J24:AG24" ca="1" si="7">IF(ROUND(J16-J22-J23,3)&lt;&gt;0,1,0)*OnOff_PS1</f>
        <v>0</v>
      </c>
      <c r="K24" s="966">
        <f t="shared" ca="1" si="7"/>
        <v>0</v>
      </c>
      <c r="L24" s="966">
        <f t="shared" ca="1" si="7"/>
        <v>0</v>
      </c>
      <c r="M24" s="966">
        <f t="shared" ca="1" si="7"/>
        <v>0</v>
      </c>
      <c r="N24" s="966">
        <f t="shared" ca="1" si="7"/>
        <v>0</v>
      </c>
      <c r="O24" s="966">
        <f t="shared" ca="1" si="7"/>
        <v>0</v>
      </c>
      <c r="P24" s="966">
        <f t="shared" ca="1" si="7"/>
        <v>0</v>
      </c>
      <c r="Q24" s="966">
        <f t="shared" ca="1" si="7"/>
        <v>0</v>
      </c>
      <c r="R24" s="966">
        <f t="shared" ca="1" si="7"/>
        <v>0</v>
      </c>
      <c r="S24" s="966">
        <f t="shared" ca="1" si="7"/>
        <v>0</v>
      </c>
      <c r="T24" s="966">
        <f t="shared" ca="1" si="7"/>
        <v>0</v>
      </c>
      <c r="U24" s="966">
        <f t="shared" ca="1" si="7"/>
        <v>0</v>
      </c>
      <c r="V24" s="966">
        <f t="shared" ca="1" si="7"/>
        <v>0</v>
      </c>
      <c r="W24" s="966">
        <f t="shared" ca="1" si="7"/>
        <v>0</v>
      </c>
      <c r="X24" s="966">
        <f t="shared" ca="1" si="7"/>
        <v>0</v>
      </c>
      <c r="Y24" s="966">
        <f t="shared" ca="1" si="7"/>
        <v>0</v>
      </c>
      <c r="Z24" s="966">
        <f t="shared" ca="1" si="7"/>
        <v>0</v>
      </c>
      <c r="AA24" s="966">
        <f t="shared" ca="1" si="7"/>
        <v>0</v>
      </c>
      <c r="AB24" s="966">
        <f t="shared" ca="1" si="7"/>
        <v>0</v>
      </c>
      <c r="AC24" s="966">
        <f t="shared" ca="1" si="7"/>
        <v>0</v>
      </c>
      <c r="AD24" s="966">
        <f t="shared" ca="1" si="7"/>
        <v>0</v>
      </c>
      <c r="AE24" s="966">
        <f t="shared" ca="1" si="7"/>
        <v>0</v>
      </c>
      <c r="AF24" s="966">
        <f t="shared" ca="1" si="7"/>
        <v>0</v>
      </c>
      <c r="AG24" s="966">
        <f t="shared" ca="1" si="7"/>
        <v>0</v>
      </c>
    </row>
    <row r="25" spans="1:33" ht="17.25" customHeight="1" outlineLevel="1">
      <c r="A25" s="861"/>
      <c r="B25" s="861"/>
      <c r="C25" s="737" t="s">
        <v>785</v>
      </c>
      <c r="D25" s="8" t="str">
        <f>Currency_Label</f>
        <v>USD</v>
      </c>
      <c r="E25" s="549"/>
      <c r="F25" s="549"/>
      <c r="G25" s="549"/>
      <c r="H25" s="549"/>
      <c r="I25" s="508"/>
      <c r="J25" s="965">
        <f>LOOKUP(YEAR(J$4),Inputs!$F$41:$J$41,Inputs!$F42:$J42)*J$6</f>
        <v>40</v>
      </c>
      <c r="K25" s="965">
        <f>LOOKUP(YEAR(K$4),Inputs!$F$41:$J$41,Inputs!$F42:$J42)*K$6</f>
        <v>40</v>
      </c>
      <c r="L25" s="965">
        <f>LOOKUP(YEAR(L$4),Inputs!$F$41:$J$41,Inputs!$F42:$J42)*L$6</f>
        <v>40</v>
      </c>
      <c r="M25" s="965">
        <f>LOOKUP(YEAR(M$4),Inputs!$F$41:$J$41,Inputs!$F42:$J42)*M$6</f>
        <v>40</v>
      </c>
      <c r="N25" s="965">
        <f>LOOKUP(YEAR(N$4),Inputs!$F$41:$J$41,Inputs!$F42:$J42)*N$6</f>
        <v>40</v>
      </c>
      <c r="O25" s="965">
        <f>LOOKUP(YEAR(O$4),Inputs!$F$41:$J$41,Inputs!$F42:$J42)*O$6</f>
        <v>40</v>
      </c>
      <c r="P25" s="965">
        <f>LOOKUP(YEAR(P$4),Inputs!$F$41:$J$41,Inputs!$F42:$J42)*P$6</f>
        <v>40</v>
      </c>
      <c r="Q25" s="965">
        <f>LOOKUP(YEAR(Q$4),Inputs!$F$41:$J$41,Inputs!$F42:$J42)*Q$6</f>
        <v>40</v>
      </c>
      <c r="R25" s="965">
        <f>LOOKUP(YEAR(R$4),Inputs!$F$41:$J$41,Inputs!$F42:$J42)*R$6</f>
        <v>40</v>
      </c>
      <c r="S25" s="965">
        <f>LOOKUP(YEAR(S$4),Inputs!$F$41:$J$41,Inputs!$F42:$J42)*S$6</f>
        <v>40</v>
      </c>
      <c r="T25" s="965">
        <f>LOOKUP(YEAR(T$4),Inputs!$F$41:$J$41,Inputs!$F42:$J42)*T$6</f>
        <v>40</v>
      </c>
      <c r="U25" s="965">
        <f>LOOKUP(YEAR(U$4),Inputs!$F$41:$J$41,Inputs!$F42:$J42)*U$6</f>
        <v>40</v>
      </c>
      <c r="V25" s="965">
        <f>LOOKUP(YEAR(V$4),Inputs!$F$41:$J$41,Inputs!$F42:$J42)*V$6</f>
        <v>40</v>
      </c>
      <c r="W25" s="965">
        <f>LOOKUP(YEAR(W$4),Inputs!$F$41:$J$41,Inputs!$F42:$J42)*W$6</f>
        <v>40</v>
      </c>
      <c r="X25" s="965">
        <f>LOOKUP(YEAR(X$4),Inputs!$F$41:$J$41,Inputs!$F42:$J42)*X$6</f>
        <v>40</v>
      </c>
      <c r="Y25" s="965">
        <f>LOOKUP(YEAR(Y$4),Inputs!$F$41:$J$41,Inputs!$F42:$J42)*Y$6</f>
        <v>40</v>
      </c>
      <c r="Z25" s="965">
        <f>LOOKUP(YEAR(Z$4),Inputs!$F$41:$J$41,Inputs!$F42:$J42)*Z$6</f>
        <v>40</v>
      </c>
      <c r="AA25" s="965">
        <f>LOOKUP(YEAR(AA$4),Inputs!$F$41:$J$41,Inputs!$F42:$J42)*AA$6</f>
        <v>40</v>
      </c>
      <c r="AB25" s="965">
        <f>LOOKUP(YEAR(AB$4),Inputs!$F$41:$J$41,Inputs!$F42:$J42)*AB$6</f>
        <v>40</v>
      </c>
      <c r="AC25" s="965">
        <f>LOOKUP(YEAR(AC$4),Inputs!$F$41:$J$41,Inputs!$F42:$J42)*AC$6</f>
        <v>40</v>
      </c>
      <c r="AD25" s="965">
        <f>LOOKUP(YEAR(AD$4),Inputs!$F$41:$J$41,Inputs!$F42:$J42)*AD$6</f>
        <v>40</v>
      </c>
      <c r="AE25" s="965">
        <f>LOOKUP(YEAR(AE$4),Inputs!$F$41:$J$41,Inputs!$F42:$J42)*AE$6</f>
        <v>40</v>
      </c>
      <c r="AF25" s="965">
        <f>LOOKUP(YEAR(AF$4),Inputs!$F$41:$J$41,Inputs!$F42:$J42)*AF$6</f>
        <v>0</v>
      </c>
      <c r="AG25" s="965">
        <f>LOOKUP(YEAR(AG$4),Inputs!$F$41:$J$41,Inputs!$F42:$J42)*AG$6</f>
        <v>0</v>
      </c>
    </row>
    <row r="26" spans="1:33" ht="17.25" customHeight="1" outlineLevel="1">
      <c r="A26" s="861"/>
      <c r="B26" s="861"/>
      <c r="C26" s="737" t="s">
        <v>784</v>
      </c>
      <c r="D26" s="8" t="str">
        <f>Currency_Label</f>
        <v>USD</v>
      </c>
      <c r="E26" s="549"/>
      <c r="F26" s="549"/>
      <c r="G26" s="549"/>
      <c r="H26" s="549"/>
      <c r="I26" s="508"/>
      <c r="J26" s="965">
        <f>LOOKUP(YEAR(J$4),Inputs!$F$41:$J$41,Inputs!$F43:$J43)*J$6</f>
        <v>80</v>
      </c>
      <c r="K26" s="965">
        <f>LOOKUP(YEAR(K$4),Inputs!$F$41:$J$41,Inputs!$F43:$J43)*K$6</f>
        <v>80</v>
      </c>
      <c r="L26" s="965">
        <f>LOOKUP(YEAR(L$4),Inputs!$F$41:$J$41,Inputs!$F43:$J43)*L$6</f>
        <v>80</v>
      </c>
      <c r="M26" s="965">
        <f>LOOKUP(YEAR(M$4),Inputs!$F$41:$J$41,Inputs!$F43:$J43)*M$6</f>
        <v>80</v>
      </c>
      <c r="N26" s="965">
        <f>LOOKUP(YEAR(N$4),Inputs!$F$41:$J$41,Inputs!$F43:$J43)*N$6</f>
        <v>80</v>
      </c>
      <c r="O26" s="965">
        <f>LOOKUP(YEAR(O$4),Inputs!$F$41:$J$41,Inputs!$F43:$J43)*O$6</f>
        <v>80</v>
      </c>
      <c r="P26" s="965">
        <f>LOOKUP(YEAR(P$4),Inputs!$F$41:$J$41,Inputs!$F43:$J43)*P$6</f>
        <v>80</v>
      </c>
      <c r="Q26" s="965">
        <f>LOOKUP(YEAR(Q$4),Inputs!$F$41:$J$41,Inputs!$F43:$J43)*Q$6</f>
        <v>80</v>
      </c>
      <c r="R26" s="965">
        <f>LOOKUP(YEAR(R$4),Inputs!$F$41:$J$41,Inputs!$F43:$J43)*R$6</f>
        <v>80</v>
      </c>
      <c r="S26" s="965">
        <f>LOOKUP(YEAR(S$4),Inputs!$F$41:$J$41,Inputs!$F43:$J43)*S$6</f>
        <v>80</v>
      </c>
      <c r="T26" s="965">
        <f>LOOKUP(YEAR(T$4),Inputs!$F$41:$J$41,Inputs!$F43:$J43)*T$6</f>
        <v>80</v>
      </c>
      <c r="U26" s="965">
        <f>LOOKUP(YEAR(U$4),Inputs!$F$41:$J$41,Inputs!$F43:$J43)*U$6</f>
        <v>70</v>
      </c>
      <c r="V26" s="965">
        <f>LOOKUP(YEAR(V$4),Inputs!$F$41:$J$41,Inputs!$F43:$J43)*V$6</f>
        <v>70</v>
      </c>
      <c r="W26" s="965">
        <f>LOOKUP(YEAR(W$4),Inputs!$F$41:$J$41,Inputs!$F43:$J43)*W$6</f>
        <v>70</v>
      </c>
      <c r="X26" s="965">
        <f>LOOKUP(YEAR(X$4),Inputs!$F$41:$J$41,Inputs!$F43:$J43)*X$6</f>
        <v>70</v>
      </c>
      <c r="Y26" s="965">
        <f>LOOKUP(YEAR(Y$4),Inputs!$F$41:$J$41,Inputs!$F43:$J43)*Y$6</f>
        <v>70</v>
      </c>
      <c r="Z26" s="965">
        <f>LOOKUP(YEAR(Z$4),Inputs!$F$41:$J$41,Inputs!$F43:$J43)*Z$6</f>
        <v>70</v>
      </c>
      <c r="AA26" s="965">
        <f>LOOKUP(YEAR(AA$4),Inputs!$F$41:$J$41,Inputs!$F43:$J43)*AA$6</f>
        <v>70</v>
      </c>
      <c r="AB26" s="965">
        <f>LOOKUP(YEAR(AB$4),Inputs!$F$41:$J$41,Inputs!$F43:$J43)*AB$6</f>
        <v>70</v>
      </c>
      <c r="AC26" s="965">
        <f>LOOKUP(YEAR(AC$4),Inputs!$F$41:$J$41,Inputs!$F43:$J43)*AC$6</f>
        <v>70</v>
      </c>
      <c r="AD26" s="965">
        <f>LOOKUP(YEAR(AD$4),Inputs!$F$41:$J$41,Inputs!$F43:$J43)*AD$6</f>
        <v>70</v>
      </c>
      <c r="AE26" s="965">
        <f>LOOKUP(YEAR(AE$4),Inputs!$F$41:$J$41,Inputs!$F43:$J43)*AE$6</f>
        <v>70</v>
      </c>
      <c r="AF26" s="965">
        <f>LOOKUP(YEAR(AF$4),Inputs!$F$41:$J$41,Inputs!$F43:$J43)*AF$6</f>
        <v>0</v>
      </c>
      <c r="AG26" s="965">
        <f>LOOKUP(YEAR(AG$4),Inputs!$F$41:$J$41,Inputs!$F43:$J43)*AG$6</f>
        <v>0</v>
      </c>
    </row>
    <row r="27" spans="1:33" ht="17.25" customHeight="1" outlineLevel="1">
      <c r="A27" s="861"/>
      <c r="B27" s="861"/>
      <c r="C27" s="268" t="s">
        <v>783</v>
      </c>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row>
    <row r="28" spans="1:33" ht="17.25" customHeight="1" outlineLevel="1">
      <c r="A28" s="861"/>
      <c r="B28" s="964">
        <v>1</v>
      </c>
      <c r="C28" s="737" t="s">
        <v>782</v>
      </c>
      <c r="D28" s="8" t="str">
        <f t="shared" ref="D28:D40" si="8">Currency_Label</f>
        <v>USD</v>
      </c>
      <c r="E28" s="549"/>
      <c r="F28" s="549"/>
      <c r="G28" s="549"/>
      <c r="H28" s="549"/>
      <c r="I28" s="71">
        <f t="shared" ref="I28:I33" si="9">SUMPRODUCT((J$6:AG$6),(J28:AG28))</f>
        <v>1062939.2677428408</v>
      </c>
      <c r="J28" s="230">
        <f t="shared" ref="J28:AG28" si="10">J22*J25</f>
        <v>6800</v>
      </c>
      <c r="K28" s="230">
        <f t="shared" si="10"/>
        <v>10800</v>
      </c>
      <c r="L28" s="230">
        <f t="shared" si="10"/>
        <v>15800</v>
      </c>
      <c r="M28" s="230">
        <f t="shared" si="10"/>
        <v>19368</v>
      </c>
      <c r="N28" s="230">
        <f t="shared" si="10"/>
        <v>23816.000000000004</v>
      </c>
      <c r="O28" s="230">
        <f t="shared" si="10"/>
        <v>28240.320000000007</v>
      </c>
      <c r="P28" s="230">
        <f t="shared" si="10"/>
        <v>31601.292800000007</v>
      </c>
      <c r="Q28" s="230">
        <f t="shared" si="10"/>
        <v>35657.037312000008</v>
      </c>
      <c r="R28" s="230">
        <f t="shared" si="10"/>
        <v>39721.795604480008</v>
      </c>
      <c r="S28" s="230">
        <f t="shared" si="10"/>
        <v>43006.501028659201</v>
      </c>
      <c r="T28" s="230">
        <f t="shared" si="10"/>
        <v>46848.447597805578</v>
      </c>
      <c r="U28" s="230">
        <f t="shared" si="10"/>
        <v>50727.627869717806</v>
      </c>
      <c r="V28" s="230">
        <f t="shared" si="10"/>
        <v>54045.566520506516</v>
      </c>
      <c r="W28" s="230">
        <f t="shared" si="10"/>
        <v>57819.87094260678</v>
      </c>
      <c r="X28" s="230">
        <f t="shared" si="10"/>
        <v>61656.649979991053</v>
      </c>
      <c r="Y28" s="230">
        <f t="shared" si="10"/>
        <v>65102.42946655069</v>
      </c>
      <c r="Z28" s="230">
        <f t="shared" si="10"/>
        <v>68932.012783785525</v>
      </c>
      <c r="AA28" s="230">
        <f t="shared" si="10"/>
        <v>72847.521286893738</v>
      </c>
      <c r="AB28" s="230">
        <f t="shared" si="10"/>
        <v>76505.852388763102</v>
      </c>
      <c r="AC28" s="230">
        <f t="shared" si="10"/>
        <v>80497.455949628944</v>
      </c>
      <c r="AD28" s="230">
        <f t="shared" si="10"/>
        <v>84597.607461349282</v>
      </c>
      <c r="AE28" s="230">
        <f t="shared" si="10"/>
        <v>88547.278750102399</v>
      </c>
      <c r="AF28" s="230">
        <f t="shared" si="10"/>
        <v>0</v>
      </c>
      <c r="AG28" s="230">
        <f t="shared" si="10"/>
        <v>0</v>
      </c>
    </row>
    <row r="29" spans="1:33" ht="17.25" customHeight="1" outlineLevel="1">
      <c r="A29" s="861"/>
      <c r="B29" s="964">
        <f>IF(OR(Inputs!$G$52=2,Inputs!$G$52=4),1,0)</f>
        <v>0</v>
      </c>
      <c r="C29" s="737" t="s">
        <v>781</v>
      </c>
      <c r="D29" s="8" t="str">
        <f t="shared" si="8"/>
        <v>USD</v>
      </c>
      <c r="E29" s="953">
        <f>Inputs!F44</f>
        <v>25</v>
      </c>
      <c r="F29" s="549"/>
      <c r="G29" s="549"/>
      <c r="H29" s="549"/>
      <c r="I29" s="71">
        <f t="shared" si="9"/>
        <v>96806.495549485931</v>
      </c>
      <c r="J29" s="230">
        <f t="shared" ref="J29:AG29" si="11">$E29*J14*J6*OnOff_PS1</f>
        <v>1250</v>
      </c>
      <c r="K29" s="230">
        <f t="shared" si="11"/>
        <v>2500</v>
      </c>
      <c r="L29" s="230">
        <f t="shared" si="11"/>
        <v>3125</v>
      </c>
      <c r="M29" s="230">
        <f t="shared" si="11"/>
        <v>3250</v>
      </c>
      <c r="N29" s="230">
        <f t="shared" si="11"/>
        <v>3380.0000000000005</v>
      </c>
      <c r="O29" s="230">
        <f t="shared" si="11"/>
        <v>3515.2000000000007</v>
      </c>
      <c r="P29" s="230">
        <f t="shared" si="11"/>
        <v>3655.8080000000009</v>
      </c>
      <c r="Q29" s="230">
        <f t="shared" si="11"/>
        <v>3802.040320000001</v>
      </c>
      <c r="R29" s="230">
        <f t="shared" si="11"/>
        <v>3954.1219328000011</v>
      </c>
      <c r="S29" s="230">
        <f t="shared" si="11"/>
        <v>4112.2868101120011</v>
      </c>
      <c r="T29" s="230">
        <f t="shared" si="11"/>
        <v>4276.7782825164813</v>
      </c>
      <c r="U29" s="230">
        <f t="shared" si="11"/>
        <v>4447.8494138171409</v>
      </c>
      <c r="V29" s="230">
        <f t="shared" si="11"/>
        <v>4625.7633903698261</v>
      </c>
      <c r="W29" s="230">
        <f t="shared" si="11"/>
        <v>4810.7939259846198</v>
      </c>
      <c r="X29" s="230">
        <f t="shared" si="11"/>
        <v>5003.225683024004</v>
      </c>
      <c r="Y29" s="230">
        <f t="shared" si="11"/>
        <v>5203.3547103449646</v>
      </c>
      <c r="Z29" s="230">
        <f t="shared" si="11"/>
        <v>5411.4888987587638</v>
      </c>
      <c r="AA29" s="230">
        <f t="shared" si="11"/>
        <v>5627.9484547091142</v>
      </c>
      <c r="AB29" s="230">
        <f t="shared" si="11"/>
        <v>5853.0663928974791</v>
      </c>
      <c r="AC29" s="230">
        <f t="shared" si="11"/>
        <v>6087.1890486133789</v>
      </c>
      <c r="AD29" s="230">
        <f t="shared" si="11"/>
        <v>6330.6766105579145</v>
      </c>
      <c r="AE29" s="230">
        <f t="shared" si="11"/>
        <v>6583.9036749802317</v>
      </c>
      <c r="AF29" s="230">
        <f t="shared" si="11"/>
        <v>0</v>
      </c>
      <c r="AG29" s="230">
        <f t="shared" si="11"/>
        <v>0</v>
      </c>
    </row>
    <row r="30" spans="1:33" ht="17.25" customHeight="1" outlineLevel="1">
      <c r="A30" s="861"/>
      <c r="B30" s="964">
        <f>IF(OR(Inputs!$G$52=3,Inputs!$G$52=4),1,0)</f>
        <v>0</v>
      </c>
      <c r="C30" s="737" t="s">
        <v>780</v>
      </c>
      <c r="D30" s="8" t="str">
        <f t="shared" si="8"/>
        <v>USD</v>
      </c>
      <c r="E30" s="549"/>
      <c r="F30" s="549"/>
      <c r="G30" s="549"/>
      <c r="H30" s="549"/>
      <c r="I30" s="71">
        <f t="shared" ca="1" si="9"/>
        <v>519894.58684043126</v>
      </c>
      <c r="J30" s="230">
        <f t="shared" ref="J30:AG30" ca="1" si="12">J23*J26</f>
        <v>2960</v>
      </c>
      <c r="K30" s="230">
        <f t="shared" ca="1" si="12"/>
        <v>2960</v>
      </c>
      <c r="L30" s="230">
        <f t="shared" ca="1" si="12"/>
        <v>2960</v>
      </c>
      <c r="M30" s="230">
        <f t="shared" ca="1" si="12"/>
        <v>5396</v>
      </c>
      <c r="N30" s="230">
        <f t="shared" ca="1" si="12"/>
        <v>6916</v>
      </c>
      <c r="O30" s="230">
        <f t="shared" ca="1" si="12"/>
        <v>8816</v>
      </c>
      <c r="P30" s="230">
        <f t="shared" ca="1" si="12"/>
        <v>12486.039999999997</v>
      </c>
      <c r="Q30" s="230">
        <f t="shared" ca="1" si="12"/>
        <v>15620.279999999999</v>
      </c>
      <c r="R30" s="230">
        <f t="shared" ca="1" si="12"/>
        <v>19106.5216</v>
      </c>
      <c r="S30" s="230">
        <f t="shared" ca="1" si="12"/>
        <v>21538.169264000004</v>
      </c>
      <c r="T30" s="230">
        <f t="shared" ca="1" si="12"/>
        <v>24685.080178560002</v>
      </c>
      <c r="U30" s="230">
        <f t="shared" ca="1" si="12"/>
        <v>24348.509368489598</v>
      </c>
      <c r="V30" s="230">
        <f t="shared" ca="1" si="12"/>
        <v>26391.291142729184</v>
      </c>
      <c r="W30" s="230">
        <f t="shared" ca="1" si="12"/>
        <v>28949.846674698354</v>
      </c>
      <c r="X30" s="230">
        <f t="shared" ca="1" si="12"/>
        <v>31523.629640746287</v>
      </c>
      <c r="Y30" s="230">
        <f t="shared" ca="1" si="12"/>
        <v>33558.922008621143</v>
      </c>
      <c r="Z30" s="230">
        <f t="shared" ca="1" si="12"/>
        <v>36027.453101498584</v>
      </c>
      <c r="AA30" s="230">
        <f t="shared" ca="1" si="12"/>
        <v>38528.518199819133</v>
      </c>
      <c r="AB30" s="230">
        <f t="shared" ca="1" si="12"/>
        <v>40622.089119011849</v>
      </c>
      <c r="AC30" s="230">
        <f t="shared" ca="1" si="12"/>
        <v>43087.63398132335</v>
      </c>
      <c r="AD30" s="230">
        <f t="shared" ca="1" si="12"/>
        <v>45601.483137040588</v>
      </c>
      <c r="AE30" s="230">
        <f t="shared" ca="1" si="12"/>
        <v>47811.119423893244</v>
      </c>
      <c r="AF30" s="230">
        <f t="shared" ca="1" si="12"/>
        <v>0</v>
      </c>
      <c r="AG30" s="230">
        <f t="shared" ca="1" si="12"/>
        <v>0</v>
      </c>
    </row>
    <row r="31" spans="1:33" ht="17.25" customHeight="1" outlineLevel="1">
      <c r="A31" s="861"/>
      <c r="B31" s="861"/>
      <c r="C31" s="944" t="str">
        <f>"Total Revenue - "&amp;Inputs!$F$30</f>
        <v>Total Revenue - WonderApp</v>
      </c>
      <c r="D31" s="8" t="str">
        <f t="shared" si="8"/>
        <v>USD</v>
      </c>
      <c r="E31" s="318"/>
      <c r="F31" s="344"/>
      <c r="G31" s="344"/>
      <c r="H31" s="344"/>
      <c r="I31" s="71">
        <f t="shared" ca="1" si="9"/>
        <v>1679640.350132758</v>
      </c>
      <c r="J31" s="954">
        <f t="shared" ref="J31:AG31" ca="1" si="13">SUM(J28:J30)</f>
        <v>11010</v>
      </c>
      <c r="K31" s="954">
        <f t="shared" ca="1" si="13"/>
        <v>16260</v>
      </c>
      <c r="L31" s="954">
        <f t="shared" ca="1" si="13"/>
        <v>21885</v>
      </c>
      <c r="M31" s="954">
        <f t="shared" ca="1" si="13"/>
        <v>28014</v>
      </c>
      <c r="N31" s="954">
        <f t="shared" ca="1" si="13"/>
        <v>34112</v>
      </c>
      <c r="O31" s="954">
        <f t="shared" ca="1" si="13"/>
        <v>40571.520000000004</v>
      </c>
      <c r="P31" s="954">
        <f t="shared" ca="1" si="13"/>
        <v>47743.140800000008</v>
      </c>
      <c r="Q31" s="954">
        <f t="shared" ca="1" si="13"/>
        <v>55079.357632000007</v>
      </c>
      <c r="R31" s="954">
        <f t="shared" ca="1" si="13"/>
        <v>62782.439137280009</v>
      </c>
      <c r="S31" s="954">
        <f t="shared" ca="1" si="13"/>
        <v>68656.957102771208</v>
      </c>
      <c r="T31" s="954">
        <f t="shared" ca="1" si="13"/>
        <v>75810.306058882066</v>
      </c>
      <c r="U31" s="954">
        <f t="shared" ca="1" si="13"/>
        <v>79523.986652024541</v>
      </c>
      <c r="V31" s="954">
        <f t="shared" ca="1" si="13"/>
        <v>85062.62105360553</v>
      </c>
      <c r="W31" s="954">
        <f t="shared" ca="1" si="13"/>
        <v>91580.511543289758</v>
      </c>
      <c r="X31" s="954">
        <f t="shared" ca="1" si="13"/>
        <v>98183.50530376134</v>
      </c>
      <c r="Y31" s="954">
        <f t="shared" ca="1" si="13"/>
        <v>103864.7061855168</v>
      </c>
      <c r="Z31" s="954">
        <f t="shared" ca="1" si="13"/>
        <v>110370.95478404287</v>
      </c>
      <c r="AA31" s="954">
        <f t="shared" ca="1" si="13"/>
        <v>117003.98794142198</v>
      </c>
      <c r="AB31" s="954">
        <f t="shared" ca="1" si="13"/>
        <v>122981.00790067244</v>
      </c>
      <c r="AC31" s="954">
        <f t="shared" ca="1" si="13"/>
        <v>129672.27897956567</v>
      </c>
      <c r="AD31" s="954">
        <f t="shared" ca="1" si="13"/>
        <v>136529.7672089478</v>
      </c>
      <c r="AE31" s="954">
        <f t="shared" ca="1" si="13"/>
        <v>142942.30184897588</v>
      </c>
      <c r="AF31" s="954">
        <f t="shared" ca="1" si="13"/>
        <v>0</v>
      </c>
      <c r="AG31" s="954">
        <f t="shared" ca="1" si="13"/>
        <v>0</v>
      </c>
    </row>
    <row r="32" spans="1:33" s="878" customFormat="1" ht="17.25" customHeight="1" outlineLevel="1">
      <c r="A32" s="861"/>
      <c r="B32" s="861"/>
      <c r="C32" s="24" t="s">
        <v>847</v>
      </c>
      <c r="D32" s="8" t="str">
        <f t="shared" si="8"/>
        <v>USD</v>
      </c>
      <c r="E32" s="84">
        <f>Inputs!F46</f>
        <v>0.01</v>
      </c>
      <c r="F32" s="344"/>
      <c r="G32" s="344"/>
      <c r="H32" s="344"/>
      <c r="I32" s="71">
        <f t="shared" ca="1" si="9"/>
        <v>16796.403501327579</v>
      </c>
      <c r="J32" s="230">
        <f t="shared" ref="J32:AG32" ca="1" si="14">$E32*J31</f>
        <v>110.10000000000001</v>
      </c>
      <c r="K32" s="230">
        <f t="shared" ca="1" si="14"/>
        <v>162.6</v>
      </c>
      <c r="L32" s="230">
        <f t="shared" ca="1" si="14"/>
        <v>218.85</v>
      </c>
      <c r="M32" s="230">
        <f t="shared" ca="1" si="14"/>
        <v>280.14</v>
      </c>
      <c r="N32" s="230">
        <f t="shared" ca="1" si="14"/>
        <v>341.12</v>
      </c>
      <c r="O32" s="230">
        <f t="shared" ca="1" si="14"/>
        <v>405.71520000000004</v>
      </c>
      <c r="P32" s="230">
        <f t="shared" ca="1" si="14"/>
        <v>477.43140800000009</v>
      </c>
      <c r="Q32" s="230">
        <f t="shared" ca="1" si="14"/>
        <v>550.79357632000006</v>
      </c>
      <c r="R32" s="230">
        <f t="shared" ca="1" si="14"/>
        <v>627.82439137280005</v>
      </c>
      <c r="S32" s="230">
        <f t="shared" ca="1" si="14"/>
        <v>686.56957102771207</v>
      </c>
      <c r="T32" s="230">
        <f t="shared" ca="1" si="14"/>
        <v>758.10306058882065</v>
      </c>
      <c r="U32" s="230">
        <f t="shared" ca="1" si="14"/>
        <v>795.23986652024541</v>
      </c>
      <c r="V32" s="230">
        <f t="shared" ca="1" si="14"/>
        <v>850.62621053605528</v>
      </c>
      <c r="W32" s="230">
        <f t="shared" ca="1" si="14"/>
        <v>915.80511543289765</v>
      </c>
      <c r="X32" s="230">
        <f t="shared" ca="1" si="14"/>
        <v>981.83505303761342</v>
      </c>
      <c r="Y32" s="230">
        <f t="shared" ca="1" si="14"/>
        <v>1038.647061855168</v>
      </c>
      <c r="Z32" s="230">
        <f t="shared" ca="1" si="14"/>
        <v>1103.7095478404287</v>
      </c>
      <c r="AA32" s="230">
        <f t="shared" ca="1" si="14"/>
        <v>1170.0398794142197</v>
      </c>
      <c r="AB32" s="230">
        <f t="shared" ca="1" si="14"/>
        <v>1229.8100790067244</v>
      </c>
      <c r="AC32" s="230">
        <f t="shared" ca="1" si="14"/>
        <v>1296.7227897956568</v>
      </c>
      <c r="AD32" s="230">
        <f t="shared" ca="1" si="14"/>
        <v>1365.2976720894781</v>
      </c>
      <c r="AE32" s="230">
        <f t="shared" ca="1" si="14"/>
        <v>1429.4230184897588</v>
      </c>
      <c r="AF32" s="230">
        <f t="shared" ca="1" si="14"/>
        <v>0</v>
      </c>
      <c r="AG32" s="230">
        <f t="shared" ca="1" si="14"/>
        <v>0</v>
      </c>
    </row>
    <row r="33" spans="1:33" s="878" customFormat="1" ht="17.25" customHeight="1" outlineLevel="1">
      <c r="A33" s="861"/>
      <c r="B33" s="861"/>
      <c r="C33" s="944" t="str">
        <f>"Total Revenue (net of bad debts) - "&amp;Inputs!$F$30</f>
        <v>Total Revenue (net of bad debts) - WonderApp</v>
      </c>
      <c r="D33" s="8" t="str">
        <f t="shared" si="8"/>
        <v>USD</v>
      </c>
      <c r="E33" s="318"/>
      <c r="F33" s="344"/>
      <c r="G33" s="344"/>
      <c r="H33" s="344"/>
      <c r="I33" s="71">
        <f t="shared" ca="1" si="9"/>
        <v>1662843.9466314306</v>
      </c>
      <c r="J33" s="954">
        <f t="shared" ref="J33:AG33" ca="1" si="15">J31-J32</f>
        <v>10899.9</v>
      </c>
      <c r="K33" s="954">
        <f t="shared" ca="1" si="15"/>
        <v>16097.4</v>
      </c>
      <c r="L33" s="954">
        <f t="shared" ca="1" si="15"/>
        <v>21666.15</v>
      </c>
      <c r="M33" s="954">
        <f t="shared" ca="1" si="15"/>
        <v>27733.86</v>
      </c>
      <c r="N33" s="954">
        <f t="shared" ca="1" si="15"/>
        <v>33770.879999999997</v>
      </c>
      <c r="O33" s="954">
        <f t="shared" ca="1" si="15"/>
        <v>40165.804800000005</v>
      </c>
      <c r="P33" s="954">
        <f t="shared" ca="1" si="15"/>
        <v>47265.709392000012</v>
      </c>
      <c r="Q33" s="954">
        <f t="shared" ca="1" si="15"/>
        <v>54528.564055680006</v>
      </c>
      <c r="R33" s="954">
        <f t="shared" ca="1" si="15"/>
        <v>62154.614745907209</v>
      </c>
      <c r="S33" s="954">
        <f t="shared" ca="1" si="15"/>
        <v>67970.387531743501</v>
      </c>
      <c r="T33" s="954">
        <f t="shared" ca="1" si="15"/>
        <v>75052.202998293244</v>
      </c>
      <c r="U33" s="954">
        <f t="shared" ca="1" si="15"/>
        <v>78728.746785504292</v>
      </c>
      <c r="V33" s="954">
        <f t="shared" ca="1" si="15"/>
        <v>84211.994843069479</v>
      </c>
      <c r="W33" s="954">
        <f t="shared" ca="1" si="15"/>
        <v>90664.706427856858</v>
      </c>
      <c r="X33" s="954">
        <f t="shared" ca="1" si="15"/>
        <v>97201.670250723721</v>
      </c>
      <c r="Y33" s="954">
        <f t="shared" ca="1" si="15"/>
        <v>102826.05912366163</v>
      </c>
      <c r="Z33" s="954">
        <f t="shared" ca="1" si="15"/>
        <v>109267.24523620245</v>
      </c>
      <c r="AA33" s="954">
        <f t="shared" ca="1" si="15"/>
        <v>115833.94806200775</v>
      </c>
      <c r="AB33" s="954">
        <f t="shared" ca="1" si="15"/>
        <v>121751.19782166572</v>
      </c>
      <c r="AC33" s="954">
        <f t="shared" ca="1" si="15"/>
        <v>128375.55618977001</v>
      </c>
      <c r="AD33" s="954">
        <f t="shared" ca="1" si="15"/>
        <v>135164.46953685832</v>
      </c>
      <c r="AE33" s="954">
        <f t="shared" ca="1" si="15"/>
        <v>141512.87883048612</v>
      </c>
      <c r="AF33" s="954">
        <f t="shared" ca="1" si="15"/>
        <v>0</v>
      </c>
      <c r="AG33" s="954">
        <f t="shared" ca="1" si="15"/>
        <v>0</v>
      </c>
    </row>
    <row r="34" spans="1:33" s="878" customFormat="1" ht="17.25" customHeight="1" outlineLevel="1">
      <c r="A34" s="861"/>
      <c r="B34" s="861"/>
      <c r="C34" s="861"/>
      <c r="D34" s="861"/>
      <c r="E34" s="861" t="s">
        <v>779</v>
      </c>
      <c r="F34" s="861"/>
      <c r="G34" s="517" t="str">
        <f>Name_VAT &amp; " Rate"</f>
        <v>VAT Rate</v>
      </c>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row>
    <row r="35" spans="1:33" ht="17.25" customHeight="1" outlineLevel="1">
      <c r="A35" s="861"/>
      <c r="B35" s="861"/>
      <c r="C35" s="24" t="str">
        <f>Name_VAT&amp;" on sales (output tax receivable) net of bad debts"</f>
        <v>VAT on sales (output tax receivable) net of bad debts</v>
      </c>
      <c r="D35" s="8" t="str">
        <f>Currency_Label</f>
        <v>USD</v>
      </c>
      <c r="E35" s="84">
        <f>Inputs!F45</f>
        <v>0.8</v>
      </c>
      <c r="F35" s="800"/>
      <c r="G35" s="84">
        <f>Inputs!I45</f>
        <v>0.2</v>
      </c>
      <c r="H35" s="318"/>
      <c r="I35" s="71">
        <f ca="1">SUM(J35:AG35)</f>
        <v>266055.03146102891</v>
      </c>
      <c r="J35" s="318">
        <f t="shared" ref="J35:AG35" ca="1" si="16">$E35*$G35*J33</f>
        <v>1743.9840000000004</v>
      </c>
      <c r="K35" s="318">
        <f t="shared" ca="1" si="16"/>
        <v>2575.5840000000003</v>
      </c>
      <c r="L35" s="318">
        <f t="shared" ca="1" si="16"/>
        <v>3466.5840000000007</v>
      </c>
      <c r="M35" s="318">
        <f t="shared" ca="1" si="16"/>
        <v>4437.4176000000007</v>
      </c>
      <c r="N35" s="318">
        <f t="shared" ca="1" si="16"/>
        <v>5403.3408000000009</v>
      </c>
      <c r="O35" s="318">
        <f t="shared" ca="1" si="16"/>
        <v>6426.5287680000019</v>
      </c>
      <c r="P35" s="318">
        <f t="shared" ca="1" si="16"/>
        <v>7562.5135027200031</v>
      </c>
      <c r="Q35" s="318">
        <f t="shared" ca="1" si="16"/>
        <v>8724.5702489088035</v>
      </c>
      <c r="R35" s="318">
        <f t="shared" ca="1" si="16"/>
        <v>9944.7383593451559</v>
      </c>
      <c r="S35" s="318">
        <f t="shared" ca="1" si="16"/>
        <v>10875.262005078963</v>
      </c>
      <c r="T35" s="318">
        <f t="shared" ca="1" si="16"/>
        <v>12008.352479726922</v>
      </c>
      <c r="U35" s="318">
        <f t="shared" ca="1" si="16"/>
        <v>12596.59948568069</v>
      </c>
      <c r="V35" s="318">
        <f t="shared" ca="1" si="16"/>
        <v>13473.91917489112</v>
      </c>
      <c r="W35" s="318">
        <f t="shared" ca="1" si="16"/>
        <v>14506.353028457101</v>
      </c>
      <c r="X35" s="318">
        <f t="shared" ca="1" si="16"/>
        <v>15552.267240115798</v>
      </c>
      <c r="Y35" s="318">
        <f t="shared" ca="1" si="16"/>
        <v>16452.169459785866</v>
      </c>
      <c r="Z35" s="318">
        <f t="shared" ca="1" si="16"/>
        <v>17482.759237792394</v>
      </c>
      <c r="AA35" s="318">
        <f t="shared" ca="1" si="16"/>
        <v>18533.431689921243</v>
      </c>
      <c r="AB35" s="318">
        <f t="shared" ca="1" si="16"/>
        <v>19480.191651466517</v>
      </c>
      <c r="AC35" s="318">
        <f t="shared" ca="1" si="16"/>
        <v>20540.088990363205</v>
      </c>
      <c r="AD35" s="318">
        <f t="shared" ca="1" si="16"/>
        <v>21626.315125897334</v>
      </c>
      <c r="AE35" s="318">
        <f t="shared" ca="1" si="16"/>
        <v>22642.060612877784</v>
      </c>
      <c r="AF35" s="318">
        <f t="shared" ca="1" si="16"/>
        <v>0</v>
      </c>
      <c r="AG35" s="318">
        <f t="shared" ca="1" si="16"/>
        <v>0</v>
      </c>
    </row>
    <row r="36" spans="1:33" ht="17.25" customHeight="1" outlineLevel="1">
      <c r="A36" s="861"/>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row>
    <row r="37" spans="1:33" s="878" customFormat="1" ht="17.25" customHeight="1" outlineLevel="1">
      <c r="A37" s="861"/>
      <c r="B37" s="861"/>
      <c r="C37" s="268" t="s">
        <v>1033</v>
      </c>
      <c r="D37" s="861"/>
      <c r="E37" s="861" t="s">
        <v>1034</v>
      </c>
      <c r="F37" s="861"/>
      <c r="G37" s="861"/>
      <c r="H37" s="861"/>
      <c r="I37" s="861"/>
      <c r="J37" s="317" t="s">
        <v>961</v>
      </c>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row>
    <row r="38" spans="1:33" s="878" customFormat="1" ht="17.25" customHeight="1" outlineLevel="1">
      <c r="A38" s="861"/>
      <c r="B38" s="861"/>
      <c r="C38" s="625" t="s">
        <v>943</v>
      </c>
      <c r="D38" s="8" t="str">
        <f t="shared" si="8"/>
        <v>USD</v>
      </c>
      <c r="E38" s="318"/>
      <c r="F38" s="549"/>
      <c r="G38" s="344"/>
      <c r="H38" s="549"/>
      <c r="I38" s="71">
        <f>SUMPRODUCT((J$6:AG$6),(J38:AG38))</f>
        <v>32100</v>
      </c>
      <c r="J38" s="263">
        <v>1500</v>
      </c>
      <c r="K38" s="263">
        <v>1200</v>
      </c>
      <c r="L38" s="263">
        <v>1300</v>
      </c>
      <c r="M38" s="263">
        <v>1100</v>
      </c>
      <c r="N38" s="263">
        <v>1500</v>
      </c>
      <c r="O38" s="263">
        <v>1500</v>
      </c>
      <c r="P38" s="263">
        <v>1500</v>
      </c>
      <c r="Q38" s="263">
        <v>1500</v>
      </c>
      <c r="R38" s="263">
        <v>1500</v>
      </c>
      <c r="S38" s="263">
        <v>1500</v>
      </c>
      <c r="T38" s="263">
        <v>1500</v>
      </c>
      <c r="U38" s="263">
        <v>1500</v>
      </c>
      <c r="V38" s="263">
        <v>1500</v>
      </c>
      <c r="W38" s="263">
        <v>1500</v>
      </c>
      <c r="X38" s="263">
        <v>1500</v>
      </c>
      <c r="Y38" s="263">
        <v>1500</v>
      </c>
      <c r="Z38" s="263">
        <v>1500</v>
      </c>
      <c r="AA38" s="263">
        <v>1500</v>
      </c>
      <c r="AB38" s="263">
        <v>1500</v>
      </c>
      <c r="AC38" s="263">
        <v>1500</v>
      </c>
      <c r="AD38" s="263">
        <v>1500</v>
      </c>
      <c r="AE38" s="263">
        <v>1500</v>
      </c>
      <c r="AF38" s="263">
        <v>1500</v>
      </c>
      <c r="AG38" s="263">
        <v>1500</v>
      </c>
    </row>
    <row r="39" spans="1:33" s="878" customFormat="1" ht="17.25" customHeight="1" outlineLevel="1">
      <c r="A39" s="861"/>
      <c r="B39" s="861"/>
      <c r="C39" s="625" t="s">
        <v>944</v>
      </c>
      <c r="D39" s="8" t="str">
        <f t="shared" si="8"/>
        <v>USD</v>
      </c>
      <c r="E39" s="318"/>
      <c r="F39" s="549"/>
      <c r="G39" s="344"/>
      <c r="H39" s="549"/>
      <c r="I39" s="71">
        <f>SUMPRODUCT((J$6:AG$6),(J39:AG39))</f>
        <v>1840</v>
      </c>
      <c r="J39" s="263">
        <v>70</v>
      </c>
      <c r="K39" s="263">
        <v>70</v>
      </c>
      <c r="L39" s="263">
        <v>70</v>
      </c>
      <c r="M39" s="263">
        <v>70</v>
      </c>
      <c r="N39" s="263">
        <v>70</v>
      </c>
      <c r="O39" s="263">
        <v>70</v>
      </c>
      <c r="P39" s="263">
        <v>140</v>
      </c>
      <c r="Q39" s="263">
        <v>70</v>
      </c>
      <c r="R39" s="263">
        <v>70</v>
      </c>
      <c r="S39" s="263">
        <v>70</v>
      </c>
      <c r="T39" s="263">
        <v>70</v>
      </c>
      <c r="U39" s="263">
        <v>300</v>
      </c>
      <c r="V39" s="263">
        <v>70</v>
      </c>
      <c r="W39" s="263">
        <v>70</v>
      </c>
      <c r="X39" s="263">
        <v>70</v>
      </c>
      <c r="Y39" s="263">
        <v>70</v>
      </c>
      <c r="Z39" s="263">
        <v>70</v>
      </c>
      <c r="AA39" s="263">
        <v>70</v>
      </c>
      <c r="AB39" s="263">
        <v>70</v>
      </c>
      <c r="AC39" s="263">
        <v>70</v>
      </c>
      <c r="AD39" s="263">
        <v>70</v>
      </c>
      <c r="AE39" s="263">
        <v>70</v>
      </c>
      <c r="AF39" s="263">
        <v>70</v>
      </c>
      <c r="AG39" s="263">
        <v>70</v>
      </c>
    </row>
    <row r="40" spans="1:33" s="878" customFormat="1" ht="17.25" customHeight="1" outlineLevel="1">
      <c r="A40" s="861"/>
      <c r="B40" s="861"/>
      <c r="C40" s="944" t="str">
        <f>"Total additional revenue - "&amp;Inputs!$F$30</f>
        <v>Total additional revenue - WonderApp</v>
      </c>
      <c r="D40" s="8" t="str">
        <f t="shared" si="8"/>
        <v>USD</v>
      </c>
      <c r="E40" s="318"/>
      <c r="F40" s="549"/>
      <c r="G40" s="344"/>
      <c r="H40" s="344"/>
      <c r="I40" s="71">
        <f>SUMPRODUCT((J$6:AG$6),(J40:AG40))</f>
        <v>33940</v>
      </c>
      <c r="J40" s="954">
        <f t="shared" ref="J40:AG40" si="17">SUM(J38:J39)*J$6*OnOff_PS1</f>
        <v>1570</v>
      </c>
      <c r="K40" s="954">
        <f t="shared" si="17"/>
        <v>1270</v>
      </c>
      <c r="L40" s="954">
        <f t="shared" si="17"/>
        <v>1370</v>
      </c>
      <c r="M40" s="954">
        <f t="shared" si="17"/>
        <v>1170</v>
      </c>
      <c r="N40" s="954">
        <f t="shared" si="17"/>
        <v>1570</v>
      </c>
      <c r="O40" s="954">
        <f t="shared" si="17"/>
        <v>1570</v>
      </c>
      <c r="P40" s="954">
        <f t="shared" si="17"/>
        <v>1640</v>
      </c>
      <c r="Q40" s="954">
        <f t="shared" si="17"/>
        <v>1570</v>
      </c>
      <c r="R40" s="954">
        <f t="shared" si="17"/>
        <v>1570</v>
      </c>
      <c r="S40" s="954">
        <f t="shared" si="17"/>
        <v>1570</v>
      </c>
      <c r="T40" s="954">
        <f t="shared" si="17"/>
        <v>1570</v>
      </c>
      <c r="U40" s="954">
        <f t="shared" si="17"/>
        <v>1800</v>
      </c>
      <c r="V40" s="954">
        <f t="shared" si="17"/>
        <v>1570</v>
      </c>
      <c r="W40" s="954">
        <f t="shared" si="17"/>
        <v>1570</v>
      </c>
      <c r="X40" s="954">
        <f t="shared" si="17"/>
        <v>1570</v>
      </c>
      <c r="Y40" s="954">
        <f t="shared" si="17"/>
        <v>1570</v>
      </c>
      <c r="Z40" s="954">
        <f t="shared" si="17"/>
        <v>1570</v>
      </c>
      <c r="AA40" s="954">
        <f t="shared" si="17"/>
        <v>1570</v>
      </c>
      <c r="AB40" s="954">
        <f t="shared" si="17"/>
        <v>1570</v>
      </c>
      <c r="AC40" s="954">
        <f t="shared" si="17"/>
        <v>1570</v>
      </c>
      <c r="AD40" s="954">
        <f t="shared" si="17"/>
        <v>1570</v>
      </c>
      <c r="AE40" s="954">
        <f t="shared" si="17"/>
        <v>1570</v>
      </c>
      <c r="AF40" s="954">
        <f t="shared" si="17"/>
        <v>0</v>
      </c>
      <c r="AG40" s="954">
        <f t="shared" si="17"/>
        <v>0</v>
      </c>
    </row>
    <row r="41" spans="1:33" s="878" customFormat="1" ht="17.25" customHeight="1" outlineLevel="1">
      <c r="A41" s="861"/>
      <c r="B41" s="861"/>
      <c r="C41" s="861"/>
      <c r="D41" s="861"/>
      <c r="E41" s="861" t="s">
        <v>779</v>
      </c>
      <c r="F41" s="861"/>
      <c r="G41" s="517" t="str">
        <f>Name_VAT &amp; " Rate"</f>
        <v>VAT Rate</v>
      </c>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row>
    <row r="42" spans="1:33" s="878" customFormat="1" ht="17.25" customHeight="1" outlineLevel="1">
      <c r="A42" s="861"/>
      <c r="B42" s="861"/>
      <c r="C42" s="24" t="str">
        <f>Name_VAT&amp;" on additional revenue (output tax receivable)"</f>
        <v>VAT on additional revenue (output tax receivable)</v>
      </c>
      <c r="D42" s="8" t="str">
        <f>Currency_Label</f>
        <v>USD</v>
      </c>
      <c r="E42" s="84">
        <f>Inputs!F45</f>
        <v>0.8</v>
      </c>
      <c r="F42" s="800"/>
      <c r="G42" s="84">
        <f>Inputs!I45</f>
        <v>0.2</v>
      </c>
      <c r="H42" s="318"/>
      <c r="I42" s="71">
        <f>SUM(J42:AG42)</f>
        <v>5430.3999999999987</v>
      </c>
      <c r="J42" s="318">
        <f t="shared" ref="J42:AG42" si="18">$E42*$G42*J40</f>
        <v>251.20000000000005</v>
      </c>
      <c r="K42" s="318">
        <f t="shared" si="18"/>
        <v>203.20000000000005</v>
      </c>
      <c r="L42" s="318">
        <f t="shared" si="18"/>
        <v>219.20000000000005</v>
      </c>
      <c r="M42" s="318">
        <f t="shared" si="18"/>
        <v>187.20000000000005</v>
      </c>
      <c r="N42" s="318">
        <f t="shared" si="18"/>
        <v>251.20000000000005</v>
      </c>
      <c r="O42" s="318">
        <f t="shared" si="18"/>
        <v>251.20000000000005</v>
      </c>
      <c r="P42" s="318">
        <f t="shared" si="18"/>
        <v>262.40000000000003</v>
      </c>
      <c r="Q42" s="318">
        <f t="shared" si="18"/>
        <v>251.20000000000005</v>
      </c>
      <c r="R42" s="318">
        <f t="shared" si="18"/>
        <v>251.20000000000005</v>
      </c>
      <c r="S42" s="318">
        <f t="shared" si="18"/>
        <v>251.20000000000005</v>
      </c>
      <c r="T42" s="318">
        <f t="shared" si="18"/>
        <v>251.20000000000005</v>
      </c>
      <c r="U42" s="318">
        <f t="shared" si="18"/>
        <v>288.00000000000006</v>
      </c>
      <c r="V42" s="318">
        <f t="shared" si="18"/>
        <v>251.20000000000005</v>
      </c>
      <c r="W42" s="318">
        <f t="shared" si="18"/>
        <v>251.20000000000005</v>
      </c>
      <c r="X42" s="318">
        <f t="shared" si="18"/>
        <v>251.20000000000005</v>
      </c>
      <c r="Y42" s="318">
        <f t="shared" si="18"/>
        <v>251.20000000000005</v>
      </c>
      <c r="Z42" s="318">
        <f t="shared" si="18"/>
        <v>251.20000000000005</v>
      </c>
      <c r="AA42" s="318">
        <f t="shared" si="18"/>
        <v>251.20000000000005</v>
      </c>
      <c r="AB42" s="318">
        <f t="shared" si="18"/>
        <v>251.20000000000005</v>
      </c>
      <c r="AC42" s="318">
        <f t="shared" si="18"/>
        <v>251.20000000000005</v>
      </c>
      <c r="AD42" s="318">
        <f t="shared" si="18"/>
        <v>251.20000000000005</v>
      </c>
      <c r="AE42" s="318">
        <f t="shared" si="18"/>
        <v>251.20000000000005</v>
      </c>
      <c r="AF42" s="318">
        <f t="shared" si="18"/>
        <v>0</v>
      </c>
      <c r="AG42" s="318">
        <f t="shared" si="18"/>
        <v>0</v>
      </c>
    </row>
    <row r="43" spans="1:33" s="878" customFormat="1" ht="17.25" customHeight="1" outlineLevel="1">
      <c r="A43" s="861"/>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row>
    <row r="44" spans="1:33" ht="21.75" customHeight="1">
      <c r="A44" s="861"/>
      <c r="B44" s="274">
        <v>3</v>
      </c>
      <c r="C44" s="274" t="str">
        <f>"Payments - "&amp;Inputs!$F$30</f>
        <v>Payments - WonderApp</v>
      </c>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row>
    <row r="45" spans="1:33" ht="17.25" customHeight="1" outlineLevel="1">
      <c r="A45" s="861"/>
      <c r="B45" s="861"/>
      <c r="C45" s="268" t="s">
        <v>1035</v>
      </c>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row>
    <row r="46" spans="1:33" ht="17.25" customHeight="1" outlineLevel="1">
      <c r="A46" s="861"/>
      <c r="B46" s="861"/>
      <c r="C46" s="961" t="s">
        <v>778</v>
      </c>
      <c r="D46" s="8" t="s">
        <v>777</v>
      </c>
      <c r="E46" s="677" t="s">
        <v>776</v>
      </c>
      <c r="F46" s="960" t="str">
        <f>Inputs!F55</f>
        <v>Quarterly</v>
      </c>
      <c r="G46" s="511">
        <f>VLOOKUP(F46,Formats!$J$77:$K$80,2,FALSE)</f>
        <v>3</v>
      </c>
      <c r="H46" s="800"/>
      <c r="I46" s="963"/>
      <c r="J46" s="962">
        <f t="shared" ref="J46:AG46" si="19">IF(MOD(J$7-1,$G46)=0,1,0)*J$6</f>
        <v>1</v>
      </c>
      <c r="K46" s="962">
        <f t="shared" si="19"/>
        <v>0</v>
      </c>
      <c r="L46" s="962">
        <f t="shared" si="19"/>
        <v>0</v>
      </c>
      <c r="M46" s="962">
        <f t="shared" si="19"/>
        <v>1</v>
      </c>
      <c r="N46" s="962">
        <f t="shared" si="19"/>
        <v>0</v>
      </c>
      <c r="O46" s="962">
        <f t="shared" si="19"/>
        <v>0</v>
      </c>
      <c r="P46" s="962">
        <f t="shared" si="19"/>
        <v>1</v>
      </c>
      <c r="Q46" s="962">
        <f t="shared" si="19"/>
        <v>0</v>
      </c>
      <c r="R46" s="962">
        <f t="shared" si="19"/>
        <v>0</v>
      </c>
      <c r="S46" s="962">
        <f t="shared" si="19"/>
        <v>1</v>
      </c>
      <c r="T46" s="962">
        <f t="shared" si="19"/>
        <v>0</v>
      </c>
      <c r="U46" s="962">
        <f t="shared" si="19"/>
        <v>0</v>
      </c>
      <c r="V46" s="962">
        <f t="shared" si="19"/>
        <v>1</v>
      </c>
      <c r="W46" s="962">
        <f t="shared" si="19"/>
        <v>0</v>
      </c>
      <c r="X46" s="962">
        <f t="shared" si="19"/>
        <v>0</v>
      </c>
      <c r="Y46" s="962">
        <f t="shared" si="19"/>
        <v>1</v>
      </c>
      <c r="Z46" s="962">
        <f t="shared" si="19"/>
        <v>0</v>
      </c>
      <c r="AA46" s="962">
        <f t="shared" si="19"/>
        <v>0</v>
      </c>
      <c r="AB46" s="962">
        <f t="shared" si="19"/>
        <v>1</v>
      </c>
      <c r="AC46" s="962">
        <f t="shared" si="19"/>
        <v>0</v>
      </c>
      <c r="AD46" s="962">
        <f t="shared" si="19"/>
        <v>0</v>
      </c>
      <c r="AE46" s="962">
        <f t="shared" si="19"/>
        <v>1</v>
      </c>
      <c r="AF46" s="962">
        <f t="shared" si="19"/>
        <v>0</v>
      </c>
      <c r="AG46" s="962">
        <f t="shared" si="19"/>
        <v>0</v>
      </c>
    </row>
    <row r="47" spans="1:33" ht="17.25" customHeight="1" outlineLevel="1">
      <c r="A47" s="861"/>
      <c r="B47" s="861"/>
      <c r="C47" s="961" t="s">
        <v>775</v>
      </c>
      <c r="D47" s="74" t="str">
        <f>Currency_Label</f>
        <v>USD</v>
      </c>
      <c r="E47" s="677" t="s">
        <v>774</v>
      </c>
      <c r="F47" s="960" t="str">
        <f>Inputs!F56</f>
        <v>In Arrears</v>
      </c>
      <c r="G47" s="511">
        <f>VLOOKUP(F47,Formats!$B$89:$C$90,2,FALSE)</f>
        <v>2</v>
      </c>
      <c r="H47" s="549"/>
      <c r="I47" s="71">
        <f ca="1">SUMPRODUCT((J$6:AG$6),(J47:AG47))</f>
        <v>1521331.0678009442</v>
      </c>
      <c r="J47" s="230">
        <f t="shared" ref="J47:AG47" ca="1" si="20">IF($G47=1,SUM(OFFSET(J$33,0,0,1,$G$46))*J46,IF(J$7&lt;$G$46+1,0,SUM(OFFSET(J$33,0,-1,1,-$G$46))*J46))</f>
        <v>0</v>
      </c>
      <c r="K47" s="230">
        <f t="shared" ca="1" si="20"/>
        <v>0</v>
      </c>
      <c r="L47" s="230">
        <f t="shared" ca="1" si="20"/>
        <v>0</v>
      </c>
      <c r="M47" s="230">
        <f t="shared" ca="1" si="20"/>
        <v>48663.45</v>
      </c>
      <c r="N47" s="230">
        <f t="shared" ca="1" si="20"/>
        <v>0</v>
      </c>
      <c r="O47" s="230">
        <f t="shared" ca="1" si="20"/>
        <v>0</v>
      </c>
      <c r="P47" s="230">
        <f t="shared" ca="1" si="20"/>
        <v>101670.5448</v>
      </c>
      <c r="Q47" s="230">
        <f t="shared" ca="1" si="20"/>
        <v>0</v>
      </c>
      <c r="R47" s="230">
        <f t="shared" ca="1" si="20"/>
        <v>0</v>
      </c>
      <c r="S47" s="230">
        <f t="shared" ca="1" si="20"/>
        <v>163948.88819358725</v>
      </c>
      <c r="T47" s="230">
        <f t="shared" ca="1" si="20"/>
        <v>0</v>
      </c>
      <c r="U47" s="230">
        <f t="shared" ca="1" si="20"/>
        <v>0</v>
      </c>
      <c r="V47" s="230">
        <f t="shared" ca="1" si="20"/>
        <v>221751.33731554105</v>
      </c>
      <c r="W47" s="230">
        <f t="shared" ca="1" si="20"/>
        <v>0</v>
      </c>
      <c r="X47" s="230">
        <f t="shared" ca="1" si="20"/>
        <v>0</v>
      </c>
      <c r="Y47" s="230">
        <f t="shared" ca="1" si="20"/>
        <v>272078.37152165006</v>
      </c>
      <c r="Z47" s="230">
        <f t="shared" ca="1" si="20"/>
        <v>0</v>
      </c>
      <c r="AA47" s="230">
        <f t="shared" ca="1" si="20"/>
        <v>0</v>
      </c>
      <c r="AB47" s="230">
        <f t="shared" ca="1" si="20"/>
        <v>327927.25242187188</v>
      </c>
      <c r="AC47" s="230">
        <f t="shared" ca="1" si="20"/>
        <v>0</v>
      </c>
      <c r="AD47" s="230">
        <f t="shared" ca="1" si="20"/>
        <v>0</v>
      </c>
      <c r="AE47" s="230">
        <f t="shared" ca="1" si="20"/>
        <v>385291.22354829405</v>
      </c>
      <c r="AF47" s="230">
        <f t="shared" ca="1" si="20"/>
        <v>0</v>
      </c>
      <c r="AG47" s="230">
        <f t="shared" ca="1" si="20"/>
        <v>0</v>
      </c>
    </row>
    <row r="48" spans="1:33" ht="17.25" customHeight="1" outlineLevel="1">
      <c r="A48" s="861"/>
      <c r="B48" s="861"/>
      <c r="C48" s="268" t="s">
        <v>773</v>
      </c>
      <c r="D48" s="317" t="s">
        <v>895</v>
      </c>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row>
    <row r="49" spans="1:33" ht="17.25" customHeight="1" outlineLevel="1">
      <c r="A49" s="861"/>
      <c r="B49" s="861"/>
      <c r="C49" s="878" t="s">
        <v>140</v>
      </c>
      <c r="D49" s="8" t="str">
        <f>Currency_Label</f>
        <v>USD</v>
      </c>
      <c r="E49" s="318"/>
      <c r="F49" s="344"/>
      <c r="G49" s="344"/>
      <c r="H49" s="344"/>
      <c r="I49" s="253"/>
      <c r="J49" s="79">
        <f t="shared" ref="J49:AG49" si="21">I51*J$6</f>
        <v>0</v>
      </c>
      <c r="K49" s="79">
        <f t="shared" si="21"/>
        <v>0</v>
      </c>
      <c r="L49" s="79">
        <f t="shared" si="21"/>
        <v>0</v>
      </c>
      <c r="M49" s="79">
        <f t="shared" si="21"/>
        <v>0</v>
      </c>
      <c r="N49" s="79">
        <f t="shared" si="21"/>
        <v>0</v>
      </c>
      <c r="O49" s="79">
        <f t="shared" si="21"/>
        <v>0</v>
      </c>
      <c r="P49" s="79">
        <f t="shared" si="21"/>
        <v>0</v>
      </c>
      <c r="Q49" s="79">
        <f t="shared" si="21"/>
        <v>0</v>
      </c>
      <c r="R49" s="79">
        <f t="shared" si="21"/>
        <v>0</v>
      </c>
      <c r="S49" s="79">
        <f t="shared" si="21"/>
        <v>0</v>
      </c>
      <c r="T49" s="79">
        <f t="shared" si="21"/>
        <v>0</v>
      </c>
      <c r="U49" s="79">
        <f t="shared" si="21"/>
        <v>0</v>
      </c>
      <c r="V49" s="79">
        <f t="shared" si="21"/>
        <v>0</v>
      </c>
      <c r="W49" s="79">
        <f t="shared" si="21"/>
        <v>0</v>
      </c>
      <c r="X49" s="79">
        <f t="shared" si="21"/>
        <v>0</v>
      </c>
      <c r="Y49" s="79">
        <f t="shared" si="21"/>
        <v>0</v>
      </c>
      <c r="Z49" s="79">
        <f t="shared" si="21"/>
        <v>0</v>
      </c>
      <c r="AA49" s="79">
        <f t="shared" si="21"/>
        <v>0</v>
      </c>
      <c r="AB49" s="79">
        <f t="shared" si="21"/>
        <v>0</v>
      </c>
      <c r="AC49" s="79">
        <f t="shared" si="21"/>
        <v>0</v>
      </c>
      <c r="AD49" s="79">
        <f t="shared" si="21"/>
        <v>0</v>
      </c>
      <c r="AE49" s="79">
        <f t="shared" si="21"/>
        <v>0</v>
      </c>
      <c r="AF49" s="79">
        <f t="shared" si="21"/>
        <v>0</v>
      </c>
      <c r="AG49" s="79">
        <f t="shared" si="21"/>
        <v>0</v>
      </c>
    </row>
    <row r="50" spans="1:33" ht="17.25" customHeight="1" outlineLevel="1">
      <c r="A50" s="861"/>
      <c r="B50" s="861"/>
      <c r="C50" s="40" t="s">
        <v>772</v>
      </c>
      <c r="D50" s="8" t="str">
        <f>Currency_Label</f>
        <v>USD</v>
      </c>
      <c r="E50" s="318"/>
      <c r="F50" s="344"/>
      <c r="G50" s="344"/>
      <c r="H50" s="344"/>
      <c r="I50" s="71">
        <f>ROUND(SUM(J50:AG50),3)</f>
        <v>0</v>
      </c>
      <c r="J50" s="318">
        <f t="shared" ref="J50:AG50" si="22">IF($G47=1,-J33+J47,0)</f>
        <v>0</v>
      </c>
      <c r="K50" s="318">
        <f t="shared" si="22"/>
        <v>0</v>
      </c>
      <c r="L50" s="318">
        <f t="shared" si="22"/>
        <v>0</v>
      </c>
      <c r="M50" s="318">
        <f t="shared" si="22"/>
        <v>0</v>
      </c>
      <c r="N50" s="318">
        <f t="shared" si="22"/>
        <v>0</v>
      </c>
      <c r="O50" s="318">
        <f t="shared" si="22"/>
        <v>0</v>
      </c>
      <c r="P50" s="318">
        <f t="shared" si="22"/>
        <v>0</v>
      </c>
      <c r="Q50" s="318">
        <f t="shared" si="22"/>
        <v>0</v>
      </c>
      <c r="R50" s="318">
        <f t="shared" si="22"/>
        <v>0</v>
      </c>
      <c r="S50" s="318">
        <f t="shared" si="22"/>
        <v>0</v>
      </c>
      <c r="T50" s="318">
        <f t="shared" si="22"/>
        <v>0</v>
      </c>
      <c r="U50" s="318">
        <f t="shared" si="22"/>
        <v>0</v>
      </c>
      <c r="V50" s="318">
        <f t="shared" si="22"/>
        <v>0</v>
      </c>
      <c r="W50" s="318">
        <f t="shared" si="22"/>
        <v>0</v>
      </c>
      <c r="X50" s="318">
        <f t="shared" si="22"/>
        <v>0</v>
      </c>
      <c r="Y50" s="318">
        <f t="shared" si="22"/>
        <v>0</v>
      </c>
      <c r="Z50" s="318">
        <f t="shared" si="22"/>
        <v>0</v>
      </c>
      <c r="AA50" s="318">
        <f t="shared" si="22"/>
        <v>0</v>
      </c>
      <c r="AB50" s="318">
        <f t="shared" si="22"/>
        <v>0</v>
      </c>
      <c r="AC50" s="318">
        <f t="shared" si="22"/>
        <v>0</v>
      </c>
      <c r="AD50" s="318">
        <f t="shared" si="22"/>
        <v>0</v>
      </c>
      <c r="AE50" s="318">
        <f t="shared" si="22"/>
        <v>0</v>
      </c>
      <c r="AF50" s="318">
        <f t="shared" si="22"/>
        <v>0</v>
      </c>
      <c r="AG50" s="318">
        <f t="shared" si="22"/>
        <v>0</v>
      </c>
    </row>
    <row r="51" spans="1:33" ht="17.25" customHeight="1" outlineLevel="1" thickBot="1">
      <c r="A51" s="861"/>
      <c r="B51" s="861"/>
      <c r="C51" s="878" t="s">
        <v>141</v>
      </c>
      <c r="D51" s="8" t="str">
        <f>Currency_Label</f>
        <v>USD</v>
      </c>
      <c r="E51" s="318"/>
      <c r="F51" s="344"/>
      <c r="G51" s="344"/>
      <c r="H51" s="344"/>
      <c r="I51" s="959"/>
      <c r="J51" s="672">
        <f t="shared" ref="J51:AG51" si="23">SUM(J49:J50)</f>
        <v>0</v>
      </c>
      <c r="K51" s="672">
        <f t="shared" si="23"/>
        <v>0</v>
      </c>
      <c r="L51" s="672">
        <f t="shared" si="23"/>
        <v>0</v>
      </c>
      <c r="M51" s="672">
        <f t="shared" si="23"/>
        <v>0</v>
      </c>
      <c r="N51" s="672">
        <f t="shared" si="23"/>
        <v>0</v>
      </c>
      <c r="O51" s="672">
        <f t="shared" si="23"/>
        <v>0</v>
      </c>
      <c r="P51" s="672">
        <f t="shared" si="23"/>
        <v>0</v>
      </c>
      <c r="Q51" s="672">
        <f t="shared" si="23"/>
        <v>0</v>
      </c>
      <c r="R51" s="672">
        <f t="shared" si="23"/>
        <v>0</v>
      </c>
      <c r="S51" s="672">
        <f t="shared" si="23"/>
        <v>0</v>
      </c>
      <c r="T51" s="672">
        <f t="shared" si="23"/>
        <v>0</v>
      </c>
      <c r="U51" s="672">
        <f t="shared" si="23"/>
        <v>0</v>
      </c>
      <c r="V51" s="672">
        <f t="shared" si="23"/>
        <v>0</v>
      </c>
      <c r="W51" s="672">
        <f t="shared" si="23"/>
        <v>0</v>
      </c>
      <c r="X51" s="672">
        <f t="shared" si="23"/>
        <v>0</v>
      </c>
      <c r="Y51" s="672">
        <f t="shared" si="23"/>
        <v>0</v>
      </c>
      <c r="Z51" s="672">
        <f t="shared" si="23"/>
        <v>0</v>
      </c>
      <c r="AA51" s="672">
        <f t="shared" si="23"/>
        <v>0</v>
      </c>
      <c r="AB51" s="672">
        <f t="shared" si="23"/>
        <v>0</v>
      </c>
      <c r="AC51" s="672">
        <f t="shared" si="23"/>
        <v>0</v>
      </c>
      <c r="AD51" s="672">
        <f t="shared" si="23"/>
        <v>0</v>
      </c>
      <c r="AE51" s="672">
        <f t="shared" si="23"/>
        <v>0</v>
      </c>
      <c r="AF51" s="672">
        <f t="shared" si="23"/>
        <v>0</v>
      </c>
      <c r="AG51" s="672">
        <f t="shared" si="23"/>
        <v>0</v>
      </c>
    </row>
    <row r="52" spans="1:33" ht="17.25" customHeight="1" outlineLevel="1" thickTop="1">
      <c r="A52" s="861"/>
      <c r="B52" s="861"/>
      <c r="C52" s="268" t="s">
        <v>771</v>
      </c>
      <c r="D52" s="317" t="s">
        <v>894</v>
      </c>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row>
    <row r="53" spans="1:33" ht="17.25" customHeight="1" outlineLevel="1">
      <c r="A53" s="861"/>
      <c r="B53" s="861"/>
      <c r="C53" s="878" t="s">
        <v>140</v>
      </c>
      <c r="D53" s="8" t="str">
        <f>Currency_Label</f>
        <v>USD</v>
      </c>
      <c r="E53" s="318"/>
      <c r="F53" s="344"/>
      <c r="G53" s="344"/>
      <c r="H53" s="344"/>
      <c r="I53" s="344"/>
      <c r="J53" s="79">
        <f t="shared" ref="J53:AG53" si="24">I55*J$6</f>
        <v>0</v>
      </c>
      <c r="K53" s="79">
        <f t="shared" ca="1" si="24"/>
        <v>10899.9</v>
      </c>
      <c r="L53" s="79">
        <f t="shared" ca="1" si="24"/>
        <v>26997.3</v>
      </c>
      <c r="M53" s="79">
        <f t="shared" ca="1" si="24"/>
        <v>48663.45</v>
      </c>
      <c r="N53" s="79">
        <f t="shared" ca="1" si="24"/>
        <v>27733.86</v>
      </c>
      <c r="O53" s="79">
        <f t="shared" ca="1" si="24"/>
        <v>61504.74</v>
      </c>
      <c r="P53" s="79">
        <f t="shared" ca="1" si="24"/>
        <v>101670.5448</v>
      </c>
      <c r="Q53" s="79">
        <f t="shared" ca="1" si="24"/>
        <v>47265.709392000012</v>
      </c>
      <c r="R53" s="79">
        <f t="shared" ca="1" si="24"/>
        <v>101794.27344768003</v>
      </c>
      <c r="S53" s="79">
        <f t="shared" ca="1" si="24"/>
        <v>163948.88819358725</v>
      </c>
      <c r="T53" s="79">
        <f t="shared" ca="1" si="24"/>
        <v>67970.387531743501</v>
      </c>
      <c r="U53" s="79">
        <f t="shared" ca="1" si="24"/>
        <v>143022.59053003674</v>
      </c>
      <c r="V53" s="79">
        <f t="shared" ca="1" si="24"/>
        <v>221751.33731554105</v>
      </c>
      <c r="W53" s="79">
        <f t="shared" ca="1" si="24"/>
        <v>84211.994843069464</v>
      </c>
      <c r="X53" s="79">
        <f t="shared" ca="1" si="24"/>
        <v>174876.70127092634</v>
      </c>
      <c r="Y53" s="79">
        <f t="shared" ca="1" si="24"/>
        <v>272078.37152165006</v>
      </c>
      <c r="Z53" s="79">
        <f t="shared" ca="1" si="24"/>
        <v>102826.05912366163</v>
      </c>
      <c r="AA53" s="79">
        <f t="shared" ca="1" si="24"/>
        <v>212093.30435986409</v>
      </c>
      <c r="AB53" s="79">
        <f t="shared" ca="1" si="24"/>
        <v>327927.25242187188</v>
      </c>
      <c r="AC53" s="79">
        <f t="shared" ca="1" si="24"/>
        <v>121751.19782166573</v>
      </c>
      <c r="AD53" s="79">
        <f t="shared" ca="1" si="24"/>
        <v>250126.75401143573</v>
      </c>
      <c r="AE53" s="79">
        <f t="shared" ca="1" si="24"/>
        <v>385291.22354829405</v>
      </c>
      <c r="AF53" s="79">
        <f t="shared" ca="1" si="24"/>
        <v>0</v>
      </c>
      <c r="AG53" s="79">
        <f t="shared" ca="1" si="24"/>
        <v>0</v>
      </c>
    </row>
    <row r="54" spans="1:33" ht="17.25" customHeight="1" outlineLevel="1">
      <c r="A54" s="861"/>
      <c r="B54" s="861"/>
      <c r="C54" s="40" t="s">
        <v>216</v>
      </c>
      <c r="D54" s="8" t="str">
        <f>Currency_Label</f>
        <v>USD</v>
      </c>
      <c r="E54" s="318"/>
      <c r="F54" s="344"/>
      <c r="G54" s="344"/>
      <c r="H54" s="344"/>
      <c r="I54" s="71">
        <f ca="1">SUM(J54:AG54)</f>
        <v>141512.87883048612</v>
      </c>
      <c r="J54" s="318">
        <f t="shared" ref="J54:AG54" ca="1" si="25">IF($G47=2,J33-J47,0)</f>
        <v>10899.9</v>
      </c>
      <c r="K54" s="318">
        <f t="shared" ca="1" si="25"/>
        <v>16097.4</v>
      </c>
      <c r="L54" s="318">
        <f t="shared" ca="1" si="25"/>
        <v>21666.15</v>
      </c>
      <c r="M54" s="318">
        <f t="shared" ca="1" si="25"/>
        <v>-20929.589999999997</v>
      </c>
      <c r="N54" s="318">
        <f t="shared" ca="1" si="25"/>
        <v>33770.879999999997</v>
      </c>
      <c r="O54" s="318">
        <f t="shared" ca="1" si="25"/>
        <v>40165.804800000005</v>
      </c>
      <c r="P54" s="318">
        <f t="shared" ca="1" si="25"/>
        <v>-54404.835407999992</v>
      </c>
      <c r="Q54" s="318">
        <f t="shared" ca="1" si="25"/>
        <v>54528.564055680006</v>
      </c>
      <c r="R54" s="318">
        <f t="shared" ca="1" si="25"/>
        <v>62154.614745907209</v>
      </c>
      <c r="S54" s="318">
        <f t="shared" ca="1" si="25"/>
        <v>-95978.500661843747</v>
      </c>
      <c r="T54" s="318">
        <f t="shared" ca="1" si="25"/>
        <v>75052.202998293244</v>
      </c>
      <c r="U54" s="318">
        <f t="shared" ca="1" si="25"/>
        <v>78728.746785504292</v>
      </c>
      <c r="V54" s="318">
        <f t="shared" ca="1" si="25"/>
        <v>-137539.34247247159</v>
      </c>
      <c r="W54" s="318">
        <f t="shared" ca="1" si="25"/>
        <v>90664.706427856858</v>
      </c>
      <c r="X54" s="318">
        <f t="shared" ca="1" si="25"/>
        <v>97201.670250723721</v>
      </c>
      <c r="Y54" s="318">
        <f t="shared" ca="1" si="25"/>
        <v>-169252.31239798843</v>
      </c>
      <c r="Z54" s="318">
        <f t="shared" ca="1" si="25"/>
        <v>109267.24523620245</v>
      </c>
      <c r="AA54" s="318">
        <f t="shared" ca="1" si="25"/>
        <v>115833.94806200775</v>
      </c>
      <c r="AB54" s="318">
        <f t="shared" ca="1" si="25"/>
        <v>-206176.05460020615</v>
      </c>
      <c r="AC54" s="318">
        <f t="shared" ca="1" si="25"/>
        <v>128375.55618977001</v>
      </c>
      <c r="AD54" s="318">
        <f t="shared" ca="1" si="25"/>
        <v>135164.46953685832</v>
      </c>
      <c r="AE54" s="318">
        <f t="shared" ca="1" si="25"/>
        <v>-243778.34471780792</v>
      </c>
      <c r="AF54" s="318">
        <f t="shared" ca="1" si="25"/>
        <v>0</v>
      </c>
      <c r="AG54" s="318">
        <f t="shared" ca="1" si="25"/>
        <v>0</v>
      </c>
    </row>
    <row r="55" spans="1:33" ht="17.25" customHeight="1" outlineLevel="1" thickBot="1">
      <c r="A55" s="861"/>
      <c r="B55" s="861"/>
      <c r="C55" s="878" t="s">
        <v>141</v>
      </c>
      <c r="D55" s="8" t="str">
        <f>Currency_Label</f>
        <v>USD</v>
      </c>
      <c r="E55" s="318"/>
      <c r="F55" s="344"/>
      <c r="G55" s="344"/>
      <c r="H55" s="344"/>
      <c r="I55" s="959"/>
      <c r="J55" s="672">
        <f t="shared" ref="J55:AG55" ca="1" si="26">SUM(J53:J54)</f>
        <v>10899.9</v>
      </c>
      <c r="K55" s="672">
        <f t="shared" ca="1" si="26"/>
        <v>26997.3</v>
      </c>
      <c r="L55" s="672">
        <f t="shared" ca="1" si="26"/>
        <v>48663.45</v>
      </c>
      <c r="M55" s="672">
        <f t="shared" ca="1" si="26"/>
        <v>27733.86</v>
      </c>
      <c r="N55" s="672">
        <f t="shared" ca="1" si="26"/>
        <v>61504.74</v>
      </c>
      <c r="O55" s="672">
        <f t="shared" ca="1" si="26"/>
        <v>101670.5448</v>
      </c>
      <c r="P55" s="672">
        <f t="shared" ca="1" si="26"/>
        <v>47265.709392000012</v>
      </c>
      <c r="Q55" s="672">
        <f t="shared" ca="1" si="26"/>
        <v>101794.27344768003</v>
      </c>
      <c r="R55" s="672">
        <f t="shared" ca="1" si="26"/>
        <v>163948.88819358725</v>
      </c>
      <c r="S55" s="672">
        <f t="shared" ca="1" si="26"/>
        <v>67970.387531743501</v>
      </c>
      <c r="T55" s="672">
        <f t="shared" ca="1" si="26"/>
        <v>143022.59053003674</v>
      </c>
      <c r="U55" s="672">
        <f t="shared" ca="1" si="26"/>
        <v>221751.33731554105</v>
      </c>
      <c r="V55" s="672">
        <f t="shared" ca="1" si="26"/>
        <v>84211.994843069464</v>
      </c>
      <c r="W55" s="672">
        <f t="shared" ca="1" si="26"/>
        <v>174876.70127092634</v>
      </c>
      <c r="X55" s="672">
        <f t="shared" ca="1" si="26"/>
        <v>272078.37152165006</v>
      </c>
      <c r="Y55" s="672">
        <f t="shared" ca="1" si="26"/>
        <v>102826.05912366163</v>
      </c>
      <c r="Z55" s="672">
        <f t="shared" ca="1" si="26"/>
        <v>212093.30435986409</v>
      </c>
      <c r="AA55" s="672">
        <f t="shared" ca="1" si="26"/>
        <v>327927.25242187188</v>
      </c>
      <c r="AB55" s="672">
        <f t="shared" ca="1" si="26"/>
        <v>121751.19782166573</v>
      </c>
      <c r="AC55" s="672">
        <f t="shared" ca="1" si="26"/>
        <v>250126.75401143573</v>
      </c>
      <c r="AD55" s="672">
        <f t="shared" ca="1" si="26"/>
        <v>385291.22354829405</v>
      </c>
      <c r="AE55" s="672">
        <f t="shared" ca="1" si="26"/>
        <v>141512.87883048612</v>
      </c>
      <c r="AF55" s="672">
        <f t="shared" ca="1" si="26"/>
        <v>0</v>
      </c>
      <c r="AG55" s="672">
        <f t="shared" ca="1" si="26"/>
        <v>0</v>
      </c>
    </row>
    <row r="56" spans="1:33" ht="17.25" customHeight="1" outlineLevel="1" thickTop="1">
      <c r="A56" s="861"/>
      <c r="B56" s="861"/>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row>
    <row r="57" spans="1:33" ht="17.25" customHeight="1" outlineLevel="1">
      <c r="A57" s="861"/>
      <c r="B57" s="861"/>
      <c r="C57" s="24" t="str">
        <f>Name_VAT&amp;" on sales (output tax received)"</f>
        <v>VAT on sales (output tax received)</v>
      </c>
      <c r="D57" s="8" t="str">
        <f>Currency_Label</f>
        <v>USD</v>
      </c>
      <c r="E57" s="318"/>
      <c r="F57" s="318"/>
      <c r="G57" s="344"/>
      <c r="H57" s="318"/>
      <c r="I57" s="71">
        <f ca="1">SUM(J57:AG57)</f>
        <v>243412.97084815113</v>
      </c>
      <c r="J57" s="318">
        <f t="shared" ref="J57:AG57" ca="1" si="27">$E35*$G35*J47</f>
        <v>0</v>
      </c>
      <c r="K57" s="318">
        <f t="shared" ca="1" si="27"/>
        <v>0</v>
      </c>
      <c r="L57" s="318">
        <f t="shared" ca="1" si="27"/>
        <v>0</v>
      </c>
      <c r="M57" s="318">
        <f t="shared" ca="1" si="27"/>
        <v>7786.152000000001</v>
      </c>
      <c r="N57" s="318">
        <f t="shared" ca="1" si="27"/>
        <v>0</v>
      </c>
      <c r="O57" s="318">
        <f t="shared" ca="1" si="27"/>
        <v>0</v>
      </c>
      <c r="P57" s="318">
        <f t="shared" ca="1" si="27"/>
        <v>16267.287168000004</v>
      </c>
      <c r="Q57" s="318">
        <f t="shared" ca="1" si="27"/>
        <v>0</v>
      </c>
      <c r="R57" s="318">
        <f t="shared" ca="1" si="27"/>
        <v>0</v>
      </c>
      <c r="S57" s="318">
        <f t="shared" ca="1" si="27"/>
        <v>26231.822110973964</v>
      </c>
      <c r="T57" s="318">
        <f t="shared" ca="1" si="27"/>
        <v>0</v>
      </c>
      <c r="U57" s="318">
        <f t="shared" ca="1" si="27"/>
        <v>0</v>
      </c>
      <c r="V57" s="318">
        <f t="shared" ca="1" si="27"/>
        <v>35480.213970486577</v>
      </c>
      <c r="W57" s="318">
        <f t="shared" ca="1" si="27"/>
        <v>0</v>
      </c>
      <c r="X57" s="318">
        <f t="shared" ca="1" si="27"/>
        <v>0</v>
      </c>
      <c r="Y57" s="318">
        <f t="shared" ca="1" si="27"/>
        <v>43532.539443464018</v>
      </c>
      <c r="Z57" s="318">
        <f t="shared" ca="1" si="27"/>
        <v>0</v>
      </c>
      <c r="AA57" s="318">
        <f t="shared" ca="1" si="27"/>
        <v>0</v>
      </c>
      <c r="AB57" s="318">
        <f t="shared" ca="1" si="27"/>
        <v>52468.36038749951</v>
      </c>
      <c r="AC57" s="318">
        <f t="shared" ca="1" si="27"/>
        <v>0</v>
      </c>
      <c r="AD57" s="318">
        <f t="shared" ca="1" si="27"/>
        <v>0</v>
      </c>
      <c r="AE57" s="318">
        <f t="shared" ca="1" si="27"/>
        <v>61646.595767727056</v>
      </c>
      <c r="AF57" s="318">
        <f t="shared" ca="1" si="27"/>
        <v>0</v>
      </c>
      <c r="AG57" s="318">
        <f t="shared" ca="1" si="27"/>
        <v>0</v>
      </c>
    </row>
    <row r="58" spans="1:33" ht="17.25" customHeight="1" outlineLevel="1">
      <c r="A58" s="861"/>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row>
    <row r="59" spans="1:33" ht="21.75" customHeight="1">
      <c r="A59" s="861"/>
      <c r="B59" s="274">
        <v>4</v>
      </c>
      <c r="C59" s="274" t="str">
        <f>"Cost of Sales - "&amp;Inputs!$F$30</f>
        <v>Cost of Sales - WonderApp</v>
      </c>
      <c r="D59" s="861"/>
      <c r="E59" s="861"/>
      <c r="F59" s="861"/>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row>
    <row r="60" spans="1:33" ht="17.25" customHeight="1" outlineLevel="1">
      <c r="A60" s="861"/>
      <c r="B60" s="861"/>
      <c r="C60" s="40" t="s">
        <v>770</v>
      </c>
      <c r="D60" s="8" t="str">
        <f t="shared" ref="D60:D70" si="28">Currency_Label</f>
        <v>USD</v>
      </c>
      <c r="E60" s="953">
        <f>Inputs!F68</f>
        <v>1.5</v>
      </c>
      <c r="F60" s="800" t="s">
        <v>764</v>
      </c>
      <c r="G60" s="800"/>
      <c r="H60" s="800"/>
      <c r="I60" s="71">
        <f t="shared" ref="I60:I66" ca="1" si="29">SUM(J60:AG60)</f>
        <v>50670.167014501763</v>
      </c>
      <c r="J60" s="318">
        <f t="shared" ref="J60:S61" ca="1" si="30">$E60*J$16*J$6*OnOff_PS1</f>
        <v>310.5</v>
      </c>
      <c r="K60" s="318">
        <f t="shared" ca="1" si="30"/>
        <v>460.5</v>
      </c>
      <c r="L60" s="318">
        <f t="shared" ca="1" si="30"/>
        <v>648</v>
      </c>
      <c r="M60" s="318">
        <f t="shared" ca="1" si="30"/>
        <v>827.47499999999991</v>
      </c>
      <c r="N60" s="318">
        <f t="shared" ca="1" si="30"/>
        <v>1022.7750000000001</v>
      </c>
      <c r="O60" s="318">
        <f t="shared" ca="1" si="30"/>
        <v>1224.3120000000001</v>
      </c>
      <c r="P60" s="318">
        <f t="shared" ca="1" si="30"/>
        <v>1419.1617300000003</v>
      </c>
      <c r="Q60" s="318">
        <f t="shared" ca="1" si="30"/>
        <v>1630.0191492000004</v>
      </c>
      <c r="R60" s="318">
        <f t="shared" ca="1" si="30"/>
        <v>1847.8146151680003</v>
      </c>
      <c r="S60" s="318">
        <f t="shared" ca="1" si="30"/>
        <v>2016.5844622747204</v>
      </c>
      <c r="T60" s="318">
        <f t="shared" ref="T60:AC61" ca="1" si="31">$E60*T$16*T$6*OnOff_PS1</f>
        <v>2219.6620382657093</v>
      </c>
      <c r="U60" s="318">
        <f t="shared" ca="1" si="31"/>
        <v>2424.0398172963378</v>
      </c>
      <c r="V60" s="318">
        <f t="shared" ca="1" si="31"/>
        <v>2592.2364118631913</v>
      </c>
      <c r="W60" s="318">
        <f t="shared" ca="1" si="31"/>
        <v>2788.5990176627188</v>
      </c>
      <c r="X60" s="318">
        <f t="shared" ca="1" si="31"/>
        <v>2987.6307236942275</v>
      </c>
      <c r="Y60" s="318">
        <f t="shared" ca="1" si="31"/>
        <v>3160.4608623232471</v>
      </c>
      <c r="Z60" s="318">
        <f t="shared" ca="1" si="31"/>
        <v>3356.967331566927</v>
      </c>
      <c r="AA60" s="318">
        <f t="shared" ca="1" si="31"/>
        <v>3557.3931525403541</v>
      </c>
      <c r="AB60" s="318">
        <f t="shared" ca="1" si="31"/>
        <v>3739.4428028431557</v>
      </c>
      <c r="AC60" s="318">
        <f t="shared" ca="1" si="31"/>
        <v>3941.9610405680146</v>
      </c>
      <c r="AD60" s="318">
        <f t="shared" ref="AD60:AG61" ca="1" si="32">$E60*AD$16*AD$6*OnOff_PS1</f>
        <v>4149.5849184514682</v>
      </c>
      <c r="AE60" s="318">
        <f t="shared" ca="1" si="32"/>
        <v>4345.0469407836954</v>
      </c>
      <c r="AF60" s="318">
        <f t="shared" ca="1" si="32"/>
        <v>0</v>
      </c>
      <c r="AG60" s="318">
        <f t="shared" ca="1" si="32"/>
        <v>0</v>
      </c>
    </row>
    <row r="61" spans="1:33" ht="17.25" customHeight="1" outlineLevel="1">
      <c r="A61" s="861"/>
      <c r="B61" s="861"/>
      <c r="C61" s="40" t="s">
        <v>769</v>
      </c>
      <c r="D61" s="8" t="str">
        <f t="shared" si="28"/>
        <v>USD</v>
      </c>
      <c r="E61" s="1056">
        <f>Inputs!F69</f>
        <v>0.8</v>
      </c>
      <c r="F61" s="800" t="s">
        <v>768</v>
      </c>
      <c r="G61" s="800"/>
      <c r="H61" s="800"/>
      <c r="I61" s="71">
        <f t="shared" ca="1" si="29"/>
        <v>27024.089074400948</v>
      </c>
      <c r="J61" s="318">
        <f t="shared" ca="1" si="30"/>
        <v>165.60000000000002</v>
      </c>
      <c r="K61" s="318">
        <f t="shared" ca="1" si="30"/>
        <v>245.60000000000002</v>
      </c>
      <c r="L61" s="318">
        <f t="shared" ca="1" si="30"/>
        <v>345.6</v>
      </c>
      <c r="M61" s="318">
        <f t="shared" ca="1" si="30"/>
        <v>441.32</v>
      </c>
      <c r="N61" s="318">
        <f t="shared" ca="1" si="30"/>
        <v>545.48</v>
      </c>
      <c r="O61" s="318">
        <f t="shared" ca="1" si="30"/>
        <v>652.96640000000014</v>
      </c>
      <c r="P61" s="318">
        <f t="shared" ca="1" si="30"/>
        <v>756.88625600000023</v>
      </c>
      <c r="Q61" s="318">
        <f t="shared" ca="1" si="30"/>
        <v>869.34354624000025</v>
      </c>
      <c r="R61" s="318">
        <f t="shared" ca="1" si="30"/>
        <v>985.50112808960023</v>
      </c>
      <c r="S61" s="318">
        <f t="shared" ca="1" si="30"/>
        <v>1075.5117132131843</v>
      </c>
      <c r="T61" s="318">
        <f t="shared" ca="1" si="31"/>
        <v>1183.8197537417116</v>
      </c>
      <c r="U61" s="318">
        <f t="shared" ca="1" si="31"/>
        <v>1292.8212358913802</v>
      </c>
      <c r="V61" s="318">
        <f t="shared" ca="1" si="31"/>
        <v>1382.5260863270353</v>
      </c>
      <c r="W61" s="318">
        <f t="shared" ca="1" si="31"/>
        <v>1487.2528094201168</v>
      </c>
      <c r="X61" s="318">
        <f t="shared" ca="1" si="31"/>
        <v>1593.4030526369215</v>
      </c>
      <c r="Y61" s="318">
        <f t="shared" ca="1" si="31"/>
        <v>1685.5791265723983</v>
      </c>
      <c r="Z61" s="318">
        <f t="shared" ca="1" si="31"/>
        <v>1790.3825768356944</v>
      </c>
      <c r="AA61" s="318">
        <f t="shared" ca="1" si="31"/>
        <v>1897.2763480215222</v>
      </c>
      <c r="AB61" s="318">
        <f t="shared" ca="1" si="31"/>
        <v>1994.3694948496832</v>
      </c>
      <c r="AC61" s="318">
        <f t="shared" ca="1" si="31"/>
        <v>2102.3792216362745</v>
      </c>
      <c r="AD61" s="318">
        <f t="shared" ca="1" si="32"/>
        <v>2213.1119565074496</v>
      </c>
      <c r="AE61" s="318">
        <f t="shared" ca="1" si="32"/>
        <v>2317.3583684179707</v>
      </c>
      <c r="AF61" s="318">
        <f t="shared" ca="1" si="32"/>
        <v>0</v>
      </c>
      <c r="AG61" s="318">
        <f t="shared" ca="1" si="32"/>
        <v>0</v>
      </c>
    </row>
    <row r="62" spans="1:33" ht="17.25" customHeight="1" outlineLevel="1">
      <c r="A62" s="861"/>
      <c r="B62" s="861"/>
      <c r="C62" s="40" t="s">
        <v>945</v>
      </c>
      <c r="D62" s="8" t="str">
        <f t="shared" si="28"/>
        <v>USD</v>
      </c>
      <c r="E62" s="84">
        <f>Inputs!F70</f>
        <v>0.02</v>
      </c>
      <c r="F62" s="800" t="s">
        <v>767</v>
      </c>
      <c r="G62" s="800"/>
      <c r="H62" s="800"/>
      <c r="I62" s="71">
        <f t="shared" ca="1" si="29"/>
        <v>30426.621356018884</v>
      </c>
      <c r="J62" s="318">
        <f t="shared" ref="J62:AG62" ca="1" si="33">$E62*J$47*J$6*OnOff_PS1</f>
        <v>0</v>
      </c>
      <c r="K62" s="318">
        <f t="shared" ca="1" si="33"/>
        <v>0</v>
      </c>
      <c r="L62" s="318">
        <f t="shared" ca="1" si="33"/>
        <v>0</v>
      </c>
      <c r="M62" s="318">
        <f t="shared" ca="1" si="33"/>
        <v>973.26900000000001</v>
      </c>
      <c r="N62" s="318">
        <f t="shared" ca="1" si="33"/>
        <v>0</v>
      </c>
      <c r="O62" s="318">
        <f t="shared" ca="1" si="33"/>
        <v>0</v>
      </c>
      <c r="P62" s="318">
        <f t="shared" ca="1" si="33"/>
        <v>2033.4108960000001</v>
      </c>
      <c r="Q62" s="318">
        <f t="shared" ca="1" si="33"/>
        <v>0</v>
      </c>
      <c r="R62" s="318">
        <f t="shared" ca="1" si="33"/>
        <v>0</v>
      </c>
      <c r="S62" s="318">
        <f t="shared" ca="1" si="33"/>
        <v>3278.9777638717451</v>
      </c>
      <c r="T62" s="318">
        <f t="shared" ca="1" si="33"/>
        <v>0</v>
      </c>
      <c r="U62" s="318">
        <f t="shared" ca="1" si="33"/>
        <v>0</v>
      </c>
      <c r="V62" s="318">
        <f t="shared" ca="1" si="33"/>
        <v>4435.0267463108212</v>
      </c>
      <c r="W62" s="318">
        <f t="shared" ca="1" si="33"/>
        <v>0</v>
      </c>
      <c r="X62" s="318">
        <f t="shared" ca="1" si="33"/>
        <v>0</v>
      </c>
      <c r="Y62" s="318">
        <f t="shared" ca="1" si="33"/>
        <v>5441.5674304330014</v>
      </c>
      <c r="Z62" s="318">
        <f t="shared" ca="1" si="33"/>
        <v>0</v>
      </c>
      <c r="AA62" s="318">
        <f t="shared" ca="1" si="33"/>
        <v>0</v>
      </c>
      <c r="AB62" s="318">
        <f t="shared" ca="1" si="33"/>
        <v>6558.5450484374378</v>
      </c>
      <c r="AC62" s="318">
        <f t="shared" ca="1" si="33"/>
        <v>0</v>
      </c>
      <c r="AD62" s="318">
        <f t="shared" ca="1" si="33"/>
        <v>0</v>
      </c>
      <c r="AE62" s="318">
        <f t="shared" ca="1" si="33"/>
        <v>7705.8244709658811</v>
      </c>
      <c r="AF62" s="318">
        <f t="shared" ca="1" si="33"/>
        <v>0</v>
      </c>
      <c r="AG62" s="318">
        <f t="shared" ca="1" si="33"/>
        <v>0</v>
      </c>
    </row>
    <row r="63" spans="1:33" ht="17.25" customHeight="1" outlineLevel="1">
      <c r="A63" s="861"/>
      <c r="B63" s="861"/>
      <c r="C63" s="40" t="s">
        <v>766</v>
      </c>
      <c r="D63" s="8" t="str">
        <f t="shared" si="28"/>
        <v>USD</v>
      </c>
      <c r="E63" s="953">
        <f>Inputs!F71</f>
        <v>1.5</v>
      </c>
      <c r="F63" s="800" t="s">
        <v>764</v>
      </c>
      <c r="G63" s="800"/>
      <c r="H63" s="800"/>
      <c r="I63" s="71">
        <f t="shared" ca="1" si="29"/>
        <v>50670.167014501763</v>
      </c>
      <c r="J63" s="318">
        <f t="shared" ref="J63:S64" ca="1" si="34">$E63*J$16*J$6*OnOff_PS1</f>
        <v>310.5</v>
      </c>
      <c r="K63" s="318">
        <f t="shared" ca="1" si="34"/>
        <v>460.5</v>
      </c>
      <c r="L63" s="318">
        <f t="shared" ca="1" si="34"/>
        <v>648</v>
      </c>
      <c r="M63" s="318">
        <f t="shared" ca="1" si="34"/>
        <v>827.47499999999991</v>
      </c>
      <c r="N63" s="318">
        <f t="shared" ca="1" si="34"/>
        <v>1022.7750000000001</v>
      </c>
      <c r="O63" s="318">
        <f t="shared" ca="1" si="34"/>
        <v>1224.3120000000001</v>
      </c>
      <c r="P63" s="318">
        <f t="shared" ca="1" si="34"/>
        <v>1419.1617300000003</v>
      </c>
      <c r="Q63" s="318">
        <f t="shared" ca="1" si="34"/>
        <v>1630.0191492000004</v>
      </c>
      <c r="R63" s="318">
        <f t="shared" ca="1" si="34"/>
        <v>1847.8146151680003</v>
      </c>
      <c r="S63" s="318">
        <f t="shared" ca="1" si="34"/>
        <v>2016.5844622747204</v>
      </c>
      <c r="T63" s="318">
        <f t="shared" ref="T63:AC64" ca="1" si="35">$E63*T$16*T$6*OnOff_PS1</f>
        <v>2219.6620382657093</v>
      </c>
      <c r="U63" s="318">
        <f t="shared" ca="1" si="35"/>
        <v>2424.0398172963378</v>
      </c>
      <c r="V63" s="318">
        <f t="shared" ca="1" si="35"/>
        <v>2592.2364118631913</v>
      </c>
      <c r="W63" s="318">
        <f t="shared" ca="1" si="35"/>
        <v>2788.5990176627188</v>
      </c>
      <c r="X63" s="318">
        <f t="shared" ca="1" si="35"/>
        <v>2987.6307236942275</v>
      </c>
      <c r="Y63" s="318">
        <f t="shared" ca="1" si="35"/>
        <v>3160.4608623232471</v>
      </c>
      <c r="Z63" s="318">
        <f t="shared" ca="1" si="35"/>
        <v>3356.967331566927</v>
      </c>
      <c r="AA63" s="318">
        <f t="shared" ca="1" si="35"/>
        <v>3557.3931525403541</v>
      </c>
      <c r="AB63" s="318">
        <f t="shared" ca="1" si="35"/>
        <v>3739.4428028431557</v>
      </c>
      <c r="AC63" s="318">
        <f t="shared" ca="1" si="35"/>
        <v>3941.9610405680146</v>
      </c>
      <c r="AD63" s="318">
        <f t="shared" ref="AD63:AG64" ca="1" si="36">$E63*AD$16*AD$6*OnOff_PS1</f>
        <v>4149.5849184514682</v>
      </c>
      <c r="AE63" s="318">
        <f t="shared" ca="1" si="36"/>
        <v>4345.0469407836954</v>
      </c>
      <c r="AF63" s="318">
        <f t="shared" ca="1" si="36"/>
        <v>0</v>
      </c>
      <c r="AG63" s="318">
        <f t="shared" ca="1" si="36"/>
        <v>0</v>
      </c>
    </row>
    <row r="64" spans="1:33" ht="17.25" customHeight="1" outlineLevel="1">
      <c r="A64" s="861"/>
      <c r="B64" s="861"/>
      <c r="C64" s="40" t="s">
        <v>765</v>
      </c>
      <c r="D64" s="8" t="str">
        <f t="shared" si="28"/>
        <v>USD</v>
      </c>
      <c r="E64" s="953">
        <f>Inputs!F72</f>
        <v>0</v>
      </c>
      <c r="F64" s="800" t="s">
        <v>764</v>
      </c>
      <c r="G64" s="800"/>
      <c r="H64" s="800"/>
      <c r="I64" s="71">
        <f t="shared" ca="1" si="29"/>
        <v>0</v>
      </c>
      <c r="J64" s="318">
        <f t="shared" ca="1" si="34"/>
        <v>0</v>
      </c>
      <c r="K64" s="318">
        <f t="shared" ca="1" si="34"/>
        <v>0</v>
      </c>
      <c r="L64" s="318">
        <f t="shared" ca="1" si="34"/>
        <v>0</v>
      </c>
      <c r="M64" s="318">
        <f t="shared" ca="1" si="34"/>
        <v>0</v>
      </c>
      <c r="N64" s="318">
        <f t="shared" ca="1" si="34"/>
        <v>0</v>
      </c>
      <c r="O64" s="318">
        <f t="shared" ca="1" si="34"/>
        <v>0</v>
      </c>
      <c r="P64" s="318">
        <f t="shared" ca="1" si="34"/>
        <v>0</v>
      </c>
      <c r="Q64" s="318">
        <f t="shared" ca="1" si="34"/>
        <v>0</v>
      </c>
      <c r="R64" s="318">
        <f t="shared" ca="1" si="34"/>
        <v>0</v>
      </c>
      <c r="S64" s="318">
        <f t="shared" ca="1" si="34"/>
        <v>0</v>
      </c>
      <c r="T64" s="318">
        <f t="shared" ca="1" si="35"/>
        <v>0</v>
      </c>
      <c r="U64" s="318">
        <f t="shared" ca="1" si="35"/>
        <v>0</v>
      </c>
      <c r="V64" s="318">
        <f t="shared" ca="1" si="35"/>
        <v>0</v>
      </c>
      <c r="W64" s="318">
        <f t="shared" ca="1" si="35"/>
        <v>0</v>
      </c>
      <c r="X64" s="318">
        <f t="shared" ca="1" si="35"/>
        <v>0</v>
      </c>
      <c r="Y64" s="318">
        <f t="shared" ca="1" si="35"/>
        <v>0</v>
      </c>
      <c r="Z64" s="318">
        <f t="shared" ca="1" si="35"/>
        <v>0</v>
      </c>
      <c r="AA64" s="318">
        <f t="shared" ca="1" si="35"/>
        <v>0</v>
      </c>
      <c r="AB64" s="318">
        <f t="shared" ca="1" si="35"/>
        <v>0</v>
      </c>
      <c r="AC64" s="318">
        <f t="shared" ca="1" si="35"/>
        <v>0</v>
      </c>
      <c r="AD64" s="318">
        <f t="shared" ca="1" si="36"/>
        <v>0</v>
      </c>
      <c r="AE64" s="318">
        <f t="shared" ca="1" si="36"/>
        <v>0</v>
      </c>
      <c r="AF64" s="318">
        <f t="shared" ca="1" si="36"/>
        <v>0</v>
      </c>
      <c r="AG64" s="318">
        <f t="shared" ca="1" si="36"/>
        <v>0</v>
      </c>
    </row>
    <row r="65" spans="1:33" ht="17.25" customHeight="1" outlineLevel="1">
      <c r="A65" s="861"/>
      <c r="B65" s="861"/>
      <c r="C65" s="40" t="str">
        <f>Inputs!C73</f>
        <v>Other direct costs (spare)</v>
      </c>
      <c r="D65" s="8" t="str">
        <f t="shared" si="28"/>
        <v>USD</v>
      </c>
      <c r="E65" s="84">
        <f>Inputs!F73</f>
        <v>0</v>
      </c>
      <c r="F65" s="800" t="s">
        <v>763</v>
      </c>
      <c r="G65" s="800"/>
      <c r="H65" s="800"/>
      <c r="I65" s="71">
        <f t="shared" ca="1" si="29"/>
        <v>0</v>
      </c>
      <c r="J65" s="318">
        <f t="shared" ref="J65:AG65" ca="1" si="37">$E65*J$33*J$6*OnOff_PS1</f>
        <v>0</v>
      </c>
      <c r="K65" s="318">
        <f t="shared" ca="1" si="37"/>
        <v>0</v>
      </c>
      <c r="L65" s="318">
        <f t="shared" ca="1" si="37"/>
        <v>0</v>
      </c>
      <c r="M65" s="318">
        <f t="shared" ca="1" si="37"/>
        <v>0</v>
      </c>
      <c r="N65" s="318">
        <f t="shared" ca="1" si="37"/>
        <v>0</v>
      </c>
      <c r="O65" s="318">
        <f t="shared" ca="1" si="37"/>
        <v>0</v>
      </c>
      <c r="P65" s="318">
        <f t="shared" ca="1" si="37"/>
        <v>0</v>
      </c>
      <c r="Q65" s="318">
        <f t="shared" ca="1" si="37"/>
        <v>0</v>
      </c>
      <c r="R65" s="318">
        <f t="shared" ca="1" si="37"/>
        <v>0</v>
      </c>
      <c r="S65" s="318">
        <f t="shared" ca="1" si="37"/>
        <v>0</v>
      </c>
      <c r="T65" s="318">
        <f t="shared" ca="1" si="37"/>
        <v>0</v>
      </c>
      <c r="U65" s="318">
        <f t="shared" ca="1" si="37"/>
        <v>0</v>
      </c>
      <c r="V65" s="318">
        <f t="shared" ca="1" si="37"/>
        <v>0</v>
      </c>
      <c r="W65" s="318">
        <f t="shared" ca="1" si="37"/>
        <v>0</v>
      </c>
      <c r="X65" s="318">
        <f t="shared" ca="1" si="37"/>
        <v>0</v>
      </c>
      <c r="Y65" s="318">
        <f t="shared" ca="1" si="37"/>
        <v>0</v>
      </c>
      <c r="Z65" s="318">
        <f t="shared" ca="1" si="37"/>
        <v>0</v>
      </c>
      <c r="AA65" s="318">
        <f t="shared" ca="1" si="37"/>
        <v>0</v>
      </c>
      <c r="AB65" s="318">
        <f t="shared" ca="1" si="37"/>
        <v>0</v>
      </c>
      <c r="AC65" s="318">
        <f t="shared" ca="1" si="37"/>
        <v>0</v>
      </c>
      <c r="AD65" s="318">
        <f t="shared" ca="1" si="37"/>
        <v>0</v>
      </c>
      <c r="AE65" s="318">
        <f t="shared" ca="1" si="37"/>
        <v>0</v>
      </c>
      <c r="AF65" s="318">
        <f t="shared" ca="1" si="37"/>
        <v>0</v>
      </c>
      <c r="AG65" s="318">
        <f t="shared" ca="1" si="37"/>
        <v>0</v>
      </c>
    </row>
    <row r="66" spans="1:33" ht="17.25" customHeight="1" outlineLevel="1">
      <c r="A66" s="861"/>
      <c r="B66" s="861"/>
      <c r="C66" s="40" t="s">
        <v>762</v>
      </c>
      <c r="D66" s="8" t="str">
        <f t="shared" si="28"/>
        <v>USD</v>
      </c>
      <c r="E66" s="990" t="s">
        <v>761</v>
      </c>
      <c r="F66" s="679">
        <f>IF(Inputs!G54=1,1,0)</f>
        <v>0</v>
      </c>
      <c r="G66" s="800"/>
      <c r="H66" s="800"/>
      <c r="I66" s="71">
        <f t="shared" ca="1" si="29"/>
        <v>0</v>
      </c>
      <c r="J66" s="253">
        <f t="shared" ref="J66:AG66" ca="1" si="38">J77*$F66*OnOff_PS1</f>
        <v>0</v>
      </c>
      <c r="K66" s="253">
        <f t="shared" ca="1" si="38"/>
        <v>0</v>
      </c>
      <c r="L66" s="253">
        <f t="shared" ca="1" si="38"/>
        <v>0</v>
      </c>
      <c r="M66" s="253">
        <f t="shared" ca="1" si="38"/>
        <v>0</v>
      </c>
      <c r="N66" s="253">
        <f t="shared" ca="1" si="38"/>
        <v>0</v>
      </c>
      <c r="O66" s="253">
        <f t="shared" ca="1" si="38"/>
        <v>0</v>
      </c>
      <c r="P66" s="253">
        <f t="shared" ca="1" si="38"/>
        <v>0</v>
      </c>
      <c r="Q66" s="253">
        <f t="shared" ca="1" si="38"/>
        <v>0</v>
      </c>
      <c r="R66" s="253">
        <f t="shared" ca="1" si="38"/>
        <v>0</v>
      </c>
      <c r="S66" s="253">
        <f t="shared" ca="1" si="38"/>
        <v>0</v>
      </c>
      <c r="T66" s="253">
        <f t="shared" ca="1" si="38"/>
        <v>0</v>
      </c>
      <c r="U66" s="253">
        <f t="shared" ca="1" si="38"/>
        <v>0</v>
      </c>
      <c r="V66" s="253">
        <f t="shared" ca="1" si="38"/>
        <v>0</v>
      </c>
      <c r="W66" s="253">
        <f t="shared" ca="1" si="38"/>
        <v>0</v>
      </c>
      <c r="X66" s="253">
        <f t="shared" ca="1" si="38"/>
        <v>0</v>
      </c>
      <c r="Y66" s="253">
        <f t="shared" ca="1" si="38"/>
        <v>0</v>
      </c>
      <c r="Z66" s="253">
        <f t="shared" ca="1" si="38"/>
        <v>0</v>
      </c>
      <c r="AA66" s="253">
        <f t="shared" ca="1" si="38"/>
        <v>0</v>
      </c>
      <c r="AB66" s="253">
        <f t="shared" ca="1" si="38"/>
        <v>0</v>
      </c>
      <c r="AC66" s="253">
        <f t="shared" ca="1" si="38"/>
        <v>0</v>
      </c>
      <c r="AD66" s="253">
        <f t="shared" ca="1" si="38"/>
        <v>0</v>
      </c>
      <c r="AE66" s="253">
        <f t="shared" ca="1" si="38"/>
        <v>0</v>
      </c>
      <c r="AF66" s="253">
        <f t="shared" ca="1" si="38"/>
        <v>0</v>
      </c>
      <c r="AG66" s="253">
        <f t="shared" ca="1" si="38"/>
        <v>0</v>
      </c>
    </row>
    <row r="67" spans="1:33" ht="17.25" customHeight="1" outlineLevel="1">
      <c r="A67" s="861"/>
      <c r="B67" s="861"/>
      <c r="C67" s="625" t="s">
        <v>760</v>
      </c>
      <c r="D67" s="8" t="str">
        <f t="shared" si="28"/>
        <v>USD</v>
      </c>
      <c r="E67" s="800" t="s">
        <v>759</v>
      </c>
      <c r="F67" s="800"/>
      <c r="G67" s="800"/>
      <c r="H67" s="800"/>
      <c r="I67" s="71">
        <f>SUMPRODUCT((J$6:AG$6),(J67:AG67))</f>
        <v>0</v>
      </c>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row>
    <row r="68" spans="1:33" ht="17.25" customHeight="1" outlineLevel="1">
      <c r="A68" s="861"/>
      <c r="B68" s="861"/>
      <c r="C68" s="625" t="s">
        <v>760</v>
      </c>
      <c r="D68" s="8" t="str">
        <f t="shared" si="28"/>
        <v>USD</v>
      </c>
      <c r="E68" s="800" t="s">
        <v>759</v>
      </c>
      <c r="F68" s="800"/>
      <c r="G68" s="800"/>
      <c r="H68" s="800"/>
      <c r="I68" s="71">
        <f>SUMPRODUCT((J$6:AG$6),(J68:AG68))</f>
        <v>0</v>
      </c>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row>
    <row r="69" spans="1:33" ht="17.25" customHeight="1" outlineLevel="1">
      <c r="A69" s="861"/>
      <c r="B69" s="861"/>
      <c r="C69" s="40" t="str">
        <f>CHOOSE(language,"Allocated Direct Labour expenses","Allocated Direct Labor expenses")</f>
        <v>Allocated Direct Labor expenses</v>
      </c>
      <c r="D69" s="8" t="str">
        <f t="shared" si="28"/>
        <v>USD</v>
      </c>
      <c r="E69" s="800"/>
      <c r="F69" s="800"/>
      <c r="G69" s="800"/>
      <c r="H69" s="800"/>
      <c r="I69" s="71">
        <f ca="1">SUM(J69:AG69)</f>
        <v>248057.31913323083</v>
      </c>
      <c r="J69" s="318">
        <f ca="1">'Human Resources'!J169*OnOff_PS1</f>
        <v>1509.0300000000002</v>
      </c>
      <c r="K69" s="318">
        <f ca="1">'Human Resources'!K169*OnOff_PS1</f>
        <v>2238.0300000000002</v>
      </c>
      <c r="L69" s="318">
        <f ca="1">'Human Resources'!L169*OnOff_PS1</f>
        <v>3149.2800000000007</v>
      </c>
      <c r="M69" s="318">
        <f ca="1">'Human Resources'!M169*OnOff_PS1</f>
        <v>4021.5284999999999</v>
      </c>
      <c r="N69" s="318">
        <f ca="1">'Human Resources'!N169*OnOff_PS1</f>
        <v>4970.6865000000007</v>
      </c>
      <c r="O69" s="318">
        <f ca="1">'Human Resources'!O169*OnOff_PS1</f>
        <v>5950.1563200000001</v>
      </c>
      <c r="P69" s="318">
        <f ca="1">'Human Resources'!P169*OnOff_PS1</f>
        <v>6897.1260077999996</v>
      </c>
      <c r="Q69" s="318">
        <f ca="1">'Human Resources'!Q169*OnOff_PS1</f>
        <v>7921.8930651120018</v>
      </c>
      <c r="R69" s="318">
        <f ca="1">'Human Resources'!R169*OnOff_PS1</f>
        <v>8980.3790297164833</v>
      </c>
      <c r="S69" s="318">
        <f ca="1">'Human Resources'!S169*OnOff_PS1</f>
        <v>9800.6004866551411</v>
      </c>
      <c r="T69" s="318">
        <f ca="1">'Human Resources'!T169*OnOff_PS1</f>
        <v>10787.557505971348</v>
      </c>
      <c r="U69" s="318">
        <f ca="1">'Human Resources'!U169*OnOff_PS1</f>
        <v>11898.641847180805</v>
      </c>
      <c r="V69" s="318">
        <f ca="1">'Human Resources'!V169*OnOff_PS1</f>
        <v>12724.251651271663</v>
      </c>
      <c r="W69" s="318">
        <f ca="1">'Human Resources'!W169*OnOff_PS1</f>
        <v>13688.117138099222</v>
      </c>
      <c r="X69" s="318">
        <f ca="1">'Human Resources'!X169*OnOff_PS1</f>
        <v>14665.084170325486</v>
      </c>
      <c r="Y69" s="318">
        <f ca="1">'Human Resources'!Y169*OnOff_PS1</f>
        <v>15513.438188799892</v>
      </c>
      <c r="Z69" s="318">
        <f ca="1">'Human Resources'!Z169*OnOff_PS1</f>
        <v>16478.009843729415</v>
      </c>
      <c r="AA69" s="318">
        <f ca="1">'Human Resources'!AA169*OnOff_PS1</f>
        <v>17461.820028559585</v>
      </c>
      <c r="AB69" s="318">
        <f ca="1">'Human Resources'!AB169*OnOff_PS1</f>
        <v>18355.428942035916</v>
      </c>
      <c r="AC69" s="318">
        <f ca="1">'Human Resources'!AC169*OnOff_PS1</f>
        <v>19349.509963732158</v>
      </c>
      <c r="AD69" s="318">
        <f ca="1">'Human Resources'!AD169*OnOff_PS1</f>
        <v>20368.652530710875</v>
      </c>
      <c r="AE69" s="318">
        <f ca="1">'Human Resources'!AE169*OnOff_PS1</f>
        <v>21328.097413530846</v>
      </c>
      <c r="AF69" s="318">
        <f ca="1">'Human Resources'!AF169*OnOff_PS1</f>
        <v>0</v>
      </c>
      <c r="AG69" s="318">
        <f ca="1">'Human Resources'!AG169*OnOff_PS1</f>
        <v>0</v>
      </c>
    </row>
    <row r="70" spans="1:33" ht="17.25" customHeight="1" outlineLevel="1">
      <c r="A70" s="861"/>
      <c r="B70" s="861"/>
      <c r="C70" s="944" t="s">
        <v>758</v>
      </c>
      <c r="D70" s="8" t="str">
        <f t="shared" si="28"/>
        <v>USD</v>
      </c>
      <c r="E70" s="800"/>
      <c r="F70" s="800"/>
      <c r="G70" s="800"/>
      <c r="H70" s="800"/>
      <c r="I70" s="71">
        <f ca="1">SUMPRODUCT((J$6:AG$6),(J70:AG70))</f>
        <v>406848.36359265423</v>
      </c>
      <c r="J70" s="954">
        <f t="shared" ref="J70:AG70" ca="1" si="39">SUM(J60:J69)</f>
        <v>2295.63</v>
      </c>
      <c r="K70" s="954">
        <f t="shared" ca="1" si="39"/>
        <v>3404.63</v>
      </c>
      <c r="L70" s="954">
        <f t="shared" ca="1" si="39"/>
        <v>4790.880000000001</v>
      </c>
      <c r="M70" s="954">
        <f t="shared" ca="1" si="39"/>
        <v>7091.0674999999992</v>
      </c>
      <c r="N70" s="954">
        <f t="shared" ca="1" si="39"/>
        <v>7561.7165000000005</v>
      </c>
      <c r="O70" s="954">
        <f t="shared" ca="1" si="39"/>
        <v>9051.7467199999992</v>
      </c>
      <c r="P70" s="954">
        <f t="shared" ca="1" si="39"/>
        <v>12525.7466198</v>
      </c>
      <c r="Q70" s="954">
        <f t="shared" ca="1" si="39"/>
        <v>12051.274909752003</v>
      </c>
      <c r="R70" s="954">
        <f t="shared" ca="1" si="39"/>
        <v>13661.509388142083</v>
      </c>
      <c r="S70" s="954">
        <f t="shared" ca="1" si="39"/>
        <v>18188.258888289511</v>
      </c>
      <c r="T70" s="954">
        <f t="shared" ca="1" si="39"/>
        <v>16410.701336244478</v>
      </c>
      <c r="U70" s="954">
        <f t="shared" ca="1" si="39"/>
        <v>18039.542717664859</v>
      </c>
      <c r="V70" s="954">
        <f t="shared" ca="1" si="39"/>
        <v>23726.277307635901</v>
      </c>
      <c r="W70" s="954">
        <f t="shared" ca="1" si="39"/>
        <v>20752.567982844776</v>
      </c>
      <c r="X70" s="954">
        <f t="shared" ca="1" si="39"/>
        <v>22233.748670350862</v>
      </c>
      <c r="Y70" s="954">
        <f t="shared" ca="1" si="39"/>
        <v>28961.506470451786</v>
      </c>
      <c r="Z70" s="954">
        <f t="shared" ca="1" si="39"/>
        <v>24982.327083698961</v>
      </c>
      <c r="AA70" s="954">
        <f t="shared" ca="1" si="39"/>
        <v>26473.882681661817</v>
      </c>
      <c r="AB70" s="954">
        <f t="shared" ca="1" si="39"/>
        <v>34387.229091009351</v>
      </c>
      <c r="AC70" s="954">
        <f t="shared" ca="1" si="39"/>
        <v>29335.811266504461</v>
      </c>
      <c r="AD70" s="954">
        <f t="shared" ca="1" si="39"/>
        <v>30880.934324121263</v>
      </c>
      <c r="AE70" s="954">
        <f t="shared" ca="1" si="39"/>
        <v>40041.374134482088</v>
      </c>
      <c r="AF70" s="954">
        <f t="shared" ca="1" si="39"/>
        <v>0</v>
      </c>
      <c r="AG70" s="954">
        <f t="shared" ca="1" si="39"/>
        <v>0</v>
      </c>
    </row>
    <row r="71" spans="1:33" ht="17.25" customHeight="1" outlineLevel="1">
      <c r="A71" s="861"/>
      <c r="B71" s="861"/>
      <c r="C71" s="861"/>
      <c r="D71" s="861"/>
      <c r="E71" s="861" t="s">
        <v>213</v>
      </c>
      <c r="F71" s="861"/>
      <c r="G71" s="517" t="str">
        <f>Name_VAT &amp; " Rate"</f>
        <v>VAT Rate</v>
      </c>
      <c r="H71" s="861"/>
      <c r="I71" s="861"/>
      <c r="J71" s="319"/>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row>
    <row r="72" spans="1:33" ht="17.25" customHeight="1" outlineLevel="1">
      <c r="A72" s="861"/>
      <c r="B72" s="861"/>
      <c r="C72" s="40" t="str">
        <f>Name_VAT&amp;" on costs (input tax payable + payed)"</f>
        <v>VAT on costs (input tax payable + payed)</v>
      </c>
      <c r="D72" s="8" t="str">
        <f>Currency_Label</f>
        <v>USD</v>
      </c>
      <c r="E72" s="84">
        <f>Inputs!F88</f>
        <v>0.8</v>
      </c>
      <c r="F72" s="800"/>
      <c r="G72" s="84">
        <f>Inputs!I88</f>
        <v>0.2</v>
      </c>
      <c r="H72" s="318"/>
      <c r="I72" s="71">
        <f ca="1">SUM(J72:AG72)</f>
        <v>25406.567113507743</v>
      </c>
      <c r="J72" s="318">
        <f t="shared" ref="J72:AG72" ca="1" si="40">$E72*$G72*(J70-J69)</f>
        <v>125.85600000000001</v>
      </c>
      <c r="K72" s="318">
        <f t="shared" ca="1" si="40"/>
        <v>186.65600000000003</v>
      </c>
      <c r="L72" s="318">
        <f t="shared" ca="1" si="40"/>
        <v>262.65600000000012</v>
      </c>
      <c r="M72" s="318">
        <f t="shared" ca="1" si="40"/>
        <v>491.12624</v>
      </c>
      <c r="N72" s="318">
        <f t="shared" ca="1" si="40"/>
        <v>414.56480000000005</v>
      </c>
      <c r="O72" s="318">
        <f t="shared" ca="1" si="40"/>
        <v>496.25446399999998</v>
      </c>
      <c r="P72" s="318">
        <f t="shared" ca="1" si="40"/>
        <v>900.57929792000027</v>
      </c>
      <c r="Q72" s="318">
        <f t="shared" ca="1" si="40"/>
        <v>660.70109514240028</v>
      </c>
      <c r="R72" s="318">
        <f t="shared" ca="1" si="40"/>
        <v>748.98085734809615</v>
      </c>
      <c r="S72" s="318">
        <f t="shared" ca="1" si="40"/>
        <v>1342.0253442614994</v>
      </c>
      <c r="T72" s="318">
        <f t="shared" ca="1" si="40"/>
        <v>899.70301284370089</v>
      </c>
      <c r="U72" s="318">
        <f t="shared" ca="1" si="40"/>
        <v>982.54413927744895</v>
      </c>
      <c r="V72" s="318">
        <f t="shared" ca="1" si="40"/>
        <v>1760.3241050182785</v>
      </c>
      <c r="W72" s="318">
        <f t="shared" ca="1" si="40"/>
        <v>1130.3121351592888</v>
      </c>
      <c r="X72" s="318">
        <f t="shared" ca="1" si="40"/>
        <v>1210.9863200040604</v>
      </c>
      <c r="Y72" s="318">
        <f t="shared" ca="1" si="40"/>
        <v>2151.6909250643034</v>
      </c>
      <c r="Z72" s="318">
        <f t="shared" ca="1" si="40"/>
        <v>1360.6907583951277</v>
      </c>
      <c r="AA72" s="318">
        <f t="shared" ca="1" si="40"/>
        <v>1441.9300244963574</v>
      </c>
      <c r="AB72" s="318">
        <f t="shared" ca="1" si="40"/>
        <v>2565.0880238357499</v>
      </c>
      <c r="AC72" s="318">
        <f t="shared" ca="1" si="40"/>
        <v>1597.8082084435687</v>
      </c>
      <c r="AD72" s="318">
        <f t="shared" ca="1" si="40"/>
        <v>1681.9650869456623</v>
      </c>
      <c r="AE72" s="318">
        <f t="shared" ca="1" si="40"/>
        <v>2994.1242753521992</v>
      </c>
      <c r="AF72" s="318">
        <f t="shared" ca="1" si="40"/>
        <v>0</v>
      </c>
      <c r="AG72" s="318">
        <f t="shared" ca="1" si="40"/>
        <v>0</v>
      </c>
    </row>
    <row r="73" spans="1:33" ht="17.25" customHeight="1" outlineLevel="1">
      <c r="A73" s="861"/>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row>
    <row r="74" spans="1:33" ht="21.75" customHeight="1">
      <c r="A74" s="861"/>
      <c r="B74" s="274">
        <v>5</v>
      </c>
      <c r="C74" s="274" t="str">
        <f>"Other Expenses - "&amp;Inputs!$F$30</f>
        <v>Other Expenses - WonderApp</v>
      </c>
      <c r="D74" s="317" t="s">
        <v>850</v>
      </c>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row>
    <row r="75" spans="1:33" ht="17.25" customHeight="1" outlineLevel="1">
      <c r="A75" s="861"/>
      <c r="B75" s="861"/>
      <c r="C75" s="40" t="s">
        <v>757</v>
      </c>
      <c r="D75" s="8" t="str">
        <f>Currency_Label</f>
        <v>USD</v>
      </c>
      <c r="E75" s="953">
        <f>Inputs!F59</f>
        <v>5</v>
      </c>
      <c r="F75" s="800" t="s">
        <v>848</v>
      </c>
      <c r="G75" s="800"/>
      <c r="H75" s="800"/>
      <c r="I75" s="71">
        <f>SUM(J75:AG75)</f>
        <v>19361.299109897183</v>
      </c>
      <c r="J75" s="318">
        <f t="shared" ref="J75:AG75" si="41">$E75*J$14*J$6*OnOff_PS1</f>
        <v>250</v>
      </c>
      <c r="K75" s="318">
        <f t="shared" si="41"/>
        <v>500</v>
      </c>
      <c r="L75" s="318">
        <f t="shared" si="41"/>
        <v>625</v>
      </c>
      <c r="M75" s="318">
        <f t="shared" si="41"/>
        <v>650</v>
      </c>
      <c r="N75" s="318">
        <f t="shared" si="41"/>
        <v>676.00000000000011</v>
      </c>
      <c r="O75" s="318">
        <f t="shared" si="41"/>
        <v>703.04000000000019</v>
      </c>
      <c r="P75" s="318">
        <f t="shared" si="41"/>
        <v>731.16160000000025</v>
      </c>
      <c r="Q75" s="318">
        <f t="shared" si="41"/>
        <v>760.40806400000019</v>
      </c>
      <c r="R75" s="318">
        <f t="shared" si="41"/>
        <v>790.82438656000022</v>
      </c>
      <c r="S75" s="318">
        <f t="shared" si="41"/>
        <v>822.45736202240028</v>
      </c>
      <c r="T75" s="318">
        <f t="shared" si="41"/>
        <v>855.35565650329636</v>
      </c>
      <c r="U75" s="318">
        <f t="shared" si="41"/>
        <v>889.56988276342815</v>
      </c>
      <c r="V75" s="318">
        <f t="shared" si="41"/>
        <v>925.15267807396526</v>
      </c>
      <c r="W75" s="318">
        <f t="shared" si="41"/>
        <v>962.15878519692399</v>
      </c>
      <c r="X75" s="318">
        <f t="shared" si="41"/>
        <v>1000.6451366048009</v>
      </c>
      <c r="Y75" s="318">
        <f t="shared" si="41"/>
        <v>1040.6709420689931</v>
      </c>
      <c r="Z75" s="318">
        <f t="shared" si="41"/>
        <v>1082.2977797517526</v>
      </c>
      <c r="AA75" s="318">
        <f t="shared" si="41"/>
        <v>1125.5896909418229</v>
      </c>
      <c r="AB75" s="318">
        <f t="shared" si="41"/>
        <v>1170.6132785794957</v>
      </c>
      <c r="AC75" s="318">
        <f t="shared" si="41"/>
        <v>1217.4378097226756</v>
      </c>
      <c r="AD75" s="318">
        <f t="shared" si="41"/>
        <v>1266.1353221115828</v>
      </c>
      <c r="AE75" s="318">
        <f t="shared" si="41"/>
        <v>1316.7807349960462</v>
      </c>
      <c r="AF75" s="318">
        <f t="shared" si="41"/>
        <v>0</v>
      </c>
      <c r="AG75" s="318">
        <f t="shared" si="41"/>
        <v>0</v>
      </c>
    </row>
    <row r="76" spans="1:33" ht="17.25" customHeight="1" outlineLevel="1">
      <c r="A76" s="861"/>
      <c r="B76" s="861"/>
      <c r="C76" s="40" t="s">
        <v>756</v>
      </c>
      <c r="D76" s="8" t="str">
        <f>Currency_Label</f>
        <v>USD</v>
      </c>
      <c r="E76" s="84">
        <f>Inputs!F60</f>
        <v>0.03</v>
      </c>
      <c r="F76" s="800" t="s">
        <v>755</v>
      </c>
      <c r="G76" s="800"/>
      <c r="H76" s="800"/>
      <c r="I76" s="71">
        <f>SUM(J76:AG76)</f>
        <v>13940.135359125972</v>
      </c>
      <c r="J76" s="318">
        <f>J14*J25*Inputs!$H31*$E76*OnOff_PS1</f>
        <v>180</v>
      </c>
      <c r="K76" s="318">
        <f>K14*K25*Inputs!$H31*$E76*OnOff_PS1</f>
        <v>360</v>
      </c>
      <c r="L76" s="318">
        <f>L14*L25*Inputs!$H31*$E76*OnOff_PS1</f>
        <v>450</v>
      </c>
      <c r="M76" s="318">
        <f>M14*M25*Inputs!$H31*$E76*OnOff_PS1</f>
        <v>468</v>
      </c>
      <c r="N76" s="318">
        <f>N14*N25*Inputs!$H31*$E76*OnOff_PS1</f>
        <v>486.72000000000008</v>
      </c>
      <c r="O76" s="318">
        <f>O14*O25*Inputs!$H31*$E76*OnOff_PS1</f>
        <v>506.18880000000019</v>
      </c>
      <c r="P76" s="318">
        <f>P14*P25*Inputs!$H31*$E76*OnOff_PS1</f>
        <v>526.43635200000017</v>
      </c>
      <c r="Q76" s="318">
        <f>Q14*Q25*Inputs!$H31*$E76*OnOff_PS1</f>
        <v>547.49380608000013</v>
      </c>
      <c r="R76" s="318">
        <f>R14*R25*Inputs!$H31*$E76*OnOff_PS1</f>
        <v>569.39355832320018</v>
      </c>
      <c r="S76" s="318">
        <f>S14*S25*Inputs!$H31*$E76*OnOff_PS1</f>
        <v>592.16930065612826</v>
      </c>
      <c r="T76" s="318">
        <f>T14*T25*Inputs!$H31*$E76*OnOff_PS1</f>
        <v>615.85607268237334</v>
      </c>
      <c r="U76" s="318">
        <f>U14*U25*Inputs!$H31*$E76*OnOff_PS1</f>
        <v>640.49031558966817</v>
      </c>
      <c r="V76" s="318">
        <f>V14*V25*Inputs!$H31*$E76*OnOff_PS1</f>
        <v>666.10992821325499</v>
      </c>
      <c r="W76" s="318">
        <f>W14*W25*Inputs!$H31*$E76*OnOff_PS1</f>
        <v>692.75432534178526</v>
      </c>
      <c r="X76" s="318">
        <f>X14*X25*Inputs!$H31*$E76*OnOff_PS1</f>
        <v>720.46449835545661</v>
      </c>
      <c r="Y76" s="318">
        <f>Y14*Y25*Inputs!$H31*$E76*OnOff_PS1</f>
        <v>749.28307828967502</v>
      </c>
      <c r="Z76" s="318">
        <f>Z14*Z25*Inputs!$H31*$E76*OnOff_PS1</f>
        <v>779.25440142126195</v>
      </c>
      <c r="AA76" s="318">
        <f>AA14*AA25*Inputs!$H31*$E76*OnOff_PS1</f>
        <v>810.4245774781125</v>
      </c>
      <c r="AB76" s="318">
        <f>AB14*AB25*Inputs!$H31*$E76*OnOff_PS1</f>
        <v>842.84156057723692</v>
      </c>
      <c r="AC76" s="318">
        <f>AC14*AC25*Inputs!$H31*$E76*OnOff_PS1</f>
        <v>876.55522300032646</v>
      </c>
      <c r="AD76" s="318">
        <f>AD14*AD25*Inputs!$H31*$E76*OnOff_PS1</f>
        <v>911.61743192033964</v>
      </c>
      <c r="AE76" s="318">
        <f>AE14*AE25*Inputs!$H31*$E76*OnOff_PS1</f>
        <v>948.08212919715322</v>
      </c>
      <c r="AF76" s="318">
        <f>AF14*AF25*Inputs!$H31*$E76*OnOff_PS1</f>
        <v>0</v>
      </c>
      <c r="AG76" s="318">
        <f>AG14*AG25*Inputs!$H31*$E76*OnOff_PS1</f>
        <v>0</v>
      </c>
    </row>
    <row r="77" spans="1:33" ht="17.25" customHeight="1" outlineLevel="1">
      <c r="A77" s="861"/>
      <c r="B77" s="861"/>
      <c r="C77" s="40" t="s">
        <v>246</v>
      </c>
      <c r="D77" s="8" t="str">
        <f>Currency_Label</f>
        <v>USD</v>
      </c>
      <c r="E77" s="958">
        <f>Inputs!F50</f>
        <v>0.5</v>
      </c>
      <c r="F77" s="957">
        <f>Inputs!F51</f>
        <v>7.4999999999999997E-2</v>
      </c>
      <c r="G77" s="800"/>
      <c r="H77" s="800"/>
      <c r="I77" s="71">
        <f ca="1">SUM(J77:AG77)</f>
        <v>39860.222540356524</v>
      </c>
      <c r="J77" s="318">
        <f t="shared" ref="J77:AG77" ca="1" si="42">SUMPRODUCT($B28:$B30,J28:J30)*$E77*$F77*J$6</f>
        <v>255</v>
      </c>
      <c r="K77" s="318">
        <f t="shared" ca="1" si="42"/>
        <v>405</v>
      </c>
      <c r="L77" s="318">
        <f t="shared" ca="1" si="42"/>
        <v>592.5</v>
      </c>
      <c r="M77" s="318">
        <f t="shared" ca="1" si="42"/>
        <v>726.3</v>
      </c>
      <c r="N77" s="318">
        <f t="shared" ca="1" si="42"/>
        <v>893.10000000000014</v>
      </c>
      <c r="O77" s="318">
        <f t="shared" ca="1" si="42"/>
        <v>1059.0120000000002</v>
      </c>
      <c r="P77" s="318">
        <f t="shared" ca="1" si="42"/>
        <v>1185.0484800000002</v>
      </c>
      <c r="Q77" s="318">
        <f t="shared" ca="1" si="42"/>
        <v>1337.1388992000002</v>
      </c>
      <c r="R77" s="318">
        <f t="shared" ca="1" si="42"/>
        <v>1489.5673351680002</v>
      </c>
      <c r="S77" s="318">
        <f t="shared" ca="1" si="42"/>
        <v>1612.7437885747199</v>
      </c>
      <c r="T77" s="318">
        <f t="shared" ca="1" si="42"/>
        <v>1756.8167849177091</v>
      </c>
      <c r="U77" s="318">
        <f t="shared" ca="1" si="42"/>
        <v>1902.2860451144177</v>
      </c>
      <c r="V77" s="318">
        <f t="shared" ca="1" si="42"/>
        <v>2026.7087445189943</v>
      </c>
      <c r="W77" s="318">
        <f t="shared" ca="1" si="42"/>
        <v>2168.2451603477543</v>
      </c>
      <c r="X77" s="318">
        <f t="shared" ca="1" si="42"/>
        <v>2312.1243742496645</v>
      </c>
      <c r="Y77" s="318">
        <f t="shared" ca="1" si="42"/>
        <v>2441.3411049956508</v>
      </c>
      <c r="Z77" s="318">
        <f t="shared" ca="1" si="42"/>
        <v>2584.9504793919573</v>
      </c>
      <c r="AA77" s="318">
        <f t="shared" ca="1" si="42"/>
        <v>2731.7820482585153</v>
      </c>
      <c r="AB77" s="318">
        <f t="shared" ca="1" si="42"/>
        <v>2868.9694645786162</v>
      </c>
      <c r="AC77" s="318">
        <f t="shared" ca="1" si="42"/>
        <v>3018.6545981110853</v>
      </c>
      <c r="AD77" s="318">
        <f t="shared" ca="1" si="42"/>
        <v>3172.4102798005979</v>
      </c>
      <c r="AE77" s="318">
        <f t="shared" ca="1" si="42"/>
        <v>3320.5229531288401</v>
      </c>
      <c r="AF77" s="318">
        <f t="shared" ca="1" si="42"/>
        <v>0</v>
      </c>
      <c r="AG77" s="318">
        <f t="shared" ca="1" si="42"/>
        <v>0</v>
      </c>
    </row>
    <row r="78" spans="1:33" s="878" customFormat="1" ht="17.25" customHeight="1" outlineLevel="1">
      <c r="A78" s="861"/>
      <c r="B78" s="861"/>
      <c r="C78" s="40" t="str">
        <f>"Cash out of revenue share (based on payments received =&gt; row " &amp;ROW(C47) &amp;")"</f>
        <v>Cash out of revenue share (based on payments received =&gt; row 47)</v>
      </c>
      <c r="D78" s="8" t="str">
        <f>Currency_Label</f>
        <v>USD</v>
      </c>
      <c r="E78" s="990" t="s">
        <v>761</v>
      </c>
      <c r="F78" s="679">
        <f>IF(Inputs!G54=1,1,0)</f>
        <v>0</v>
      </c>
      <c r="G78" s="800"/>
      <c r="H78" s="800"/>
      <c r="I78" s="71">
        <f ca="1">SUM(J78:AG78)</f>
        <v>0</v>
      </c>
      <c r="J78" s="318">
        <f t="shared" ref="J78:AG78" ca="1" si="43">IF($G47=1,SUM(OFFSET(J$77,0,0,1,$G$46))*J46,IF(J$7&lt;$G$46+1,0,SUM(OFFSET(J$77,0,-1,1,-$G$46))*J46))*$F78</f>
        <v>0</v>
      </c>
      <c r="K78" s="318">
        <f t="shared" ca="1" si="43"/>
        <v>0</v>
      </c>
      <c r="L78" s="318">
        <f t="shared" ca="1" si="43"/>
        <v>0</v>
      </c>
      <c r="M78" s="318">
        <f t="shared" ca="1" si="43"/>
        <v>0</v>
      </c>
      <c r="N78" s="318">
        <f t="shared" ca="1" si="43"/>
        <v>0</v>
      </c>
      <c r="O78" s="318">
        <f t="shared" ca="1" si="43"/>
        <v>0</v>
      </c>
      <c r="P78" s="318">
        <f t="shared" ca="1" si="43"/>
        <v>0</v>
      </c>
      <c r="Q78" s="318">
        <f t="shared" ca="1" si="43"/>
        <v>0</v>
      </c>
      <c r="R78" s="318">
        <f t="shared" ca="1" si="43"/>
        <v>0</v>
      </c>
      <c r="S78" s="318">
        <f t="shared" ca="1" si="43"/>
        <v>0</v>
      </c>
      <c r="T78" s="318">
        <f t="shared" ca="1" si="43"/>
        <v>0</v>
      </c>
      <c r="U78" s="318">
        <f t="shared" ca="1" si="43"/>
        <v>0</v>
      </c>
      <c r="V78" s="318">
        <f t="shared" ca="1" si="43"/>
        <v>0</v>
      </c>
      <c r="W78" s="318">
        <f t="shared" ca="1" si="43"/>
        <v>0</v>
      </c>
      <c r="X78" s="318">
        <f t="shared" ca="1" si="43"/>
        <v>0</v>
      </c>
      <c r="Y78" s="318">
        <f t="shared" ca="1" si="43"/>
        <v>0</v>
      </c>
      <c r="Z78" s="318">
        <f t="shared" ca="1" si="43"/>
        <v>0</v>
      </c>
      <c r="AA78" s="318">
        <f t="shared" ca="1" si="43"/>
        <v>0</v>
      </c>
      <c r="AB78" s="318">
        <f t="shared" ca="1" si="43"/>
        <v>0</v>
      </c>
      <c r="AC78" s="318">
        <f t="shared" ca="1" si="43"/>
        <v>0</v>
      </c>
      <c r="AD78" s="318">
        <f t="shared" ca="1" si="43"/>
        <v>0</v>
      </c>
      <c r="AE78" s="318">
        <f t="shared" ca="1" si="43"/>
        <v>0</v>
      </c>
      <c r="AF78" s="318">
        <f t="shared" ca="1" si="43"/>
        <v>0</v>
      </c>
      <c r="AG78" s="318">
        <f t="shared" ca="1" si="43"/>
        <v>0</v>
      </c>
    </row>
    <row r="79" spans="1:33" s="878" customFormat="1" ht="17.25" customHeight="1" outlineLevel="1">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row>
    <row r="80" spans="1:33" ht="21.75" customHeight="1">
      <c r="A80" s="861"/>
      <c r="B80" s="274">
        <v>6</v>
      </c>
      <c r="C80" s="274" t="str">
        <f>"Churn, Retention &amp; Upgrade - "&amp;Inputs!$F$30</f>
        <v>Churn, Retention &amp; Upgrade - WonderApp</v>
      </c>
      <c r="D80" s="861"/>
      <c r="E80" s="861"/>
      <c r="F80" s="861"/>
      <c r="G80" s="861"/>
      <c r="H80" s="861"/>
      <c r="I80" s="861"/>
      <c r="J80" s="861"/>
      <c r="K80" s="861"/>
      <c r="L80" s="861"/>
      <c r="M80" s="941"/>
      <c r="N80" s="861"/>
      <c r="O80" s="861"/>
      <c r="P80" s="941"/>
      <c r="Q80" s="861"/>
      <c r="R80" s="861"/>
      <c r="S80" s="941"/>
      <c r="T80" s="861"/>
      <c r="U80" s="861"/>
      <c r="V80" s="941"/>
      <c r="W80" s="861"/>
      <c r="X80" s="861"/>
      <c r="Y80" s="941"/>
      <c r="Z80" s="861"/>
      <c r="AA80" s="861"/>
      <c r="AB80" s="941"/>
      <c r="AC80" s="861"/>
      <c r="AD80" s="861"/>
      <c r="AE80" s="861"/>
      <c r="AF80" s="861"/>
      <c r="AG80" s="861"/>
    </row>
    <row r="81" spans="1:33" ht="17.25" customHeight="1" outlineLevel="1">
      <c r="A81" s="861"/>
      <c r="B81" s="861"/>
      <c r="C81" s="268" t="s">
        <v>754</v>
      </c>
      <c r="D81" s="861"/>
      <c r="E81" s="677" t="s">
        <v>753</v>
      </c>
      <c r="F81" s="677" t="s">
        <v>752</v>
      </c>
      <c r="G81" s="677" t="s">
        <v>751</v>
      </c>
      <c r="H81" s="861"/>
      <c r="I81" s="861"/>
      <c r="J81" s="861"/>
      <c r="K81" s="861"/>
      <c r="L81" s="861"/>
      <c r="M81" s="861"/>
      <c r="N81" s="861"/>
      <c r="O81" s="861"/>
      <c r="P81" s="861"/>
      <c r="Q81" s="861"/>
      <c r="R81" s="861"/>
      <c r="S81" s="941"/>
      <c r="T81" s="861"/>
      <c r="U81" s="861"/>
      <c r="V81" s="861"/>
      <c r="W81" s="861"/>
      <c r="X81" s="861"/>
      <c r="Y81" s="861"/>
      <c r="Z81" s="861"/>
      <c r="AA81" s="861"/>
      <c r="AB81" s="861"/>
      <c r="AC81" s="861"/>
      <c r="AD81" s="861"/>
      <c r="AE81" s="861"/>
      <c r="AF81" s="861"/>
      <c r="AG81" s="861"/>
    </row>
    <row r="82" spans="1:33" ht="17.25" customHeight="1" outlineLevel="1">
      <c r="A82" s="861"/>
      <c r="B82" s="861"/>
      <c r="C82" s="737" t="s">
        <v>750</v>
      </c>
      <c r="D82" s="878"/>
      <c r="E82" s="952">
        <f>Inputs!H31</f>
        <v>3</v>
      </c>
      <c r="F82" s="951">
        <f>IF(Inputs!$G$32=1,Inputs!$F$33,0)</f>
        <v>0.95</v>
      </c>
      <c r="G82" s="951">
        <f>Inputs!F34</f>
        <v>0.2</v>
      </c>
      <c r="H82" s="861"/>
      <c r="I82" s="861"/>
      <c r="J82" s="318">
        <f t="shared" ref="J82:AG82" si="44">ROUNDUP(J$7/$E$82,0)</f>
        <v>1</v>
      </c>
      <c r="K82" s="318">
        <f t="shared" si="44"/>
        <v>1</v>
      </c>
      <c r="L82" s="318">
        <f t="shared" si="44"/>
        <v>1</v>
      </c>
      <c r="M82" s="318">
        <f t="shared" si="44"/>
        <v>2</v>
      </c>
      <c r="N82" s="318">
        <f t="shared" si="44"/>
        <v>2</v>
      </c>
      <c r="O82" s="318">
        <f t="shared" si="44"/>
        <v>2</v>
      </c>
      <c r="P82" s="318">
        <f t="shared" si="44"/>
        <v>3</v>
      </c>
      <c r="Q82" s="318">
        <f t="shared" si="44"/>
        <v>3</v>
      </c>
      <c r="R82" s="318">
        <f t="shared" si="44"/>
        <v>3</v>
      </c>
      <c r="S82" s="318">
        <f t="shared" si="44"/>
        <v>4</v>
      </c>
      <c r="T82" s="318">
        <f t="shared" si="44"/>
        <v>4</v>
      </c>
      <c r="U82" s="318">
        <f t="shared" si="44"/>
        <v>4</v>
      </c>
      <c r="V82" s="318">
        <f t="shared" si="44"/>
        <v>5</v>
      </c>
      <c r="W82" s="318">
        <f t="shared" si="44"/>
        <v>5</v>
      </c>
      <c r="X82" s="318">
        <f t="shared" si="44"/>
        <v>5</v>
      </c>
      <c r="Y82" s="318">
        <f t="shared" si="44"/>
        <v>6</v>
      </c>
      <c r="Z82" s="318">
        <f t="shared" si="44"/>
        <v>6</v>
      </c>
      <c r="AA82" s="318">
        <f t="shared" si="44"/>
        <v>6</v>
      </c>
      <c r="AB82" s="318">
        <f t="shared" si="44"/>
        <v>7</v>
      </c>
      <c r="AC82" s="318">
        <f t="shared" si="44"/>
        <v>7</v>
      </c>
      <c r="AD82" s="318">
        <f t="shared" si="44"/>
        <v>7</v>
      </c>
      <c r="AE82" s="318">
        <f t="shared" si="44"/>
        <v>8</v>
      </c>
      <c r="AF82" s="318">
        <f t="shared" si="44"/>
        <v>8</v>
      </c>
      <c r="AG82" s="318">
        <f t="shared" si="44"/>
        <v>8</v>
      </c>
    </row>
    <row r="83" spans="1:33" ht="17.25" customHeight="1" outlineLevel="1">
      <c r="A83" s="861"/>
      <c r="B83" s="861"/>
      <c r="C83" s="861"/>
      <c r="D83" s="861"/>
      <c r="E83" s="861"/>
      <c r="F83" s="1031"/>
      <c r="G83" s="861"/>
      <c r="H83" s="861"/>
      <c r="I83" s="861"/>
      <c r="J83" s="861"/>
      <c r="K83" s="861"/>
      <c r="L83" s="861"/>
      <c r="M83" s="861"/>
      <c r="N83" s="861"/>
      <c r="O83" s="861"/>
      <c r="P83" s="861"/>
      <c r="Q83" s="861"/>
      <c r="R83" s="861"/>
      <c r="S83" s="861"/>
      <c r="T83" s="861"/>
      <c r="U83" s="861"/>
      <c r="V83" s="861"/>
      <c r="W83" s="861"/>
      <c r="X83" s="861"/>
      <c r="Y83" s="861"/>
      <c r="Z83" s="861"/>
      <c r="AA83" s="861"/>
      <c r="AB83" s="861"/>
      <c r="AC83" s="861"/>
      <c r="AD83" s="861"/>
      <c r="AE83" s="861"/>
      <c r="AF83" s="861"/>
      <c r="AG83" s="861"/>
    </row>
    <row r="84" spans="1:33" ht="17.25" customHeight="1" outlineLevel="1">
      <c r="A84" s="861"/>
      <c r="B84" s="268" t="s">
        <v>33</v>
      </c>
      <c r="C84" s="268" t="s">
        <v>749</v>
      </c>
      <c r="D84" s="270" t="s">
        <v>748</v>
      </c>
      <c r="E84" s="270"/>
      <c r="F84" s="677" t="s">
        <v>747</v>
      </c>
      <c r="G84" s="677" t="s">
        <v>738</v>
      </c>
      <c r="H84" s="861"/>
      <c r="I84" s="861"/>
      <c r="J84" s="861"/>
      <c r="K84" s="861"/>
      <c r="L84" s="941"/>
      <c r="M84" s="941"/>
      <c r="N84" s="941"/>
      <c r="O84" s="941"/>
      <c r="P84" s="941"/>
      <c r="Q84" s="941"/>
      <c r="R84" s="861"/>
      <c r="S84" s="861"/>
      <c r="T84" s="861"/>
      <c r="U84" s="861"/>
      <c r="V84" s="861"/>
      <c r="W84" s="861"/>
      <c r="X84" s="861"/>
      <c r="Y84" s="861"/>
      <c r="Z84" s="861"/>
      <c r="AA84" s="861"/>
      <c r="AB84" s="861"/>
      <c r="AC84" s="861"/>
      <c r="AD84" s="861"/>
      <c r="AE84" s="861"/>
      <c r="AF84" s="861"/>
      <c r="AG84" s="861"/>
    </row>
    <row r="85" spans="1:33" ht="17.25" customHeight="1" outlineLevel="2">
      <c r="A85" s="861"/>
      <c r="B85" s="861"/>
      <c r="C85" s="948">
        <v>1</v>
      </c>
      <c r="D85" s="8" t="s">
        <v>39</v>
      </c>
      <c r="E85" s="79"/>
      <c r="F85" s="144">
        <f t="array" ref="F85:F108">TRANSPOSE(J14:AG14)</f>
        <v>50</v>
      </c>
      <c r="G85" s="949">
        <f>IF(Inputs!$G$32=1,Inputs!$F$36,0)</f>
        <v>120</v>
      </c>
      <c r="H85" s="878"/>
      <c r="I85" s="947"/>
      <c r="J85" s="965">
        <f t="shared" ref="J85:AG85" si="45">IF(J$7=$C85,$F85+$G85,IF(AND(J$82&gt;ROUNDUP($C85/$E$82,0),MOD(J$7-$C85,$E$82)=0),I85*$F$82*(1-$G$82),I85))*J$6</f>
        <v>170</v>
      </c>
      <c r="K85" s="965">
        <f t="shared" si="45"/>
        <v>170</v>
      </c>
      <c r="L85" s="965">
        <f t="shared" si="45"/>
        <v>170</v>
      </c>
      <c r="M85" s="965">
        <f t="shared" si="45"/>
        <v>129.20000000000002</v>
      </c>
      <c r="N85" s="965">
        <f t="shared" si="45"/>
        <v>129.20000000000002</v>
      </c>
      <c r="O85" s="965">
        <f t="shared" si="45"/>
        <v>129.20000000000002</v>
      </c>
      <c r="P85" s="965">
        <f t="shared" si="45"/>
        <v>98.192000000000007</v>
      </c>
      <c r="Q85" s="965">
        <f t="shared" si="45"/>
        <v>98.192000000000007</v>
      </c>
      <c r="R85" s="965">
        <f t="shared" si="45"/>
        <v>98.192000000000007</v>
      </c>
      <c r="S85" s="965">
        <f t="shared" si="45"/>
        <v>74.625919999999994</v>
      </c>
      <c r="T85" s="965">
        <f t="shared" si="45"/>
        <v>74.625919999999994</v>
      </c>
      <c r="U85" s="965">
        <f t="shared" si="45"/>
        <v>74.625919999999994</v>
      </c>
      <c r="V85" s="965">
        <f t="shared" si="45"/>
        <v>56.715699199999996</v>
      </c>
      <c r="W85" s="965">
        <f t="shared" si="45"/>
        <v>56.715699199999996</v>
      </c>
      <c r="X85" s="965">
        <f t="shared" si="45"/>
        <v>56.715699199999996</v>
      </c>
      <c r="Y85" s="965">
        <f t="shared" si="45"/>
        <v>43.103931391999993</v>
      </c>
      <c r="Z85" s="965">
        <f t="shared" si="45"/>
        <v>43.103931391999993</v>
      </c>
      <c r="AA85" s="965">
        <f t="shared" si="45"/>
        <v>43.103931391999993</v>
      </c>
      <c r="AB85" s="965">
        <f t="shared" si="45"/>
        <v>32.758987857919998</v>
      </c>
      <c r="AC85" s="965">
        <f t="shared" si="45"/>
        <v>32.758987857919998</v>
      </c>
      <c r="AD85" s="965">
        <f t="shared" si="45"/>
        <v>32.758987857919998</v>
      </c>
      <c r="AE85" s="965">
        <f t="shared" si="45"/>
        <v>24.8968307720192</v>
      </c>
      <c r="AF85" s="965">
        <f t="shared" si="45"/>
        <v>0</v>
      </c>
      <c r="AG85" s="965">
        <f t="shared" si="45"/>
        <v>0</v>
      </c>
    </row>
    <row r="86" spans="1:33" ht="17.25" customHeight="1" outlineLevel="2">
      <c r="A86" s="861"/>
      <c r="B86" s="861"/>
      <c r="C86" s="948">
        <f t="shared" ref="C86:C108" si="46">C85+1</f>
        <v>2</v>
      </c>
      <c r="D86" s="8" t="s">
        <v>39</v>
      </c>
      <c r="E86" s="79"/>
      <c r="F86" s="144">
        <v>100</v>
      </c>
      <c r="G86" s="253"/>
      <c r="H86" s="878"/>
      <c r="I86" s="947"/>
      <c r="J86" s="965">
        <f t="shared" ref="J86:AG86" si="47">IF(J$7=$C86,$F86,IF(AND(J$82&gt;ROUNDUP($C86/$E$82,0),MOD(J$7-$C86,$E$82)=0),I86*$F$82*(1-$G$82),I86))*J$6</f>
        <v>0</v>
      </c>
      <c r="K86" s="965">
        <f t="shared" si="47"/>
        <v>100</v>
      </c>
      <c r="L86" s="965">
        <f t="shared" si="47"/>
        <v>100</v>
      </c>
      <c r="M86" s="965">
        <f t="shared" si="47"/>
        <v>100</v>
      </c>
      <c r="N86" s="965">
        <f t="shared" si="47"/>
        <v>76</v>
      </c>
      <c r="O86" s="965">
        <f t="shared" si="47"/>
        <v>76</v>
      </c>
      <c r="P86" s="965">
        <f t="shared" si="47"/>
        <v>76</v>
      </c>
      <c r="Q86" s="965">
        <f t="shared" si="47"/>
        <v>57.760000000000005</v>
      </c>
      <c r="R86" s="965">
        <f t="shared" si="47"/>
        <v>57.760000000000005</v>
      </c>
      <c r="S86" s="965">
        <f t="shared" si="47"/>
        <v>57.760000000000005</v>
      </c>
      <c r="T86" s="965">
        <f t="shared" si="47"/>
        <v>43.897600000000004</v>
      </c>
      <c r="U86" s="965">
        <f t="shared" si="47"/>
        <v>43.897600000000004</v>
      </c>
      <c r="V86" s="965">
        <f t="shared" si="47"/>
        <v>43.897600000000004</v>
      </c>
      <c r="W86" s="965">
        <f t="shared" si="47"/>
        <v>33.362175999999998</v>
      </c>
      <c r="X86" s="965">
        <f t="shared" si="47"/>
        <v>33.362175999999998</v>
      </c>
      <c r="Y86" s="965">
        <f t="shared" si="47"/>
        <v>33.362175999999998</v>
      </c>
      <c r="Z86" s="965">
        <f t="shared" si="47"/>
        <v>25.355253759999997</v>
      </c>
      <c r="AA86" s="965">
        <f t="shared" si="47"/>
        <v>25.355253759999997</v>
      </c>
      <c r="AB86" s="965">
        <f t="shared" si="47"/>
        <v>25.355253759999997</v>
      </c>
      <c r="AC86" s="965">
        <f t="shared" si="47"/>
        <v>19.269992857599998</v>
      </c>
      <c r="AD86" s="965">
        <f t="shared" si="47"/>
        <v>19.269992857599998</v>
      </c>
      <c r="AE86" s="965">
        <f t="shared" si="47"/>
        <v>19.269992857599998</v>
      </c>
      <c r="AF86" s="965">
        <f t="shared" si="47"/>
        <v>0</v>
      </c>
      <c r="AG86" s="965">
        <f t="shared" si="47"/>
        <v>0</v>
      </c>
    </row>
    <row r="87" spans="1:33" ht="17.25" customHeight="1" outlineLevel="2">
      <c r="A87" s="861"/>
      <c r="B87" s="861"/>
      <c r="C87" s="948">
        <f t="shared" si="46"/>
        <v>3</v>
      </c>
      <c r="D87" s="8" t="s">
        <v>39</v>
      </c>
      <c r="E87" s="79"/>
      <c r="F87" s="144">
        <v>125</v>
      </c>
      <c r="G87" s="253"/>
      <c r="H87" s="878"/>
      <c r="I87" s="947"/>
      <c r="J87" s="965">
        <f t="shared" ref="J87:AG87" si="48">IF(J$7=$C87,$F87,IF(AND(J$82&gt;ROUNDUP($C87/$E$82,0),MOD(J$7-$C87,$E$82)=0),I87*$F$82*(1-$G$82),I87))*J$6</f>
        <v>0</v>
      </c>
      <c r="K87" s="965">
        <f t="shared" si="48"/>
        <v>0</v>
      </c>
      <c r="L87" s="965">
        <f t="shared" si="48"/>
        <v>125</v>
      </c>
      <c r="M87" s="965">
        <f t="shared" si="48"/>
        <v>125</v>
      </c>
      <c r="N87" s="965">
        <f t="shared" si="48"/>
        <v>125</v>
      </c>
      <c r="O87" s="965">
        <f t="shared" si="48"/>
        <v>95</v>
      </c>
      <c r="P87" s="965">
        <f t="shared" si="48"/>
        <v>95</v>
      </c>
      <c r="Q87" s="965">
        <f t="shared" si="48"/>
        <v>95</v>
      </c>
      <c r="R87" s="965">
        <f t="shared" si="48"/>
        <v>72.2</v>
      </c>
      <c r="S87" s="965">
        <f t="shared" si="48"/>
        <v>72.2</v>
      </c>
      <c r="T87" s="965">
        <f t="shared" si="48"/>
        <v>72.2</v>
      </c>
      <c r="U87" s="965">
        <f t="shared" si="48"/>
        <v>54.872000000000007</v>
      </c>
      <c r="V87" s="965">
        <f t="shared" si="48"/>
        <v>54.872000000000007</v>
      </c>
      <c r="W87" s="965">
        <f t="shared" si="48"/>
        <v>54.872000000000007</v>
      </c>
      <c r="X87" s="965">
        <f t="shared" si="48"/>
        <v>41.702720000000006</v>
      </c>
      <c r="Y87" s="965">
        <f t="shared" si="48"/>
        <v>41.702720000000006</v>
      </c>
      <c r="Z87" s="965">
        <f t="shared" si="48"/>
        <v>41.702720000000006</v>
      </c>
      <c r="AA87" s="965">
        <f t="shared" si="48"/>
        <v>31.694067200000003</v>
      </c>
      <c r="AB87" s="965">
        <f t="shared" si="48"/>
        <v>31.694067200000003</v>
      </c>
      <c r="AC87" s="965">
        <f t="shared" si="48"/>
        <v>31.694067200000003</v>
      </c>
      <c r="AD87" s="965">
        <f t="shared" si="48"/>
        <v>24.087491072000002</v>
      </c>
      <c r="AE87" s="965">
        <f t="shared" si="48"/>
        <v>24.087491072000002</v>
      </c>
      <c r="AF87" s="965">
        <f t="shared" si="48"/>
        <v>0</v>
      </c>
      <c r="AG87" s="965">
        <f t="shared" si="48"/>
        <v>0</v>
      </c>
    </row>
    <row r="88" spans="1:33" ht="17.25" customHeight="1" outlineLevel="2">
      <c r="A88" s="861"/>
      <c r="B88" s="861"/>
      <c r="C88" s="948">
        <f t="shared" si="46"/>
        <v>4</v>
      </c>
      <c r="D88" s="8" t="s">
        <v>39</v>
      </c>
      <c r="E88" s="79"/>
      <c r="F88" s="144">
        <v>130</v>
      </c>
      <c r="G88" s="253"/>
      <c r="H88" s="878"/>
      <c r="I88" s="947"/>
      <c r="J88" s="965">
        <f t="shared" ref="J88:AG88" si="49">IF(J$7=$C88,$F88,IF(AND(J$82&gt;ROUNDUP($C88/$E$82,0),MOD(J$7-$C88,$E$82)=0),I88*$F$82*(1-$G$82),I88))*J$6</f>
        <v>0</v>
      </c>
      <c r="K88" s="965">
        <f t="shared" si="49"/>
        <v>0</v>
      </c>
      <c r="L88" s="965">
        <f t="shared" si="49"/>
        <v>0</v>
      </c>
      <c r="M88" s="965">
        <f t="shared" si="49"/>
        <v>130</v>
      </c>
      <c r="N88" s="965">
        <f t="shared" si="49"/>
        <v>130</v>
      </c>
      <c r="O88" s="965">
        <f t="shared" si="49"/>
        <v>130</v>
      </c>
      <c r="P88" s="965">
        <f t="shared" si="49"/>
        <v>98.800000000000011</v>
      </c>
      <c r="Q88" s="965">
        <f t="shared" si="49"/>
        <v>98.800000000000011</v>
      </c>
      <c r="R88" s="965">
        <f t="shared" si="49"/>
        <v>98.800000000000011</v>
      </c>
      <c r="S88" s="965">
        <f t="shared" si="49"/>
        <v>75.088000000000008</v>
      </c>
      <c r="T88" s="965">
        <f t="shared" si="49"/>
        <v>75.088000000000008</v>
      </c>
      <c r="U88" s="965">
        <f t="shared" si="49"/>
        <v>75.088000000000008</v>
      </c>
      <c r="V88" s="965">
        <f t="shared" si="49"/>
        <v>57.066880000000005</v>
      </c>
      <c r="W88" s="965">
        <f t="shared" si="49"/>
        <v>57.066880000000005</v>
      </c>
      <c r="X88" s="965">
        <f t="shared" si="49"/>
        <v>57.066880000000005</v>
      </c>
      <c r="Y88" s="965">
        <f t="shared" si="49"/>
        <v>43.370828800000005</v>
      </c>
      <c r="Z88" s="965">
        <f t="shared" si="49"/>
        <v>43.370828800000005</v>
      </c>
      <c r="AA88" s="965">
        <f t="shared" si="49"/>
        <v>43.370828800000005</v>
      </c>
      <c r="AB88" s="965">
        <f t="shared" si="49"/>
        <v>32.961829888000004</v>
      </c>
      <c r="AC88" s="965">
        <f t="shared" si="49"/>
        <v>32.961829888000004</v>
      </c>
      <c r="AD88" s="965">
        <f t="shared" si="49"/>
        <v>32.961829888000004</v>
      </c>
      <c r="AE88" s="965">
        <f t="shared" si="49"/>
        <v>25.050990714880001</v>
      </c>
      <c r="AF88" s="965">
        <f t="shared" si="49"/>
        <v>0</v>
      </c>
      <c r="AG88" s="965">
        <f t="shared" si="49"/>
        <v>0</v>
      </c>
    </row>
    <row r="89" spans="1:33" ht="17.25" customHeight="1" outlineLevel="2">
      <c r="A89" s="861"/>
      <c r="B89" s="861"/>
      <c r="C89" s="948">
        <f t="shared" si="46"/>
        <v>5</v>
      </c>
      <c r="D89" s="8" t="s">
        <v>39</v>
      </c>
      <c r="E89" s="79"/>
      <c r="F89" s="144">
        <v>135.20000000000002</v>
      </c>
      <c r="G89" s="878"/>
      <c r="H89" s="878"/>
      <c r="I89" s="947"/>
      <c r="J89" s="965">
        <f t="shared" ref="J89:AG89" si="50">IF(J$7=$C89,$F89,IF(AND(J$82&gt;ROUNDUP($C89/$E$82,0),MOD(J$7-$C89,$E$82)=0),I89*$F$82*(1-$G$82),I89))*J$6</f>
        <v>0</v>
      </c>
      <c r="K89" s="965">
        <f t="shared" si="50"/>
        <v>0</v>
      </c>
      <c r="L89" s="965">
        <f t="shared" si="50"/>
        <v>0</v>
      </c>
      <c r="M89" s="965">
        <f t="shared" si="50"/>
        <v>0</v>
      </c>
      <c r="N89" s="965">
        <f t="shared" si="50"/>
        <v>135.20000000000002</v>
      </c>
      <c r="O89" s="965">
        <f t="shared" si="50"/>
        <v>135.20000000000002</v>
      </c>
      <c r="P89" s="965">
        <f t="shared" si="50"/>
        <v>135.20000000000002</v>
      </c>
      <c r="Q89" s="965">
        <f t="shared" si="50"/>
        <v>102.75200000000001</v>
      </c>
      <c r="R89" s="965">
        <f t="shared" si="50"/>
        <v>102.75200000000001</v>
      </c>
      <c r="S89" s="965">
        <f t="shared" si="50"/>
        <v>102.75200000000001</v>
      </c>
      <c r="T89" s="965">
        <f t="shared" si="50"/>
        <v>78.091520000000003</v>
      </c>
      <c r="U89" s="965">
        <f t="shared" si="50"/>
        <v>78.091520000000003</v>
      </c>
      <c r="V89" s="965">
        <f t="shared" si="50"/>
        <v>78.091520000000003</v>
      </c>
      <c r="W89" s="965">
        <f t="shared" si="50"/>
        <v>59.349555199999998</v>
      </c>
      <c r="X89" s="965">
        <f t="shared" si="50"/>
        <v>59.349555199999998</v>
      </c>
      <c r="Y89" s="965">
        <f t="shared" si="50"/>
        <v>59.349555199999998</v>
      </c>
      <c r="Z89" s="965">
        <f t="shared" si="50"/>
        <v>45.105661951999998</v>
      </c>
      <c r="AA89" s="965">
        <f t="shared" si="50"/>
        <v>45.105661951999998</v>
      </c>
      <c r="AB89" s="965">
        <f t="shared" si="50"/>
        <v>45.105661951999998</v>
      </c>
      <c r="AC89" s="965">
        <f t="shared" si="50"/>
        <v>34.280303083520003</v>
      </c>
      <c r="AD89" s="965">
        <f t="shared" si="50"/>
        <v>34.280303083520003</v>
      </c>
      <c r="AE89" s="965">
        <f t="shared" si="50"/>
        <v>34.280303083520003</v>
      </c>
      <c r="AF89" s="965">
        <f t="shared" si="50"/>
        <v>0</v>
      </c>
      <c r="AG89" s="965">
        <f t="shared" si="50"/>
        <v>0</v>
      </c>
    </row>
    <row r="90" spans="1:33" ht="17.25" customHeight="1" outlineLevel="2">
      <c r="A90" s="861"/>
      <c r="B90" s="861"/>
      <c r="C90" s="948">
        <f t="shared" si="46"/>
        <v>6</v>
      </c>
      <c r="D90" s="8" t="s">
        <v>39</v>
      </c>
      <c r="E90" s="79"/>
      <c r="F90" s="144">
        <v>140.60800000000003</v>
      </c>
      <c r="G90" s="878"/>
      <c r="H90" s="878"/>
      <c r="I90" s="947"/>
      <c r="J90" s="965">
        <f t="shared" ref="J90:AG90" si="51">IF(J$7=$C90,$F90,IF(AND(J$82&gt;ROUNDUP($C90/$E$82,0),MOD(J$7-$C90,$E$82)=0),I90*$F$82*(1-$G$82),I90))*J$6</f>
        <v>0</v>
      </c>
      <c r="K90" s="965">
        <f t="shared" si="51"/>
        <v>0</v>
      </c>
      <c r="L90" s="965">
        <f t="shared" si="51"/>
        <v>0</v>
      </c>
      <c r="M90" s="965">
        <f t="shared" si="51"/>
        <v>0</v>
      </c>
      <c r="N90" s="965">
        <f t="shared" si="51"/>
        <v>0</v>
      </c>
      <c r="O90" s="965">
        <f t="shared" si="51"/>
        <v>140.60800000000003</v>
      </c>
      <c r="P90" s="965">
        <f t="shared" si="51"/>
        <v>140.60800000000003</v>
      </c>
      <c r="Q90" s="965">
        <f t="shared" si="51"/>
        <v>140.60800000000003</v>
      </c>
      <c r="R90" s="965">
        <f t="shared" si="51"/>
        <v>106.86208000000002</v>
      </c>
      <c r="S90" s="965">
        <f t="shared" si="51"/>
        <v>106.86208000000002</v>
      </c>
      <c r="T90" s="965">
        <f t="shared" si="51"/>
        <v>106.86208000000002</v>
      </c>
      <c r="U90" s="965">
        <f t="shared" si="51"/>
        <v>81.215180800000013</v>
      </c>
      <c r="V90" s="965">
        <f t="shared" si="51"/>
        <v>81.215180800000013</v>
      </c>
      <c r="W90" s="965">
        <f t="shared" si="51"/>
        <v>81.215180800000013</v>
      </c>
      <c r="X90" s="965">
        <f t="shared" si="51"/>
        <v>61.723537408000006</v>
      </c>
      <c r="Y90" s="965">
        <f t="shared" si="51"/>
        <v>61.723537408000006</v>
      </c>
      <c r="Z90" s="965">
        <f t="shared" si="51"/>
        <v>61.723537408000006</v>
      </c>
      <c r="AA90" s="965">
        <f t="shared" si="51"/>
        <v>46.909888430080002</v>
      </c>
      <c r="AB90" s="965">
        <f t="shared" si="51"/>
        <v>46.909888430080002</v>
      </c>
      <c r="AC90" s="965">
        <f t="shared" si="51"/>
        <v>46.909888430080002</v>
      </c>
      <c r="AD90" s="965">
        <f t="shared" si="51"/>
        <v>35.6515152068608</v>
      </c>
      <c r="AE90" s="965">
        <f t="shared" si="51"/>
        <v>35.6515152068608</v>
      </c>
      <c r="AF90" s="965">
        <f t="shared" si="51"/>
        <v>0</v>
      </c>
      <c r="AG90" s="965">
        <f t="shared" si="51"/>
        <v>0</v>
      </c>
    </row>
    <row r="91" spans="1:33" ht="17.25" customHeight="1" outlineLevel="2">
      <c r="A91" s="861"/>
      <c r="B91" s="861"/>
      <c r="C91" s="948">
        <f t="shared" si="46"/>
        <v>7</v>
      </c>
      <c r="D91" s="8" t="s">
        <v>39</v>
      </c>
      <c r="E91" s="79"/>
      <c r="F91" s="144">
        <v>146.23232000000004</v>
      </c>
      <c r="G91" s="878"/>
      <c r="H91" s="878"/>
      <c r="I91" s="947"/>
      <c r="J91" s="965">
        <f t="shared" ref="J91:AG91" si="52">IF(J$7=$C91,$F91,IF(AND(J$82&gt;ROUNDUP($C91/$E$82,0),MOD(J$7-$C91,$E$82)=0),I91*$F$82*(1-$G$82),I91))*J$6</f>
        <v>0</v>
      </c>
      <c r="K91" s="965">
        <f t="shared" si="52"/>
        <v>0</v>
      </c>
      <c r="L91" s="965">
        <f t="shared" si="52"/>
        <v>0</v>
      </c>
      <c r="M91" s="965">
        <f t="shared" si="52"/>
        <v>0</v>
      </c>
      <c r="N91" s="965">
        <f t="shared" si="52"/>
        <v>0</v>
      </c>
      <c r="O91" s="965">
        <f t="shared" si="52"/>
        <v>0</v>
      </c>
      <c r="P91" s="965">
        <f t="shared" si="52"/>
        <v>146.23232000000004</v>
      </c>
      <c r="Q91" s="965">
        <f t="shared" si="52"/>
        <v>146.23232000000004</v>
      </c>
      <c r="R91" s="965">
        <f t="shared" si="52"/>
        <v>146.23232000000004</v>
      </c>
      <c r="S91" s="965">
        <f t="shared" si="52"/>
        <v>111.13656320000003</v>
      </c>
      <c r="T91" s="965">
        <f t="shared" si="52"/>
        <v>111.13656320000003</v>
      </c>
      <c r="U91" s="965">
        <f t="shared" si="52"/>
        <v>111.13656320000003</v>
      </c>
      <c r="V91" s="965">
        <f t="shared" si="52"/>
        <v>84.463788032000025</v>
      </c>
      <c r="W91" s="965">
        <f t="shared" si="52"/>
        <v>84.463788032000025</v>
      </c>
      <c r="X91" s="965">
        <f t="shared" si="52"/>
        <v>84.463788032000025</v>
      </c>
      <c r="Y91" s="965">
        <f t="shared" si="52"/>
        <v>64.192478904320012</v>
      </c>
      <c r="Z91" s="965">
        <f t="shared" si="52"/>
        <v>64.192478904320012</v>
      </c>
      <c r="AA91" s="965">
        <f t="shared" si="52"/>
        <v>64.192478904320012</v>
      </c>
      <c r="AB91" s="965">
        <f t="shared" si="52"/>
        <v>48.786283967283211</v>
      </c>
      <c r="AC91" s="965">
        <f t="shared" si="52"/>
        <v>48.786283967283211</v>
      </c>
      <c r="AD91" s="965">
        <f t="shared" si="52"/>
        <v>48.786283967283211</v>
      </c>
      <c r="AE91" s="965">
        <f t="shared" si="52"/>
        <v>37.077575815135241</v>
      </c>
      <c r="AF91" s="965">
        <f t="shared" si="52"/>
        <v>0</v>
      </c>
      <c r="AG91" s="965">
        <f t="shared" si="52"/>
        <v>0</v>
      </c>
    </row>
    <row r="92" spans="1:33" ht="17.25" customHeight="1" outlineLevel="2">
      <c r="A92" s="861"/>
      <c r="B92" s="861"/>
      <c r="C92" s="948">
        <f t="shared" si="46"/>
        <v>8</v>
      </c>
      <c r="D92" s="8" t="s">
        <v>39</v>
      </c>
      <c r="E92" s="878"/>
      <c r="F92" s="144">
        <v>152.08161280000004</v>
      </c>
      <c r="G92" s="878"/>
      <c r="H92" s="878"/>
      <c r="I92" s="947"/>
      <c r="J92" s="965">
        <f t="shared" ref="J92:AG92" si="53">IF(J$7=$C92,$F92,IF(AND(J$82&gt;ROUNDUP($C92/$E$82,0),MOD(J$7-$C92,$E$82)=0),I92*$F$82*(1-$G$82),I92))*J$6</f>
        <v>0</v>
      </c>
      <c r="K92" s="965">
        <f t="shared" si="53"/>
        <v>0</v>
      </c>
      <c r="L92" s="965">
        <f t="shared" si="53"/>
        <v>0</v>
      </c>
      <c r="M92" s="965">
        <f t="shared" si="53"/>
        <v>0</v>
      </c>
      <c r="N92" s="965">
        <f t="shared" si="53"/>
        <v>0</v>
      </c>
      <c r="O92" s="965">
        <f t="shared" si="53"/>
        <v>0</v>
      </c>
      <c r="P92" s="965">
        <f t="shared" si="53"/>
        <v>0</v>
      </c>
      <c r="Q92" s="965">
        <f t="shared" si="53"/>
        <v>152.08161280000004</v>
      </c>
      <c r="R92" s="965">
        <f t="shared" si="53"/>
        <v>152.08161280000004</v>
      </c>
      <c r="S92" s="965">
        <f t="shared" si="53"/>
        <v>152.08161280000004</v>
      </c>
      <c r="T92" s="965">
        <f t="shared" si="53"/>
        <v>115.58202572800003</v>
      </c>
      <c r="U92" s="965">
        <f t="shared" si="53"/>
        <v>115.58202572800003</v>
      </c>
      <c r="V92" s="965">
        <f t="shared" si="53"/>
        <v>115.58202572800003</v>
      </c>
      <c r="W92" s="965">
        <f t="shared" si="53"/>
        <v>87.842339553280027</v>
      </c>
      <c r="X92" s="965">
        <f t="shared" si="53"/>
        <v>87.842339553280027</v>
      </c>
      <c r="Y92" s="965">
        <f t="shared" si="53"/>
        <v>87.842339553280027</v>
      </c>
      <c r="Z92" s="965">
        <f t="shared" si="53"/>
        <v>66.760178060492819</v>
      </c>
      <c r="AA92" s="965">
        <f t="shared" si="53"/>
        <v>66.760178060492819</v>
      </c>
      <c r="AB92" s="965">
        <f t="shared" si="53"/>
        <v>66.760178060492819</v>
      </c>
      <c r="AC92" s="965">
        <f t="shared" si="53"/>
        <v>50.737735325974541</v>
      </c>
      <c r="AD92" s="965">
        <f t="shared" si="53"/>
        <v>50.737735325974541</v>
      </c>
      <c r="AE92" s="965">
        <f t="shared" si="53"/>
        <v>50.737735325974541</v>
      </c>
      <c r="AF92" s="965">
        <f t="shared" si="53"/>
        <v>0</v>
      </c>
      <c r="AG92" s="965">
        <f t="shared" si="53"/>
        <v>0</v>
      </c>
    </row>
    <row r="93" spans="1:33" ht="17.25" customHeight="1" outlineLevel="2">
      <c r="A93" s="861"/>
      <c r="B93" s="861"/>
      <c r="C93" s="948">
        <f t="shared" si="46"/>
        <v>9</v>
      </c>
      <c r="D93" s="8" t="s">
        <v>39</v>
      </c>
      <c r="E93" s="878"/>
      <c r="F93" s="144">
        <v>158.16487731200004</v>
      </c>
      <c r="G93" s="878"/>
      <c r="H93" s="878"/>
      <c r="I93" s="947"/>
      <c r="J93" s="965">
        <f t="shared" ref="J93:AG93" si="54">IF(J$7=$C93,$F93,IF(AND(J$82&gt;ROUNDUP($C93/$E$82,0),MOD(J$7-$C93,$E$82)=0),I93*$F$82*(1-$G$82),I93))*J$6</f>
        <v>0</v>
      </c>
      <c r="K93" s="965">
        <f t="shared" si="54"/>
        <v>0</v>
      </c>
      <c r="L93" s="965">
        <f t="shared" si="54"/>
        <v>0</v>
      </c>
      <c r="M93" s="965">
        <f t="shared" si="54"/>
        <v>0</v>
      </c>
      <c r="N93" s="965">
        <f t="shared" si="54"/>
        <v>0</v>
      </c>
      <c r="O93" s="965">
        <f t="shared" si="54"/>
        <v>0</v>
      </c>
      <c r="P93" s="965">
        <f t="shared" si="54"/>
        <v>0</v>
      </c>
      <c r="Q93" s="965">
        <f t="shared" si="54"/>
        <v>0</v>
      </c>
      <c r="R93" s="965">
        <f t="shared" si="54"/>
        <v>158.16487731200004</v>
      </c>
      <c r="S93" s="965">
        <f t="shared" si="54"/>
        <v>158.16487731200004</v>
      </c>
      <c r="T93" s="965">
        <f t="shared" si="54"/>
        <v>158.16487731200004</v>
      </c>
      <c r="U93" s="965">
        <f t="shared" si="54"/>
        <v>120.20530675712003</v>
      </c>
      <c r="V93" s="965">
        <f t="shared" si="54"/>
        <v>120.20530675712003</v>
      </c>
      <c r="W93" s="965">
        <f t="shared" si="54"/>
        <v>120.20530675712003</v>
      </c>
      <c r="X93" s="965">
        <f t="shared" si="54"/>
        <v>91.356033135411224</v>
      </c>
      <c r="Y93" s="965">
        <f t="shared" si="54"/>
        <v>91.356033135411224</v>
      </c>
      <c r="Z93" s="965">
        <f t="shared" si="54"/>
        <v>91.356033135411224</v>
      </c>
      <c r="AA93" s="965">
        <f t="shared" si="54"/>
        <v>69.430585182912523</v>
      </c>
      <c r="AB93" s="965">
        <f t="shared" si="54"/>
        <v>69.430585182912523</v>
      </c>
      <c r="AC93" s="965">
        <f t="shared" si="54"/>
        <v>69.430585182912523</v>
      </c>
      <c r="AD93" s="965">
        <f t="shared" si="54"/>
        <v>52.76724473901352</v>
      </c>
      <c r="AE93" s="965">
        <f t="shared" si="54"/>
        <v>52.76724473901352</v>
      </c>
      <c r="AF93" s="965">
        <f t="shared" si="54"/>
        <v>0</v>
      </c>
      <c r="AG93" s="965">
        <f t="shared" si="54"/>
        <v>0</v>
      </c>
    </row>
    <row r="94" spans="1:33" ht="17.25" customHeight="1" outlineLevel="2">
      <c r="A94" s="861"/>
      <c r="B94" s="861"/>
      <c r="C94" s="948">
        <f t="shared" si="46"/>
        <v>10</v>
      </c>
      <c r="D94" s="8" t="s">
        <v>39</v>
      </c>
      <c r="E94" s="878"/>
      <c r="F94" s="144">
        <v>164.49147240448005</v>
      </c>
      <c r="G94" s="878"/>
      <c r="H94" s="878"/>
      <c r="I94" s="947"/>
      <c r="J94" s="965">
        <f t="shared" ref="J94:AG94" si="55">IF(J$7=$C94,$F94,IF(AND(J$82&gt;ROUNDUP($C94/$E$82,0),MOD(J$7-$C94,$E$82)=0),I94*$F$82*(1-$G$82),I94))*J$6</f>
        <v>0</v>
      </c>
      <c r="K94" s="965">
        <f t="shared" si="55"/>
        <v>0</v>
      </c>
      <c r="L94" s="965">
        <f t="shared" si="55"/>
        <v>0</v>
      </c>
      <c r="M94" s="965">
        <f t="shared" si="55"/>
        <v>0</v>
      </c>
      <c r="N94" s="965">
        <f t="shared" si="55"/>
        <v>0</v>
      </c>
      <c r="O94" s="965">
        <f t="shared" si="55"/>
        <v>0</v>
      </c>
      <c r="P94" s="965">
        <f t="shared" si="55"/>
        <v>0</v>
      </c>
      <c r="Q94" s="965">
        <f t="shared" si="55"/>
        <v>0</v>
      </c>
      <c r="R94" s="965">
        <f t="shared" si="55"/>
        <v>0</v>
      </c>
      <c r="S94" s="965">
        <f t="shared" si="55"/>
        <v>164.49147240448005</v>
      </c>
      <c r="T94" s="965">
        <f t="shared" si="55"/>
        <v>164.49147240448005</v>
      </c>
      <c r="U94" s="965">
        <f t="shared" si="55"/>
        <v>164.49147240448005</v>
      </c>
      <c r="V94" s="965">
        <f t="shared" si="55"/>
        <v>125.01351902740483</v>
      </c>
      <c r="W94" s="965">
        <f t="shared" si="55"/>
        <v>125.01351902740483</v>
      </c>
      <c r="X94" s="965">
        <f t="shared" si="55"/>
        <v>125.01351902740483</v>
      </c>
      <c r="Y94" s="965">
        <f t="shared" si="55"/>
        <v>95.010274460827674</v>
      </c>
      <c r="Z94" s="965">
        <f t="shared" si="55"/>
        <v>95.010274460827674</v>
      </c>
      <c r="AA94" s="965">
        <f t="shared" si="55"/>
        <v>95.010274460827674</v>
      </c>
      <c r="AB94" s="965">
        <f t="shared" si="55"/>
        <v>72.207808590229021</v>
      </c>
      <c r="AC94" s="965">
        <f t="shared" si="55"/>
        <v>72.207808590229021</v>
      </c>
      <c r="AD94" s="965">
        <f t="shared" si="55"/>
        <v>72.207808590229021</v>
      </c>
      <c r="AE94" s="965">
        <f t="shared" si="55"/>
        <v>54.877934528574059</v>
      </c>
      <c r="AF94" s="965">
        <f t="shared" si="55"/>
        <v>0</v>
      </c>
      <c r="AG94" s="965">
        <f t="shared" si="55"/>
        <v>0</v>
      </c>
    </row>
    <row r="95" spans="1:33" ht="17.25" customHeight="1" outlineLevel="2">
      <c r="A95" s="861"/>
      <c r="B95" s="861"/>
      <c r="C95" s="948">
        <f t="shared" si="46"/>
        <v>11</v>
      </c>
      <c r="D95" s="8" t="s">
        <v>39</v>
      </c>
      <c r="E95" s="878"/>
      <c r="F95" s="144">
        <v>171.07113130065926</v>
      </c>
      <c r="G95" s="878"/>
      <c r="H95" s="878"/>
      <c r="I95" s="947"/>
      <c r="J95" s="965">
        <f t="shared" ref="J95:AG95" si="56">IF(J$7=$C95,$F95,IF(AND(J$82&gt;ROUNDUP($C95/$E$82,0),MOD(J$7-$C95,$E$82)=0),I95*$F$82*(1-$G$82),I95))*J$6</f>
        <v>0</v>
      </c>
      <c r="K95" s="965">
        <f t="shared" si="56"/>
        <v>0</v>
      </c>
      <c r="L95" s="965">
        <f t="shared" si="56"/>
        <v>0</v>
      </c>
      <c r="M95" s="965">
        <f t="shared" si="56"/>
        <v>0</v>
      </c>
      <c r="N95" s="965">
        <f t="shared" si="56"/>
        <v>0</v>
      </c>
      <c r="O95" s="965">
        <f t="shared" si="56"/>
        <v>0</v>
      </c>
      <c r="P95" s="965">
        <f t="shared" si="56"/>
        <v>0</v>
      </c>
      <c r="Q95" s="965">
        <f t="shared" si="56"/>
        <v>0</v>
      </c>
      <c r="R95" s="965">
        <f t="shared" si="56"/>
        <v>0</v>
      </c>
      <c r="S95" s="965">
        <f t="shared" si="56"/>
        <v>0</v>
      </c>
      <c r="T95" s="965">
        <f t="shared" si="56"/>
        <v>171.07113130065926</v>
      </c>
      <c r="U95" s="965">
        <f t="shared" si="56"/>
        <v>171.07113130065926</v>
      </c>
      <c r="V95" s="965">
        <f t="shared" si="56"/>
        <v>171.07113130065926</v>
      </c>
      <c r="W95" s="965">
        <f t="shared" si="56"/>
        <v>130.01405978850104</v>
      </c>
      <c r="X95" s="965">
        <f t="shared" si="56"/>
        <v>130.01405978850104</v>
      </c>
      <c r="Y95" s="965">
        <f t="shared" si="56"/>
        <v>130.01405978850104</v>
      </c>
      <c r="Z95" s="965">
        <f t="shared" si="56"/>
        <v>98.810685439260794</v>
      </c>
      <c r="AA95" s="965">
        <f t="shared" si="56"/>
        <v>98.810685439260794</v>
      </c>
      <c r="AB95" s="965">
        <f t="shared" si="56"/>
        <v>98.810685439260794</v>
      </c>
      <c r="AC95" s="965">
        <f t="shared" si="56"/>
        <v>75.096120933838208</v>
      </c>
      <c r="AD95" s="965">
        <f t="shared" si="56"/>
        <v>75.096120933838208</v>
      </c>
      <c r="AE95" s="965">
        <f t="shared" si="56"/>
        <v>75.096120933838208</v>
      </c>
      <c r="AF95" s="965">
        <f t="shared" si="56"/>
        <v>0</v>
      </c>
      <c r="AG95" s="965">
        <f t="shared" si="56"/>
        <v>0</v>
      </c>
    </row>
    <row r="96" spans="1:33" ht="17.25" customHeight="1" outlineLevel="2">
      <c r="A96" s="861"/>
      <c r="B96" s="861"/>
      <c r="C96" s="948">
        <f t="shared" si="46"/>
        <v>12</v>
      </c>
      <c r="D96" s="8" t="s">
        <v>39</v>
      </c>
      <c r="E96" s="878"/>
      <c r="F96" s="144">
        <v>177.91397655268563</v>
      </c>
      <c r="G96" s="878"/>
      <c r="H96" s="878"/>
      <c r="I96" s="947"/>
      <c r="J96" s="965">
        <f t="shared" ref="J96:AG96" si="57">IF(J$7=$C96,$F96,IF(AND(J$82&gt;ROUNDUP($C96/$E$82,0),MOD(J$7-$C96,$E$82)=0),I96*$F$82*(1-$G$82),I96))*J$6</f>
        <v>0</v>
      </c>
      <c r="K96" s="965">
        <f t="shared" si="57"/>
        <v>0</v>
      </c>
      <c r="L96" s="965">
        <f t="shared" si="57"/>
        <v>0</v>
      </c>
      <c r="M96" s="965">
        <f t="shared" si="57"/>
        <v>0</v>
      </c>
      <c r="N96" s="965">
        <f t="shared" si="57"/>
        <v>0</v>
      </c>
      <c r="O96" s="965">
        <f t="shared" si="57"/>
        <v>0</v>
      </c>
      <c r="P96" s="965">
        <f t="shared" si="57"/>
        <v>0</v>
      </c>
      <c r="Q96" s="965">
        <f t="shared" si="57"/>
        <v>0</v>
      </c>
      <c r="R96" s="965">
        <f t="shared" si="57"/>
        <v>0</v>
      </c>
      <c r="S96" s="965">
        <f t="shared" si="57"/>
        <v>0</v>
      </c>
      <c r="T96" s="965">
        <f t="shared" si="57"/>
        <v>0</v>
      </c>
      <c r="U96" s="965">
        <f t="shared" si="57"/>
        <v>177.91397655268563</v>
      </c>
      <c r="V96" s="965">
        <f t="shared" si="57"/>
        <v>177.91397655268563</v>
      </c>
      <c r="W96" s="965">
        <f t="shared" si="57"/>
        <v>177.91397655268563</v>
      </c>
      <c r="X96" s="965">
        <f t="shared" si="57"/>
        <v>135.21462218004109</v>
      </c>
      <c r="Y96" s="965">
        <f t="shared" si="57"/>
        <v>135.21462218004109</v>
      </c>
      <c r="Z96" s="965">
        <f t="shared" si="57"/>
        <v>135.21462218004109</v>
      </c>
      <c r="AA96" s="965">
        <f t="shared" si="57"/>
        <v>102.76311285683124</v>
      </c>
      <c r="AB96" s="965">
        <f t="shared" si="57"/>
        <v>102.76311285683124</v>
      </c>
      <c r="AC96" s="965">
        <f t="shared" si="57"/>
        <v>102.76311285683124</v>
      </c>
      <c r="AD96" s="965">
        <f t="shared" si="57"/>
        <v>78.099965771191748</v>
      </c>
      <c r="AE96" s="965">
        <f t="shared" si="57"/>
        <v>78.099965771191748</v>
      </c>
      <c r="AF96" s="965">
        <f t="shared" si="57"/>
        <v>0</v>
      </c>
      <c r="AG96" s="965">
        <f t="shared" si="57"/>
        <v>0</v>
      </c>
    </row>
    <row r="97" spans="1:33" ht="17.25" customHeight="1" outlineLevel="2">
      <c r="A97" s="861"/>
      <c r="B97" s="861"/>
      <c r="C97" s="948">
        <f t="shared" si="46"/>
        <v>13</v>
      </c>
      <c r="D97" s="8" t="s">
        <v>39</v>
      </c>
      <c r="E97" s="878"/>
      <c r="F97" s="144">
        <v>185.03053561479305</v>
      </c>
      <c r="G97" s="878"/>
      <c r="H97" s="878"/>
      <c r="I97" s="947"/>
      <c r="J97" s="965">
        <f t="shared" ref="J97:AG97" si="58">IF(J$7=$C97,$F97,IF(AND(J$82&gt;ROUNDUP($C97/$E$82,0),MOD(J$7-$C97,$E$82)=0),I97*$F$82*(1-$G$82),I97))*J$6</f>
        <v>0</v>
      </c>
      <c r="K97" s="965">
        <f t="shared" si="58"/>
        <v>0</v>
      </c>
      <c r="L97" s="965">
        <f t="shared" si="58"/>
        <v>0</v>
      </c>
      <c r="M97" s="965">
        <f t="shared" si="58"/>
        <v>0</v>
      </c>
      <c r="N97" s="965">
        <f t="shared" si="58"/>
        <v>0</v>
      </c>
      <c r="O97" s="965">
        <f t="shared" si="58"/>
        <v>0</v>
      </c>
      <c r="P97" s="965">
        <f t="shared" si="58"/>
        <v>0</v>
      </c>
      <c r="Q97" s="965">
        <f t="shared" si="58"/>
        <v>0</v>
      </c>
      <c r="R97" s="965">
        <f t="shared" si="58"/>
        <v>0</v>
      </c>
      <c r="S97" s="965">
        <f t="shared" si="58"/>
        <v>0</v>
      </c>
      <c r="T97" s="965">
        <f t="shared" si="58"/>
        <v>0</v>
      </c>
      <c r="U97" s="965">
        <f t="shared" si="58"/>
        <v>0</v>
      </c>
      <c r="V97" s="965">
        <f t="shared" si="58"/>
        <v>185.03053561479305</v>
      </c>
      <c r="W97" s="965">
        <f t="shared" si="58"/>
        <v>185.03053561479305</v>
      </c>
      <c r="X97" s="965">
        <f t="shared" si="58"/>
        <v>185.03053561479305</v>
      </c>
      <c r="Y97" s="965">
        <f t="shared" si="58"/>
        <v>140.62320706724273</v>
      </c>
      <c r="Z97" s="965">
        <f t="shared" si="58"/>
        <v>140.62320706724273</v>
      </c>
      <c r="AA97" s="965">
        <f t="shared" si="58"/>
        <v>140.62320706724273</v>
      </c>
      <c r="AB97" s="965">
        <f t="shared" si="58"/>
        <v>106.87363737110448</v>
      </c>
      <c r="AC97" s="965">
        <f t="shared" si="58"/>
        <v>106.87363737110448</v>
      </c>
      <c r="AD97" s="965">
        <f t="shared" si="58"/>
        <v>106.87363737110448</v>
      </c>
      <c r="AE97" s="965">
        <f t="shared" si="58"/>
        <v>81.223964402039414</v>
      </c>
      <c r="AF97" s="965">
        <f t="shared" si="58"/>
        <v>0</v>
      </c>
      <c r="AG97" s="965">
        <f t="shared" si="58"/>
        <v>0</v>
      </c>
    </row>
    <row r="98" spans="1:33" ht="17.25" customHeight="1" outlineLevel="2">
      <c r="A98" s="861"/>
      <c r="B98" s="861"/>
      <c r="C98" s="948">
        <f t="shared" si="46"/>
        <v>14</v>
      </c>
      <c r="D98" s="8" t="s">
        <v>39</v>
      </c>
      <c r="E98" s="878"/>
      <c r="F98" s="144">
        <v>192.43175703938479</v>
      </c>
      <c r="G98" s="878"/>
      <c r="H98" s="878"/>
      <c r="I98" s="947"/>
      <c r="J98" s="965">
        <f t="shared" ref="J98:AG98" si="59">IF(J$7=$C98,$F98,IF(AND(J$82&gt;ROUNDUP($C98/$E$82,0),MOD(J$7-$C98,$E$82)=0),I98*$F$82*(1-$G$82),I98))*J$6</f>
        <v>0</v>
      </c>
      <c r="K98" s="965">
        <f t="shared" si="59"/>
        <v>0</v>
      </c>
      <c r="L98" s="965">
        <f t="shared" si="59"/>
        <v>0</v>
      </c>
      <c r="M98" s="965">
        <f t="shared" si="59"/>
        <v>0</v>
      </c>
      <c r="N98" s="965">
        <f t="shared" si="59"/>
        <v>0</v>
      </c>
      <c r="O98" s="965">
        <f t="shared" si="59"/>
        <v>0</v>
      </c>
      <c r="P98" s="965">
        <f t="shared" si="59"/>
        <v>0</v>
      </c>
      <c r="Q98" s="965">
        <f t="shared" si="59"/>
        <v>0</v>
      </c>
      <c r="R98" s="965">
        <f t="shared" si="59"/>
        <v>0</v>
      </c>
      <c r="S98" s="965">
        <f t="shared" si="59"/>
        <v>0</v>
      </c>
      <c r="T98" s="965">
        <f t="shared" si="59"/>
        <v>0</v>
      </c>
      <c r="U98" s="965">
        <f t="shared" si="59"/>
        <v>0</v>
      </c>
      <c r="V98" s="965">
        <f t="shared" si="59"/>
        <v>0</v>
      </c>
      <c r="W98" s="965">
        <f t="shared" si="59"/>
        <v>192.43175703938479</v>
      </c>
      <c r="X98" s="965">
        <f t="shared" si="59"/>
        <v>192.43175703938479</v>
      </c>
      <c r="Y98" s="965">
        <f t="shared" si="59"/>
        <v>192.43175703938479</v>
      </c>
      <c r="Z98" s="965">
        <f t="shared" si="59"/>
        <v>146.24813534993243</v>
      </c>
      <c r="AA98" s="965">
        <f t="shared" si="59"/>
        <v>146.24813534993243</v>
      </c>
      <c r="AB98" s="965">
        <f t="shared" si="59"/>
        <v>146.24813534993243</v>
      </c>
      <c r="AC98" s="965">
        <f t="shared" si="59"/>
        <v>111.14858286594864</v>
      </c>
      <c r="AD98" s="965">
        <f t="shared" si="59"/>
        <v>111.14858286594864</v>
      </c>
      <c r="AE98" s="965">
        <f t="shared" si="59"/>
        <v>111.14858286594864</v>
      </c>
      <c r="AF98" s="965">
        <f t="shared" si="59"/>
        <v>0</v>
      </c>
      <c r="AG98" s="965">
        <f t="shared" si="59"/>
        <v>0</v>
      </c>
    </row>
    <row r="99" spans="1:33" ht="17.25" customHeight="1" outlineLevel="2">
      <c r="A99" s="861"/>
      <c r="B99" s="861"/>
      <c r="C99" s="948">
        <f t="shared" si="46"/>
        <v>15</v>
      </c>
      <c r="D99" s="8" t="s">
        <v>39</v>
      </c>
      <c r="E99" s="878"/>
      <c r="F99" s="144">
        <v>200.12902732096018</v>
      </c>
      <c r="G99" s="878"/>
      <c r="H99" s="878"/>
      <c r="I99" s="947"/>
      <c r="J99" s="965">
        <f t="shared" ref="J99:AG99" si="60">IF(J$7=$C99,$F99,IF(AND(J$82&gt;ROUNDUP($C99/$E$82,0),MOD(J$7-$C99,$E$82)=0),I99*$F$82*(1-$G$82),I99))*J$6</f>
        <v>0</v>
      </c>
      <c r="K99" s="965">
        <f t="shared" si="60"/>
        <v>0</v>
      </c>
      <c r="L99" s="965">
        <f t="shared" si="60"/>
        <v>0</v>
      </c>
      <c r="M99" s="965">
        <f t="shared" si="60"/>
        <v>0</v>
      </c>
      <c r="N99" s="965">
        <f t="shared" si="60"/>
        <v>0</v>
      </c>
      <c r="O99" s="965">
        <f t="shared" si="60"/>
        <v>0</v>
      </c>
      <c r="P99" s="965">
        <f t="shared" si="60"/>
        <v>0</v>
      </c>
      <c r="Q99" s="965">
        <f t="shared" si="60"/>
        <v>0</v>
      </c>
      <c r="R99" s="965">
        <f t="shared" si="60"/>
        <v>0</v>
      </c>
      <c r="S99" s="965">
        <f t="shared" si="60"/>
        <v>0</v>
      </c>
      <c r="T99" s="965">
        <f t="shared" si="60"/>
        <v>0</v>
      </c>
      <c r="U99" s="965">
        <f t="shared" si="60"/>
        <v>0</v>
      </c>
      <c r="V99" s="965">
        <f t="shared" si="60"/>
        <v>0</v>
      </c>
      <c r="W99" s="965">
        <f t="shared" si="60"/>
        <v>0</v>
      </c>
      <c r="X99" s="965">
        <f t="shared" si="60"/>
        <v>200.12902732096018</v>
      </c>
      <c r="Y99" s="965">
        <f t="shared" si="60"/>
        <v>200.12902732096018</v>
      </c>
      <c r="Z99" s="965">
        <f t="shared" si="60"/>
        <v>200.12902732096018</v>
      </c>
      <c r="AA99" s="965">
        <f t="shared" si="60"/>
        <v>152.09806076392974</v>
      </c>
      <c r="AB99" s="965">
        <f t="shared" si="60"/>
        <v>152.09806076392974</v>
      </c>
      <c r="AC99" s="965">
        <f t="shared" si="60"/>
        <v>152.09806076392974</v>
      </c>
      <c r="AD99" s="965">
        <f t="shared" si="60"/>
        <v>115.59452618058661</v>
      </c>
      <c r="AE99" s="965">
        <f t="shared" si="60"/>
        <v>115.59452618058661</v>
      </c>
      <c r="AF99" s="965">
        <f t="shared" si="60"/>
        <v>0</v>
      </c>
      <c r="AG99" s="965">
        <f t="shared" si="60"/>
        <v>0</v>
      </c>
    </row>
    <row r="100" spans="1:33" ht="17.25" customHeight="1" outlineLevel="2">
      <c r="A100" s="861"/>
      <c r="B100" s="861"/>
      <c r="C100" s="948">
        <f t="shared" si="46"/>
        <v>16</v>
      </c>
      <c r="D100" s="8" t="s">
        <v>39</v>
      </c>
      <c r="E100" s="878"/>
      <c r="F100" s="144">
        <v>208.1341884137986</v>
      </c>
      <c r="G100" s="878"/>
      <c r="H100" s="878"/>
      <c r="I100" s="947"/>
      <c r="J100" s="965">
        <f t="shared" ref="J100:AG100" si="61">IF(J$7=$C100,$F100,IF(AND(J$82&gt;ROUNDUP($C100/$E$82,0),MOD(J$7-$C100,$E$82)=0),I100*$F$82*(1-$G$82),I100))*J$6</f>
        <v>0</v>
      </c>
      <c r="K100" s="965">
        <f t="shared" si="61"/>
        <v>0</v>
      </c>
      <c r="L100" s="965">
        <f t="shared" si="61"/>
        <v>0</v>
      </c>
      <c r="M100" s="965">
        <f t="shared" si="61"/>
        <v>0</v>
      </c>
      <c r="N100" s="965">
        <f t="shared" si="61"/>
        <v>0</v>
      </c>
      <c r="O100" s="965">
        <f t="shared" si="61"/>
        <v>0</v>
      </c>
      <c r="P100" s="965">
        <f t="shared" si="61"/>
        <v>0</v>
      </c>
      <c r="Q100" s="965">
        <f t="shared" si="61"/>
        <v>0</v>
      </c>
      <c r="R100" s="965">
        <f t="shared" si="61"/>
        <v>0</v>
      </c>
      <c r="S100" s="965">
        <f t="shared" si="61"/>
        <v>0</v>
      </c>
      <c r="T100" s="965">
        <f t="shared" si="61"/>
        <v>0</v>
      </c>
      <c r="U100" s="965">
        <f t="shared" si="61"/>
        <v>0</v>
      </c>
      <c r="V100" s="965">
        <f t="shared" si="61"/>
        <v>0</v>
      </c>
      <c r="W100" s="965">
        <f t="shared" si="61"/>
        <v>0</v>
      </c>
      <c r="X100" s="965">
        <f t="shared" si="61"/>
        <v>0</v>
      </c>
      <c r="Y100" s="965">
        <f t="shared" si="61"/>
        <v>208.1341884137986</v>
      </c>
      <c r="Z100" s="965">
        <f t="shared" si="61"/>
        <v>208.1341884137986</v>
      </c>
      <c r="AA100" s="965">
        <f t="shared" si="61"/>
        <v>208.1341884137986</v>
      </c>
      <c r="AB100" s="965">
        <f t="shared" si="61"/>
        <v>158.18198319448695</v>
      </c>
      <c r="AC100" s="965">
        <f t="shared" si="61"/>
        <v>158.18198319448695</v>
      </c>
      <c r="AD100" s="965">
        <f t="shared" si="61"/>
        <v>158.18198319448695</v>
      </c>
      <c r="AE100" s="965">
        <f t="shared" si="61"/>
        <v>120.21830722781009</v>
      </c>
      <c r="AF100" s="965">
        <f t="shared" si="61"/>
        <v>0</v>
      </c>
      <c r="AG100" s="965">
        <f t="shared" si="61"/>
        <v>0</v>
      </c>
    </row>
    <row r="101" spans="1:33" ht="17.25" customHeight="1" outlineLevel="2">
      <c r="A101" s="861"/>
      <c r="B101" s="861"/>
      <c r="C101" s="948">
        <f t="shared" si="46"/>
        <v>17</v>
      </c>
      <c r="D101" s="8" t="s">
        <v>39</v>
      </c>
      <c r="E101" s="878"/>
      <c r="F101" s="144">
        <v>216.45955595035053</v>
      </c>
      <c r="G101" s="878"/>
      <c r="H101" s="878"/>
      <c r="I101" s="947"/>
      <c r="J101" s="965">
        <f t="shared" ref="J101:AG101" si="62">IF(J$7=$C101,$F101,IF(AND(J$82&gt;ROUNDUP($C101/$E$82,0),MOD(J$7-$C101,$E$82)=0),I101*$F$82*(1-$G$82),I101))*J$6</f>
        <v>0</v>
      </c>
      <c r="K101" s="965">
        <f t="shared" si="62"/>
        <v>0</v>
      </c>
      <c r="L101" s="965">
        <f t="shared" si="62"/>
        <v>0</v>
      </c>
      <c r="M101" s="965">
        <f t="shared" si="62"/>
        <v>0</v>
      </c>
      <c r="N101" s="965">
        <f t="shared" si="62"/>
        <v>0</v>
      </c>
      <c r="O101" s="965">
        <f t="shared" si="62"/>
        <v>0</v>
      </c>
      <c r="P101" s="965">
        <f t="shared" si="62"/>
        <v>0</v>
      </c>
      <c r="Q101" s="965">
        <f t="shared" si="62"/>
        <v>0</v>
      </c>
      <c r="R101" s="965">
        <f t="shared" si="62"/>
        <v>0</v>
      </c>
      <c r="S101" s="965">
        <f t="shared" si="62"/>
        <v>0</v>
      </c>
      <c r="T101" s="965">
        <f t="shared" si="62"/>
        <v>0</v>
      </c>
      <c r="U101" s="965">
        <f t="shared" si="62"/>
        <v>0</v>
      </c>
      <c r="V101" s="965">
        <f t="shared" si="62"/>
        <v>0</v>
      </c>
      <c r="W101" s="965">
        <f t="shared" si="62"/>
        <v>0</v>
      </c>
      <c r="X101" s="965">
        <f t="shared" si="62"/>
        <v>0</v>
      </c>
      <c r="Y101" s="965">
        <f t="shared" si="62"/>
        <v>0</v>
      </c>
      <c r="Z101" s="965">
        <f t="shared" si="62"/>
        <v>216.45955595035053</v>
      </c>
      <c r="AA101" s="965">
        <f t="shared" si="62"/>
        <v>216.45955595035053</v>
      </c>
      <c r="AB101" s="965">
        <f t="shared" si="62"/>
        <v>216.45955595035053</v>
      </c>
      <c r="AC101" s="965">
        <f t="shared" si="62"/>
        <v>164.50926252226643</v>
      </c>
      <c r="AD101" s="965">
        <f t="shared" si="62"/>
        <v>164.50926252226643</v>
      </c>
      <c r="AE101" s="965">
        <f t="shared" si="62"/>
        <v>164.50926252226643</v>
      </c>
      <c r="AF101" s="965">
        <f t="shared" si="62"/>
        <v>0</v>
      </c>
      <c r="AG101" s="965">
        <f t="shared" si="62"/>
        <v>0</v>
      </c>
    </row>
    <row r="102" spans="1:33" ht="17.25" customHeight="1" outlineLevel="2">
      <c r="A102" s="861"/>
      <c r="B102" s="861"/>
      <c r="C102" s="948">
        <f t="shared" si="46"/>
        <v>18</v>
      </c>
      <c r="D102" s="8" t="s">
        <v>39</v>
      </c>
      <c r="E102" s="878"/>
      <c r="F102" s="144">
        <v>225.11793818836458</v>
      </c>
      <c r="G102" s="878"/>
      <c r="H102" s="878"/>
      <c r="I102" s="947"/>
      <c r="J102" s="965">
        <f t="shared" ref="J102:AG102" si="63">IF(J$7=$C102,$F102,IF(AND(J$82&gt;ROUNDUP($C102/$E$82,0),MOD(J$7-$C102,$E$82)=0),I102*$F$82*(1-$G$82),I102))*J$6</f>
        <v>0</v>
      </c>
      <c r="K102" s="965">
        <f t="shared" si="63"/>
        <v>0</v>
      </c>
      <c r="L102" s="965">
        <f t="shared" si="63"/>
        <v>0</v>
      </c>
      <c r="M102" s="965">
        <f t="shared" si="63"/>
        <v>0</v>
      </c>
      <c r="N102" s="965">
        <f t="shared" si="63"/>
        <v>0</v>
      </c>
      <c r="O102" s="965">
        <f t="shared" si="63"/>
        <v>0</v>
      </c>
      <c r="P102" s="965">
        <f t="shared" si="63"/>
        <v>0</v>
      </c>
      <c r="Q102" s="965">
        <f t="shared" si="63"/>
        <v>0</v>
      </c>
      <c r="R102" s="965">
        <f t="shared" si="63"/>
        <v>0</v>
      </c>
      <c r="S102" s="965">
        <f t="shared" si="63"/>
        <v>0</v>
      </c>
      <c r="T102" s="965">
        <f t="shared" si="63"/>
        <v>0</v>
      </c>
      <c r="U102" s="965">
        <f t="shared" si="63"/>
        <v>0</v>
      </c>
      <c r="V102" s="965">
        <f t="shared" si="63"/>
        <v>0</v>
      </c>
      <c r="W102" s="965">
        <f t="shared" si="63"/>
        <v>0</v>
      </c>
      <c r="X102" s="965">
        <f t="shared" si="63"/>
        <v>0</v>
      </c>
      <c r="Y102" s="965">
        <f t="shared" si="63"/>
        <v>0</v>
      </c>
      <c r="Z102" s="965">
        <f t="shared" si="63"/>
        <v>0</v>
      </c>
      <c r="AA102" s="965">
        <f t="shared" si="63"/>
        <v>225.11793818836458</v>
      </c>
      <c r="AB102" s="965">
        <f t="shared" si="63"/>
        <v>225.11793818836458</v>
      </c>
      <c r="AC102" s="965">
        <f t="shared" si="63"/>
        <v>225.11793818836458</v>
      </c>
      <c r="AD102" s="965">
        <f t="shared" si="63"/>
        <v>171.08963302315709</v>
      </c>
      <c r="AE102" s="965">
        <f t="shared" si="63"/>
        <v>171.08963302315709</v>
      </c>
      <c r="AF102" s="965">
        <f t="shared" si="63"/>
        <v>0</v>
      </c>
      <c r="AG102" s="965">
        <f t="shared" si="63"/>
        <v>0</v>
      </c>
    </row>
    <row r="103" spans="1:33" ht="17.25" customHeight="1" outlineLevel="2">
      <c r="A103" s="861"/>
      <c r="B103" s="861"/>
      <c r="C103" s="948">
        <f t="shared" si="46"/>
        <v>19</v>
      </c>
      <c r="D103" s="8" t="s">
        <v>39</v>
      </c>
      <c r="E103" s="878"/>
      <c r="F103" s="144">
        <v>234.12265571589916</v>
      </c>
      <c r="G103" s="878"/>
      <c r="H103" s="878"/>
      <c r="I103" s="947"/>
      <c r="J103" s="965">
        <f t="shared" ref="J103:AG103" si="64">IF(J$7=$C103,$F103,IF(AND(J$82&gt;ROUNDUP($C103/$E$82,0),MOD(J$7-$C103,$E$82)=0),I103*$F$82*(1-$G$82),I103))*J$6</f>
        <v>0</v>
      </c>
      <c r="K103" s="965">
        <f t="shared" si="64"/>
        <v>0</v>
      </c>
      <c r="L103" s="965">
        <f t="shared" si="64"/>
        <v>0</v>
      </c>
      <c r="M103" s="965">
        <f t="shared" si="64"/>
        <v>0</v>
      </c>
      <c r="N103" s="965">
        <f t="shared" si="64"/>
        <v>0</v>
      </c>
      <c r="O103" s="965">
        <f t="shared" si="64"/>
        <v>0</v>
      </c>
      <c r="P103" s="965">
        <f t="shared" si="64"/>
        <v>0</v>
      </c>
      <c r="Q103" s="965">
        <f t="shared" si="64"/>
        <v>0</v>
      </c>
      <c r="R103" s="965">
        <f t="shared" si="64"/>
        <v>0</v>
      </c>
      <c r="S103" s="965">
        <f t="shared" si="64"/>
        <v>0</v>
      </c>
      <c r="T103" s="965">
        <f t="shared" si="64"/>
        <v>0</v>
      </c>
      <c r="U103" s="965">
        <f t="shared" si="64"/>
        <v>0</v>
      </c>
      <c r="V103" s="965">
        <f t="shared" si="64"/>
        <v>0</v>
      </c>
      <c r="W103" s="965">
        <f t="shared" si="64"/>
        <v>0</v>
      </c>
      <c r="X103" s="965">
        <f t="shared" si="64"/>
        <v>0</v>
      </c>
      <c r="Y103" s="965">
        <f t="shared" si="64"/>
        <v>0</v>
      </c>
      <c r="Z103" s="965">
        <f t="shared" si="64"/>
        <v>0</v>
      </c>
      <c r="AA103" s="965">
        <f t="shared" si="64"/>
        <v>0</v>
      </c>
      <c r="AB103" s="965">
        <f t="shared" si="64"/>
        <v>234.12265571589916</v>
      </c>
      <c r="AC103" s="965">
        <f t="shared" si="64"/>
        <v>234.12265571589916</v>
      </c>
      <c r="AD103" s="965">
        <f t="shared" si="64"/>
        <v>234.12265571589916</v>
      </c>
      <c r="AE103" s="965">
        <f t="shared" si="64"/>
        <v>177.93321834408334</v>
      </c>
      <c r="AF103" s="965">
        <f t="shared" si="64"/>
        <v>0</v>
      </c>
      <c r="AG103" s="965">
        <f t="shared" si="64"/>
        <v>0</v>
      </c>
    </row>
    <row r="104" spans="1:33" ht="17.25" customHeight="1" outlineLevel="2">
      <c r="A104" s="861"/>
      <c r="B104" s="861"/>
      <c r="C104" s="948">
        <f t="shared" si="46"/>
        <v>20</v>
      </c>
      <c r="D104" s="8" t="s">
        <v>39</v>
      </c>
      <c r="E104" s="878"/>
      <c r="F104" s="144">
        <v>243.48756194453514</v>
      </c>
      <c r="G104" s="878"/>
      <c r="H104" s="878"/>
      <c r="I104" s="947"/>
      <c r="J104" s="965">
        <f t="shared" ref="J104:AG104" si="65">IF(J$7=$C104,$F104,IF(AND(J$82&gt;ROUNDUP($C104/$E$82,0),MOD(J$7-$C104,$E$82)=0),I104*$F$82*(1-$G$82),I104))*J$6</f>
        <v>0</v>
      </c>
      <c r="K104" s="965">
        <f t="shared" si="65"/>
        <v>0</v>
      </c>
      <c r="L104" s="965">
        <f t="shared" si="65"/>
        <v>0</v>
      </c>
      <c r="M104" s="965">
        <f t="shared" si="65"/>
        <v>0</v>
      </c>
      <c r="N104" s="965">
        <f t="shared" si="65"/>
        <v>0</v>
      </c>
      <c r="O104" s="965">
        <f t="shared" si="65"/>
        <v>0</v>
      </c>
      <c r="P104" s="965">
        <f t="shared" si="65"/>
        <v>0</v>
      </c>
      <c r="Q104" s="965">
        <f t="shared" si="65"/>
        <v>0</v>
      </c>
      <c r="R104" s="965">
        <f t="shared" si="65"/>
        <v>0</v>
      </c>
      <c r="S104" s="965">
        <f t="shared" si="65"/>
        <v>0</v>
      </c>
      <c r="T104" s="965">
        <f t="shared" si="65"/>
        <v>0</v>
      </c>
      <c r="U104" s="965">
        <f t="shared" si="65"/>
        <v>0</v>
      </c>
      <c r="V104" s="965">
        <f t="shared" si="65"/>
        <v>0</v>
      </c>
      <c r="W104" s="965">
        <f t="shared" si="65"/>
        <v>0</v>
      </c>
      <c r="X104" s="965">
        <f t="shared" si="65"/>
        <v>0</v>
      </c>
      <c r="Y104" s="965">
        <f t="shared" si="65"/>
        <v>0</v>
      </c>
      <c r="Z104" s="965">
        <f t="shared" si="65"/>
        <v>0</v>
      </c>
      <c r="AA104" s="965">
        <f t="shared" si="65"/>
        <v>0</v>
      </c>
      <c r="AB104" s="965">
        <f t="shared" si="65"/>
        <v>0</v>
      </c>
      <c r="AC104" s="965">
        <f t="shared" si="65"/>
        <v>243.48756194453514</v>
      </c>
      <c r="AD104" s="965">
        <f t="shared" si="65"/>
        <v>243.48756194453514</v>
      </c>
      <c r="AE104" s="965">
        <f t="shared" si="65"/>
        <v>243.48756194453514</v>
      </c>
      <c r="AF104" s="965">
        <f t="shared" si="65"/>
        <v>0</v>
      </c>
      <c r="AG104" s="965">
        <f t="shared" si="65"/>
        <v>0</v>
      </c>
    </row>
    <row r="105" spans="1:33" ht="17.25" customHeight="1" outlineLevel="2">
      <c r="A105" s="861"/>
      <c r="B105" s="861"/>
      <c r="C105" s="948">
        <f t="shared" si="46"/>
        <v>21</v>
      </c>
      <c r="D105" s="8" t="s">
        <v>39</v>
      </c>
      <c r="E105" s="878"/>
      <c r="F105" s="144">
        <v>253.22706442231657</v>
      </c>
      <c r="G105" s="878"/>
      <c r="H105" s="878"/>
      <c r="I105" s="947"/>
      <c r="J105" s="965">
        <f t="shared" ref="J105:AG105" si="66">IF(J$7=$C105,$F105,IF(AND(J$82&gt;ROUNDUP($C105/$E$82,0),MOD(J$7-$C105,$E$82)=0),I105*$F$82*(1-$G$82),I105))*J$6</f>
        <v>0</v>
      </c>
      <c r="K105" s="965">
        <f t="shared" si="66"/>
        <v>0</v>
      </c>
      <c r="L105" s="965">
        <f t="shared" si="66"/>
        <v>0</v>
      </c>
      <c r="M105" s="965">
        <f t="shared" si="66"/>
        <v>0</v>
      </c>
      <c r="N105" s="965">
        <f t="shared" si="66"/>
        <v>0</v>
      </c>
      <c r="O105" s="965">
        <f t="shared" si="66"/>
        <v>0</v>
      </c>
      <c r="P105" s="965">
        <f t="shared" si="66"/>
        <v>0</v>
      </c>
      <c r="Q105" s="965">
        <f t="shared" si="66"/>
        <v>0</v>
      </c>
      <c r="R105" s="965">
        <f t="shared" si="66"/>
        <v>0</v>
      </c>
      <c r="S105" s="965">
        <f t="shared" si="66"/>
        <v>0</v>
      </c>
      <c r="T105" s="965">
        <f t="shared" si="66"/>
        <v>0</v>
      </c>
      <c r="U105" s="965">
        <f t="shared" si="66"/>
        <v>0</v>
      </c>
      <c r="V105" s="965">
        <f t="shared" si="66"/>
        <v>0</v>
      </c>
      <c r="W105" s="965">
        <f t="shared" si="66"/>
        <v>0</v>
      </c>
      <c r="X105" s="965">
        <f t="shared" si="66"/>
        <v>0</v>
      </c>
      <c r="Y105" s="965">
        <f t="shared" si="66"/>
        <v>0</v>
      </c>
      <c r="Z105" s="965">
        <f t="shared" si="66"/>
        <v>0</v>
      </c>
      <c r="AA105" s="965">
        <f t="shared" si="66"/>
        <v>0</v>
      </c>
      <c r="AB105" s="965">
        <f t="shared" si="66"/>
        <v>0</v>
      </c>
      <c r="AC105" s="965">
        <f t="shared" si="66"/>
        <v>0</v>
      </c>
      <c r="AD105" s="965">
        <f t="shared" si="66"/>
        <v>253.22706442231657</v>
      </c>
      <c r="AE105" s="965">
        <f t="shared" si="66"/>
        <v>253.22706442231657</v>
      </c>
      <c r="AF105" s="965">
        <f t="shared" si="66"/>
        <v>0</v>
      </c>
      <c r="AG105" s="965">
        <f t="shared" si="66"/>
        <v>0</v>
      </c>
    </row>
    <row r="106" spans="1:33" ht="17.25" customHeight="1" outlineLevel="2">
      <c r="A106" s="861"/>
      <c r="B106" s="861"/>
      <c r="C106" s="948">
        <f t="shared" si="46"/>
        <v>22</v>
      </c>
      <c r="D106" s="8" t="s">
        <v>39</v>
      </c>
      <c r="E106" s="878"/>
      <c r="F106" s="144">
        <v>263.35614699920927</v>
      </c>
      <c r="G106" s="878"/>
      <c r="H106" s="878"/>
      <c r="I106" s="947"/>
      <c r="J106" s="965">
        <f t="shared" ref="J106:AG106" si="67">IF(J$7=$C106,$F106,IF(AND(J$82&gt;ROUNDUP($C106/$E$82,0),MOD(J$7-$C106,$E$82)=0),I106*$F$82*(1-$G$82),I106))*J$6</f>
        <v>0</v>
      </c>
      <c r="K106" s="965">
        <f t="shared" si="67"/>
        <v>0</v>
      </c>
      <c r="L106" s="965">
        <f t="shared" si="67"/>
        <v>0</v>
      </c>
      <c r="M106" s="965">
        <f t="shared" si="67"/>
        <v>0</v>
      </c>
      <c r="N106" s="965">
        <f t="shared" si="67"/>
        <v>0</v>
      </c>
      <c r="O106" s="965">
        <f t="shared" si="67"/>
        <v>0</v>
      </c>
      <c r="P106" s="965">
        <f t="shared" si="67"/>
        <v>0</v>
      </c>
      <c r="Q106" s="965">
        <f t="shared" si="67"/>
        <v>0</v>
      </c>
      <c r="R106" s="965">
        <f t="shared" si="67"/>
        <v>0</v>
      </c>
      <c r="S106" s="965">
        <f t="shared" si="67"/>
        <v>0</v>
      </c>
      <c r="T106" s="965">
        <f t="shared" si="67"/>
        <v>0</v>
      </c>
      <c r="U106" s="965">
        <f t="shared" si="67"/>
        <v>0</v>
      </c>
      <c r="V106" s="965">
        <f t="shared" si="67"/>
        <v>0</v>
      </c>
      <c r="W106" s="965">
        <f t="shared" si="67"/>
        <v>0</v>
      </c>
      <c r="X106" s="965">
        <f t="shared" si="67"/>
        <v>0</v>
      </c>
      <c r="Y106" s="965">
        <f t="shared" si="67"/>
        <v>0</v>
      </c>
      <c r="Z106" s="965">
        <f t="shared" si="67"/>
        <v>0</v>
      </c>
      <c r="AA106" s="965">
        <f t="shared" si="67"/>
        <v>0</v>
      </c>
      <c r="AB106" s="965">
        <f t="shared" si="67"/>
        <v>0</v>
      </c>
      <c r="AC106" s="965">
        <f t="shared" si="67"/>
        <v>0</v>
      </c>
      <c r="AD106" s="965">
        <f t="shared" si="67"/>
        <v>0</v>
      </c>
      <c r="AE106" s="965">
        <f t="shared" si="67"/>
        <v>263.35614699920927</v>
      </c>
      <c r="AF106" s="965">
        <f t="shared" si="67"/>
        <v>0</v>
      </c>
      <c r="AG106" s="965">
        <f t="shared" si="67"/>
        <v>0</v>
      </c>
    </row>
    <row r="107" spans="1:33" ht="17.25" customHeight="1" outlineLevel="2">
      <c r="A107" s="861"/>
      <c r="B107" s="861"/>
      <c r="C107" s="948">
        <f t="shared" si="46"/>
        <v>23</v>
      </c>
      <c r="D107" s="8" t="s">
        <v>39</v>
      </c>
      <c r="E107" s="878"/>
      <c r="F107" s="144">
        <v>273.89039287917763</v>
      </c>
      <c r="G107" s="878"/>
      <c r="H107" s="878"/>
      <c r="I107" s="947"/>
      <c r="J107" s="965">
        <f t="shared" ref="J107:AG107" si="68">IF(J$7=$C107,$F107,IF(AND(J$82&gt;ROUNDUP($C107/$E$82,0),MOD(J$7-$C107,$E$82)=0),I107*$F$82*(1-$G$82),I107))*J$6</f>
        <v>0</v>
      </c>
      <c r="K107" s="965">
        <f t="shared" si="68"/>
        <v>0</v>
      </c>
      <c r="L107" s="965">
        <f t="shared" si="68"/>
        <v>0</v>
      </c>
      <c r="M107" s="965">
        <f t="shared" si="68"/>
        <v>0</v>
      </c>
      <c r="N107" s="965">
        <f t="shared" si="68"/>
        <v>0</v>
      </c>
      <c r="O107" s="965">
        <f t="shared" si="68"/>
        <v>0</v>
      </c>
      <c r="P107" s="965">
        <f t="shared" si="68"/>
        <v>0</v>
      </c>
      <c r="Q107" s="965">
        <f t="shared" si="68"/>
        <v>0</v>
      </c>
      <c r="R107" s="965">
        <f t="shared" si="68"/>
        <v>0</v>
      </c>
      <c r="S107" s="965">
        <f t="shared" si="68"/>
        <v>0</v>
      </c>
      <c r="T107" s="965">
        <f t="shared" si="68"/>
        <v>0</v>
      </c>
      <c r="U107" s="965">
        <f t="shared" si="68"/>
        <v>0</v>
      </c>
      <c r="V107" s="965">
        <f t="shared" si="68"/>
        <v>0</v>
      </c>
      <c r="W107" s="965">
        <f t="shared" si="68"/>
        <v>0</v>
      </c>
      <c r="X107" s="965">
        <f t="shared" si="68"/>
        <v>0</v>
      </c>
      <c r="Y107" s="965">
        <f t="shared" si="68"/>
        <v>0</v>
      </c>
      <c r="Z107" s="965">
        <f t="shared" si="68"/>
        <v>0</v>
      </c>
      <c r="AA107" s="965">
        <f t="shared" si="68"/>
        <v>0</v>
      </c>
      <c r="AB107" s="965">
        <f t="shared" si="68"/>
        <v>0</v>
      </c>
      <c r="AC107" s="965">
        <f t="shared" si="68"/>
        <v>0</v>
      </c>
      <c r="AD107" s="965">
        <f t="shared" si="68"/>
        <v>0</v>
      </c>
      <c r="AE107" s="965">
        <f t="shared" si="68"/>
        <v>0</v>
      </c>
      <c r="AF107" s="965">
        <f t="shared" si="68"/>
        <v>0</v>
      </c>
      <c r="AG107" s="965">
        <f t="shared" si="68"/>
        <v>0</v>
      </c>
    </row>
    <row r="108" spans="1:33" ht="17.25" customHeight="1" outlineLevel="2">
      <c r="A108" s="861"/>
      <c r="B108" s="861"/>
      <c r="C108" s="948">
        <f t="shared" si="46"/>
        <v>24</v>
      </c>
      <c r="D108" s="8" t="s">
        <v>39</v>
      </c>
      <c r="E108" s="878"/>
      <c r="F108" s="144">
        <v>284.84600859434477</v>
      </c>
      <c r="G108" s="878"/>
      <c r="H108" s="878"/>
      <c r="I108" s="947"/>
      <c r="J108" s="965">
        <f t="shared" ref="J108:AG108" si="69">IF(J$7=$C108,$F108,IF(AND(J$82&gt;ROUNDUP($C108/$E$82,0),MOD(J$7-$C108,$E$82)=0),I108*$F$82*(1-$G$82),I108))*J$6</f>
        <v>0</v>
      </c>
      <c r="K108" s="965">
        <f t="shared" si="69"/>
        <v>0</v>
      </c>
      <c r="L108" s="965">
        <f t="shared" si="69"/>
        <v>0</v>
      </c>
      <c r="M108" s="965">
        <f t="shared" si="69"/>
        <v>0</v>
      </c>
      <c r="N108" s="965">
        <f t="shared" si="69"/>
        <v>0</v>
      </c>
      <c r="O108" s="965">
        <f t="shared" si="69"/>
        <v>0</v>
      </c>
      <c r="P108" s="965">
        <f t="shared" si="69"/>
        <v>0</v>
      </c>
      <c r="Q108" s="965">
        <f t="shared" si="69"/>
        <v>0</v>
      </c>
      <c r="R108" s="965">
        <f t="shared" si="69"/>
        <v>0</v>
      </c>
      <c r="S108" s="965">
        <f t="shared" si="69"/>
        <v>0</v>
      </c>
      <c r="T108" s="965">
        <f t="shared" si="69"/>
        <v>0</v>
      </c>
      <c r="U108" s="965">
        <f t="shared" si="69"/>
        <v>0</v>
      </c>
      <c r="V108" s="965">
        <f t="shared" si="69"/>
        <v>0</v>
      </c>
      <c r="W108" s="965">
        <f t="shared" si="69"/>
        <v>0</v>
      </c>
      <c r="X108" s="965">
        <f t="shared" si="69"/>
        <v>0</v>
      </c>
      <c r="Y108" s="965">
        <f t="shared" si="69"/>
        <v>0</v>
      </c>
      <c r="Z108" s="965">
        <f t="shared" si="69"/>
        <v>0</v>
      </c>
      <c r="AA108" s="965">
        <f t="shared" si="69"/>
        <v>0</v>
      </c>
      <c r="AB108" s="965">
        <f t="shared" si="69"/>
        <v>0</v>
      </c>
      <c r="AC108" s="965">
        <f t="shared" si="69"/>
        <v>0</v>
      </c>
      <c r="AD108" s="965">
        <f t="shared" si="69"/>
        <v>0</v>
      </c>
      <c r="AE108" s="965">
        <f t="shared" si="69"/>
        <v>0</v>
      </c>
      <c r="AF108" s="965">
        <f t="shared" si="69"/>
        <v>0</v>
      </c>
      <c r="AG108" s="965">
        <f t="shared" si="69"/>
        <v>0</v>
      </c>
    </row>
    <row r="109" spans="1:33" ht="17.25" customHeight="1" outlineLevel="2">
      <c r="A109" s="861"/>
      <c r="B109" s="861"/>
      <c r="C109" s="944" t="s">
        <v>746</v>
      </c>
      <c r="D109" s="8" t="s">
        <v>39</v>
      </c>
      <c r="E109" s="318"/>
      <c r="F109" s="344"/>
      <c r="G109" s="344"/>
      <c r="H109" s="344"/>
      <c r="I109" s="947"/>
      <c r="J109" s="942">
        <f t="shared" ref="J109:AG109" si="70">SUM(J85:J108)</f>
        <v>170</v>
      </c>
      <c r="K109" s="942">
        <f t="shared" si="70"/>
        <v>270</v>
      </c>
      <c r="L109" s="942">
        <f t="shared" si="70"/>
        <v>395</v>
      </c>
      <c r="M109" s="942">
        <f t="shared" si="70"/>
        <v>484.20000000000005</v>
      </c>
      <c r="N109" s="942">
        <f t="shared" si="70"/>
        <v>595.40000000000009</v>
      </c>
      <c r="O109" s="942">
        <f t="shared" si="70"/>
        <v>706.00800000000015</v>
      </c>
      <c r="P109" s="942">
        <f t="shared" si="70"/>
        <v>790.03232000000014</v>
      </c>
      <c r="Q109" s="942">
        <f t="shared" si="70"/>
        <v>891.42593280000017</v>
      </c>
      <c r="R109" s="942">
        <f t="shared" si="70"/>
        <v>993.04489011200019</v>
      </c>
      <c r="S109" s="942">
        <f t="shared" si="70"/>
        <v>1075.1625257164801</v>
      </c>
      <c r="T109" s="942">
        <f t="shared" si="70"/>
        <v>1171.2111899451395</v>
      </c>
      <c r="U109" s="942">
        <f t="shared" si="70"/>
        <v>1268.1906967429452</v>
      </c>
      <c r="V109" s="942">
        <f t="shared" si="70"/>
        <v>1351.1391630126629</v>
      </c>
      <c r="W109" s="942">
        <f t="shared" si="70"/>
        <v>1445.4967735651694</v>
      </c>
      <c r="X109" s="942">
        <f t="shared" si="70"/>
        <v>1541.4162494997763</v>
      </c>
      <c r="Y109" s="942">
        <f t="shared" si="70"/>
        <v>1627.5607366637673</v>
      </c>
      <c r="Z109" s="942">
        <f t="shared" si="70"/>
        <v>1723.300319594638</v>
      </c>
      <c r="AA109" s="942">
        <f t="shared" si="70"/>
        <v>1821.1880321723436</v>
      </c>
      <c r="AB109" s="942">
        <f t="shared" si="70"/>
        <v>1912.6463097190774</v>
      </c>
      <c r="AC109" s="942">
        <f t="shared" si="70"/>
        <v>2012.4363987407237</v>
      </c>
      <c r="AD109" s="942">
        <f t="shared" si="70"/>
        <v>2114.9401865337322</v>
      </c>
      <c r="AE109" s="942">
        <f t="shared" si="70"/>
        <v>2213.6819687525599</v>
      </c>
      <c r="AF109" s="942">
        <f t="shared" si="70"/>
        <v>0</v>
      </c>
      <c r="AG109" s="942">
        <f t="shared" si="70"/>
        <v>0</v>
      </c>
    </row>
    <row r="110" spans="1:33" ht="17.25" customHeight="1" outlineLevel="2">
      <c r="A110" s="861"/>
      <c r="B110" s="861"/>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row>
    <row r="111" spans="1:33" ht="17.25" customHeight="1" outlineLevel="1">
      <c r="A111" s="861"/>
      <c r="B111" s="268" t="s">
        <v>34</v>
      </c>
      <c r="C111" s="268" t="s">
        <v>745</v>
      </c>
      <c r="D111" s="861"/>
      <c r="E111" s="861"/>
      <c r="F111" s="861"/>
      <c r="G111" s="861"/>
      <c r="H111" s="861"/>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row>
    <row r="112" spans="1:33" ht="17.25" customHeight="1" outlineLevel="2">
      <c r="A112" s="861"/>
      <c r="B112" s="861"/>
      <c r="C112" s="945">
        <v>1</v>
      </c>
      <c r="D112" s="8" t="s">
        <v>39</v>
      </c>
      <c r="E112" s="878"/>
      <c r="F112" s="800"/>
      <c r="G112" s="800"/>
      <c r="H112" s="800"/>
      <c r="I112" s="943">
        <f t="shared" ref="I112:I135" ca="1" si="71">SUM(J112:AG112)</f>
        <v>30.229826922495995</v>
      </c>
      <c r="J112" s="965">
        <f t="shared" ref="J112:AG112" ca="1" si="72">IF(AND(MOD(J$7-$C112,$E$82)=0,J$82&gt;ROUNDUP($C112/$E$82,0)),OFFSET(J85,0,-$E$82)-J85-J139,0)*J$6</f>
        <v>0</v>
      </c>
      <c r="K112" s="965">
        <f t="shared" ca="1" si="72"/>
        <v>0</v>
      </c>
      <c r="L112" s="965">
        <f t="shared" ca="1" si="72"/>
        <v>0</v>
      </c>
      <c r="M112" s="965">
        <f t="shared" ca="1" si="72"/>
        <v>8.4999999999999787</v>
      </c>
      <c r="N112" s="965">
        <f t="shared" ca="1" si="72"/>
        <v>0</v>
      </c>
      <c r="O112" s="965">
        <f t="shared" ca="1" si="72"/>
        <v>0</v>
      </c>
      <c r="P112" s="965">
        <f t="shared" ca="1" si="72"/>
        <v>6.460000000000008</v>
      </c>
      <c r="Q112" s="965">
        <f t="shared" ca="1" si="72"/>
        <v>0</v>
      </c>
      <c r="R112" s="965">
        <f t="shared" ca="1" si="72"/>
        <v>0</v>
      </c>
      <c r="S112" s="965">
        <f t="shared" ca="1" si="72"/>
        <v>4.9096000000000153</v>
      </c>
      <c r="T112" s="965">
        <f t="shared" ca="1" si="72"/>
        <v>0</v>
      </c>
      <c r="U112" s="965">
        <f t="shared" ca="1" si="72"/>
        <v>0</v>
      </c>
      <c r="V112" s="965">
        <f t="shared" ca="1" si="72"/>
        <v>3.7312959999999986</v>
      </c>
      <c r="W112" s="965">
        <f t="shared" ca="1" si="72"/>
        <v>0</v>
      </c>
      <c r="X112" s="965">
        <f t="shared" ca="1" si="72"/>
        <v>0</v>
      </c>
      <c r="Y112" s="965">
        <f t="shared" ca="1" si="72"/>
        <v>2.8357849600000051</v>
      </c>
      <c r="Z112" s="965">
        <f t="shared" ca="1" si="72"/>
        <v>0</v>
      </c>
      <c r="AA112" s="965">
        <f t="shared" ca="1" si="72"/>
        <v>0</v>
      </c>
      <c r="AB112" s="965">
        <f t="shared" ca="1" si="72"/>
        <v>2.1551965695999957</v>
      </c>
      <c r="AC112" s="965">
        <f t="shared" ca="1" si="72"/>
        <v>0</v>
      </c>
      <c r="AD112" s="965">
        <f t="shared" ca="1" si="72"/>
        <v>0</v>
      </c>
      <c r="AE112" s="965">
        <f t="shared" ca="1" si="72"/>
        <v>1.6379493928959974</v>
      </c>
      <c r="AF112" s="965">
        <f t="shared" ca="1" si="72"/>
        <v>0</v>
      </c>
      <c r="AG112" s="965">
        <f t="shared" ca="1" si="72"/>
        <v>0</v>
      </c>
    </row>
    <row r="113" spans="1:33" ht="17.25" customHeight="1" outlineLevel="2">
      <c r="A113" s="861"/>
      <c r="B113" s="861"/>
      <c r="C113" s="945">
        <f t="shared" ref="C113:C135" si="73">C112+1</f>
        <v>2</v>
      </c>
      <c r="D113" s="8" t="s">
        <v>39</v>
      </c>
      <c r="E113" s="878"/>
      <c r="F113" s="800"/>
      <c r="G113" s="800"/>
      <c r="H113" s="800"/>
      <c r="I113" s="943">
        <f t="shared" ca="1" si="71"/>
        <v>16.818751488</v>
      </c>
      <c r="J113" s="965">
        <f t="shared" ref="J113:AG113" ca="1" si="74">IF(AND(MOD(J$7-$C113,$E$82)=0,J$82&gt;ROUNDUP($C113/$E$82,0)),OFFSET(J86,0,-$E$82)-J86-J140,0)*J$6</f>
        <v>0</v>
      </c>
      <c r="K113" s="965">
        <f t="shared" ca="1" si="74"/>
        <v>0</v>
      </c>
      <c r="L113" s="965">
        <f t="shared" ca="1" si="74"/>
        <v>0</v>
      </c>
      <c r="M113" s="965">
        <f t="shared" ca="1" si="74"/>
        <v>0</v>
      </c>
      <c r="N113" s="965">
        <f t="shared" ca="1" si="74"/>
        <v>5</v>
      </c>
      <c r="O113" s="965">
        <f t="shared" ca="1" si="74"/>
        <v>0</v>
      </c>
      <c r="P113" s="965">
        <f t="shared" ca="1" si="74"/>
        <v>0</v>
      </c>
      <c r="Q113" s="965">
        <f t="shared" ca="1" si="74"/>
        <v>3.7999999999999936</v>
      </c>
      <c r="R113" s="965">
        <f t="shared" ca="1" si="74"/>
        <v>0</v>
      </c>
      <c r="S113" s="965">
        <f t="shared" ca="1" si="74"/>
        <v>0</v>
      </c>
      <c r="T113" s="965">
        <f t="shared" ca="1" si="74"/>
        <v>2.8879999999999999</v>
      </c>
      <c r="U113" s="965">
        <f t="shared" ca="1" si="74"/>
        <v>0</v>
      </c>
      <c r="V113" s="965">
        <f t="shared" ca="1" si="74"/>
        <v>0</v>
      </c>
      <c r="W113" s="965">
        <f t="shared" ca="1" si="74"/>
        <v>2.1948800000000066</v>
      </c>
      <c r="X113" s="965">
        <f t="shared" ca="1" si="74"/>
        <v>0</v>
      </c>
      <c r="Y113" s="965">
        <f t="shared" ca="1" si="74"/>
        <v>0</v>
      </c>
      <c r="Z113" s="965">
        <f t="shared" ca="1" si="74"/>
        <v>1.6681088000000024</v>
      </c>
      <c r="AA113" s="965">
        <f t="shared" ca="1" si="74"/>
        <v>0</v>
      </c>
      <c r="AB113" s="965">
        <f t="shared" ca="1" si="74"/>
        <v>0</v>
      </c>
      <c r="AC113" s="965">
        <f t="shared" ca="1" si="74"/>
        <v>1.2677626879999986</v>
      </c>
      <c r="AD113" s="965">
        <f t="shared" ca="1" si="74"/>
        <v>0</v>
      </c>
      <c r="AE113" s="965">
        <f t="shared" ca="1" si="74"/>
        <v>0</v>
      </c>
      <c r="AF113" s="965">
        <f t="shared" ca="1" si="74"/>
        <v>0</v>
      </c>
      <c r="AG113" s="965">
        <f t="shared" ca="1" si="74"/>
        <v>0</v>
      </c>
    </row>
    <row r="114" spans="1:33" ht="17.25" customHeight="1" outlineLevel="2">
      <c r="A114" s="861"/>
      <c r="B114" s="861"/>
      <c r="C114" s="945">
        <f t="shared" si="73"/>
        <v>3</v>
      </c>
      <c r="D114" s="8" t="s">
        <v>39</v>
      </c>
      <c r="E114" s="878"/>
      <c r="F114" s="800"/>
      <c r="G114" s="800"/>
      <c r="H114" s="800"/>
      <c r="I114" s="943">
        <f t="shared" ca="1" si="71"/>
        <v>21.02343935999999</v>
      </c>
      <c r="J114" s="965">
        <f t="shared" ref="J114:AG114" ca="1" si="75">IF(AND(MOD(J$7-$C114,$E$82)=0,J$82&gt;ROUNDUP($C114/$E$82,0)),OFFSET(J87,0,-$E$82)-J87-J141,0)*J$6</f>
        <v>0</v>
      </c>
      <c r="K114" s="965">
        <f t="shared" ca="1" si="75"/>
        <v>0</v>
      </c>
      <c r="L114" s="965">
        <f t="shared" ca="1" si="75"/>
        <v>0</v>
      </c>
      <c r="M114" s="965">
        <f t="shared" ca="1" si="75"/>
        <v>0</v>
      </c>
      <c r="N114" s="965">
        <f t="shared" ca="1" si="75"/>
        <v>0</v>
      </c>
      <c r="O114" s="965">
        <f t="shared" ca="1" si="75"/>
        <v>6.25</v>
      </c>
      <c r="P114" s="965">
        <f t="shared" ca="1" si="75"/>
        <v>0</v>
      </c>
      <c r="Q114" s="965">
        <f t="shared" ca="1" si="75"/>
        <v>0</v>
      </c>
      <c r="R114" s="965">
        <f t="shared" ca="1" si="75"/>
        <v>4.7499999999999964</v>
      </c>
      <c r="S114" s="965">
        <f t="shared" ca="1" si="75"/>
        <v>0</v>
      </c>
      <c r="T114" s="965">
        <f t="shared" ca="1" si="75"/>
        <v>0</v>
      </c>
      <c r="U114" s="965">
        <f t="shared" ca="1" si="75"/>
        <v>3.6099999999999941</v>
      </c>
      <c r="V114" s="965">
        <f t="shared" ca="1" si="75"/>
        <v>0</v>
      </c>
      <c r="W114" s="965">
        <f t="shared" ca="1" si="75"/>
        <v>0</v>
      </c>
      <c r="X114" s="965">
        <f t="shared" ca="1" si="75"/>
        <v>2.7435999999999989</v>
      </c>
      <c r="Y114" s="965">
        <f t="shared" ca="1" si="75"/>
        <v>0</v>
      </c>
      <c r="Z114" s="965">
        <f t="shared" ca="1" si="75"/>
        <v>0</v>
      </c>
      <c r="AA114" s="965">
        <f t="shared" ca="1" si="75"/>
        <v>2.085136000000003</v>
      </c>
      <c r="AB114" s="965">
        <f t="shared" ca="1" si="75"/>
        <v>0</v>
      </c>
      <c r="AC114" s="965">
        <f t="shared" ca="1" si="75"/>
        <v>0</v>
      </c>
      <c r="AD114" s="965">
        <f t="shared" ca="1" si="75"/>
        <v>1.5847033599999998</v>
      </c>
      <c r="AE114" s="965">
        <f t="shared" ca="1" si="75"/>
        <v>0</v>
      </c>
      <c r="AF114" s="965">
        <f t="shared" ca="1" si="75"/>
        <v>0</v>
      </c>
      <c r="AG114" s="965">
        <f t="shared" ca="1" si="75"/>
        <v>0</v>
      </c>
    </row>
    <row r="115" spans="1:33" ht="17.25" customHeight="1" outlineLevel="2">
      <c r="A115" s="861"/>
      <c r="B115" s="861"/>
      <c r="C115" s="945">
        <f t="shared" si="73"/>
        <v>4</v>
      </c>
      <c r="D115" s="8" t="s">
        <v>39</v>
      </c>
      <c r="E115" s="878"/>
      <c r="F115" s="800"/>
      <c r="G115" s="800"/>
      <c r="H115" s="800"/>
      <c r="I115" s="943">
        <f t="shared" ca="1" si="71"/>
        <v>21.864376934399989</v>
      </c>
      <c r="J115" s="965">
        <f t="shared" ref="J115:AG115" ca="1" si="76">IF(AND(MOD(J$7-$C115,$E$82)=0,J$82&gt;ROUNDUP($C115/$E$82,0)),OFFSET(J88,0,-$E$82)-J88-J142,0)*J$6</f>
        <v>0</v>
      </c>
      <c r="K115" s="965">
        <f t="shared" ca="1" si="76"/>
        <v>0</v>
      </c>
      <c r="L115" s="965">
        <f t="shared" ca="1" si="76"/>
        <v>0</v>
      </c>
      <c r="M115" s="965">
        <f t="shared" ca="1" si="76"/>
        <v>0</v>
      </c>
      <c r="N115" s="965">
        <f t="shared" ca="1" si="76"/>
        <v>0</v>
      </c>
      <c r="O115" s="965">
        <f t="shared" ca="1" si="76"/>
        <v>0</v>
      </c>
      <c r="P115" s="965">
        <f t="shared" ca="1" si="76"/>
        <v>6.4999999999999858</v>
      </c>
      <c r="Q115" s="965">
        <f t="shared" ca="1" si="76"/>
        <v>0</v>
      </c>
      <c r="R115" s="965">
        <f t="shared" ca="1" si="76"/>
        <v>0</v>
      </c>
      <c r="S115" s="965">
        <f t="shared" ca="1" si="76"/>
        <v>4.9400000000000013</v>
      </c>
      <c r="T115" s="965">
        <f t="shared" ca="1" si="76"/>
        <v>0</v>
      </c>
      <c r="U115" s="965">
        <f t="shared" ca="1" si="76"/>
        <v>0</v>
      </c>
      <c r="V115" s="965">
        <f t="shared" ca="1" si="76"/>
        <v>3.7544000000000022</v>
      </c>
      <c r="W115" s="965">
        <f t="shared" ca="1" si="76"/>
        <v>0</v>
      </c>
      <c r="X115" s="965">
        <f t="shared" ca="1" si="76"/>
        <v>0</v>
      </c>
      <c r="Y115" s="965">
        <f t="shared" ca="1" si="76"/>
        <v>2.8533439999999981</v>
      </c>
      <c r="Z115" s="965">
        <f t="shared" ca="1" si="76"/>
        <v>0</v>
      </c>
      <c r="AA115" s="965">
        <f t="shared" ca="1" si="76"/>
        <v>0</v>
      </c>
      <c r="AB115" s="965">
        <f t="shared" ca="1" si="76"/>
        <v>2.1685414400000003</v>
      </c>
      <c r="AC115" s="965">
        <f t="shared" ca="1" si="76"/>
        <v>0</v>
      </c>
      <c r="AD115" s="965">
        <f t="shared" ca="1" si="76"/>
        <v>0</v>
      </c>
      <c r="AE115" s="965">
        <f t="shared" ca="1" si="76"/>
        <v>1.6480914944000027</v>
      </c>
      <c r="AF115" s="965">
        <f t="shared" ca="1" si="76"/>
        <v>0</v>
      </c>
      <c r="AG115" s="965">
        <f t="shared" ca="1" si="76"/>
        <v>0</v>
      </c>
    </row>
    <row r="116" spans="1:33" ht="17.25" customHeight="1" outlineLevel="2">
      <c r="A116" s="861"/>
      <c r="B116" s="861"/>
      <c r="C116" s="945">
        <f t="shared" si="73"/>
        <v>5</v>
      </c>
      <c r="D116" s="8" t="s">
        <v>39</v>
      </c>
      <c r="E116" s="878"/>
      <c r="F116" s="800"/>
      <c r="G116" s="800"/>
      <c r="H116" s="800"/>
      <c r="I116" s="943">
        <f t="shared" ca="1" si="71"/>
        <v>21.024936857600011</v>
      </c>
      <c r="J116" s="965">
        <f t="shared" ref="J116:AG116" ca="1" si="77">IF(AND(MOD(J$7-$C116,$E$82)=0,J$82&gt;ROUNDUP($C116/$E$82,0)),OFFSET(J89,0,-$E$82)-J89-J143,0)*J$6</f>
        <v>0</v>
      </c>
      <c r="K116" s="965">
        <f t="shared" ca="1" si="77"/>
        <v>0</v>
      </c>
      <c r="L116" s="965">
        <f t="shared" ca="1" si="77"/>
        <v>0</v>
      </c>
      <c r="M116" s="965">
        <f t="shared" ca="1" si="77"/>
        <v>0</v>
      </c>
      <c r="N116" s="965">
        <f t="shared" ca="1" si="77"/>
        <v>0</v>
      </c>
      <c r="O116" s="965">
        <f t="shared" ca="1" si="77"/>
        <v>0</v>
      </c>
      <c r="P116" s="965">
        <f t="shared" ca="1" si="77"/>
        <v>0</v>
      </c>
      <c r="Q116" s="965">
        <f t="shared" ca="1" si="77"/>
        <v>6.7600000000000051</v>
      </c>
      <c r="R116" s="965">
        <f t="shared" ca="1" si="77"/>
        <v>0</v>
      </c>
      <c r="S116" s="965">
        <f t="shared" ca="1" si="77"/>
        <v>0</v>
      </c>
      <c r="T116" s="965">
        <f t="shared" ca="1" si="77"/>
        <v>5.1376000000000062</v>
      </c>
      <c r="U116" s="965">
        <f t="shared" ca="1" si="77"/>
        <v>0</v>
      </c>
      <c r="V116" s="965">
        <f t="shared" ca="1" si="77"/>
        <v>0</v>
      </c>
      <c r="W116" s="965">
        <f t="shared" ca="1" si="77"/>
        <v>3.9045760000000058</v>
      </c>
      <c r="X116" s="965">
        <f t="shared" ca="1" si="77"/>
        <v>0</v>
      </c>
      <c r="Y116" s="965">
        <f t="shared" ca="1" si="77"/>
        <v>0</v>
      </c>
      <c r="Z116" s="965">
        <f t="shared" ca="1" si="77"/>
        <v>2.9674777599999995</v>
      </c>
      <c r="AA116" s="965">
        <f t="shared" ca="1" si="77"/>
        <v>0</v>
      </c>
      <c r="AB116" s="965">
        <f t="shared" ca="1" si="77"/>
        <v>0</v>
      </c>
      <c r="AC116" s="965">
        <f t="shared" ca="1" si="77"/>
        <v>2.2552830975999942</v>
      </c>
      <c r="AD116" s="965">
        <f t="shared" ca="1" si="77"/>
        <v>0</v>
      </c>
      <c r="AE116" s="965">
        <f t="shared" ca="1" si="77"/>
        <v>0</v>
      </c>
      <c r="AF116" s="965">
        <f t="shared" ca="1" si="77"/>
        <v>0</v>
      </c>
      <c r="AG116" s="965">
        <f t="shared" ca="1" si="77"/>
        <v>0</v>
      </c>
    </row>
    <row r="117" spans="1:33" ht="17.25" customHeight="1" outlineLevel="2">
      <c r="A117" s="861"/>
      <c r="B117" s="861"/>
      <c r="C117" s="945">
        <f t="shared" si="73"/>
        <v>6</v>
      </c>
      <c r="D117" s="8" t="s">
        <v>39</v>
      </c>
      <c r="E117" s="878"/>
      <c r="F117" s="800"/>
      <c r="G117" s="800"/>
      <c r="H117" s="800"/>
      <c r="I117" s="943">
        <f t="shared" ca="1" si="71"/>
        <v>21.865934331904022</v>
      </c>
      <c r="J117" s="965">
        <f t="shared" ref="J117:AG117" ca="1" si="78">IF(AND(MOD(J$7-$C117,$E$82)=0,J$82&gt;ROUNDUP($C117/$E$82,0)),OFFSET(J90,0,-$E$82)-J90-J144,0)*J$6</f>
        <v>0</v>
      </c>
      <c r="K117" s="965">
        <f t="shared" ca="1" si="78"/>
        <v>0</v>
      </c>
      <c r="L117" s="965">
        <f t="shared" ca="1" si="78"/>
        <v>0</v>
      </c>
      <c r="M117" s="965">
        <f t="shared" ca="1" si="78"/>
        <v>0</v>
      </c>
      <c r="N117" s="965">
        <f t="shared" ca="1" si="78"/>
        <v>0</v>
      </c>
      <c r="O117" s="965">
        <f t="shared" ca="1" si="78"/>
        <v>0</v>
      </c>
      <c r="P117" s="965">
        <f t="shared" ca="1" si="78"/>
        <v>0</v>
      </c>
      <c r="Q117" s="965">
        <f t="shared" ca="1" si="78"/>
        <v>0</v>
      </c>
      <c r="R117" s="965">
        <f t="shared" ca="1" si="78"/>
        <v>7.0304000000000073</v>
      </c>
      <c r="S117" s="965">
        <f t="shared" ca="1" si="78"/>
        <v>0</v>
      </c>
      <c r="T117" s="965">
        <f t="shared" ca="1" si="78"/>
        <v>0</v>
      </c>
      <c r="U117" s="965">
        <f t="shared" ca="1" si="78"/>
        <v>5.3431040000000039</v>
      </c>
      <c r="V117" s="965">
        <f t="shared" ca="1" si="78"/>
        <v>0</v>
      </c>
      <c r="W117" s="965">
        <f t="shared" ca="1" si="78"/>
        <v>0</v>
      </c>
      <c r="X117" s="965">
        <f t="shared" ca="1" si="78"/>
        <v>4.060759040000006</v>
      </c>
      <c r="Y117" s="965">
        <f t="shared" ca="1" si="78"/>
        <v>0</v>
      </c>
      <c r="Z117" s="965">
        <f t="shared" ca="1" si="78"/>
        <v>0</v>
      </c>
      <c r="AA117" s="965">
        <f t="shared" ca="1" si="78"/>
        <v>3.0861768704000028</v>
      </c>
      <c r="AB117" s="965">
        <f t="shared" ca="1" si="78"/>
        <v>0</v>
      </c>
      <c r="AC117" s="965">
        <f t="shared" ca="1" si="78"/>
        <v>0</v>
      </c>
      <c r="AD117" s="965">
        <f t="shared" ca="1" si="78"/>
        <v>2.3454944215040019</v>
      </c>
      <c r="AE117" s="965">
        <f t="shared" ca="1" si="78"/>
        <v>0</v>
      </c>
      <c r="AF117" s="965">
        <f t="shared" ca="1" si="78"/>
        <v>0</v>
      </c>
      <c r="AG117" s="965">
        <f t="shared" ca="1" si="78"/>
        <v>0</v>
      </c>
    </row>
    <row r="118" spans="1:33" ht="17.25" customHeight="1" outlineLevel="2">
      <c r="A118" s="861"/>
      <c r="B118" s="861"/>
      <c r="C118" s="945">
        <f t="shared" si="73"/>
        <v>7</v>
      </c>
      <c r="D118" s="8" t="s">
        <v>39</v>
      </c>
      <c r="E118" s="878"/>
      <c r="F118" s="800"/>
      <c r="G118" s="800"/>
      <c r="H118" s="800"/>
      <c r="I118" s="943">
        <f t="shared" ca="1" si="71"/>
        <v>22.740571705180173</v>
      </c>
      <c r="J118" s="965">
        <f t="shared" ref="J118:AG118" ca="1" si="79">IF(AND(MOD(J$7-$C118,$E$82)=0,J$82&gt;ROUNDUP($C118/$E$82,0)),OFFSET(J91,0,-$E$82)-J91-J145,0)*J$6</f>
        <v>0</v>
      </c>
      <c r="K118" s="965">
        <f t="shared" ca="1" si="79"/>
        <v>0</v>
      </c>
      <c r="L118" s="965">
        <f t="shared" ca="1" si="79"/>
        <v>0</v>
      </c>
      <c r="M118" s="965">
        <f t="shared" ca="1" si="79"/>
        <v>0</v>
      </c>
      <c r="N118" s="965">
        <f t="shared" ca="1" si="79"/>
        <v>0</v>
      </c>
      <c r="O118" s="965">
        <f t="shared" ca="1" si="79"/>
        <v>0</v>
      </c>
      <c r="P118" s="965">
        <f t="shared" ca="1" si="79"/>
        <v>0</v>
      </c>
      <c r="Q118" s="965">
        <f t="shared" ca="1" si="79"/>
        <v>0</v>
      </c>
      <c r="R118" s="965">
        <f t="shared" ca="1" si="79"/>
        <v>0</v>
      </c>
      <c r="S118" s="965">
        <f t="shared" ca="1" si="79"/>
        <v>7.3116160000000114</v>
      </c>
      <c r="T118" s="965">
        <f t="shared" ca="1" si="79"/>
        <v>0</v>
      </c>
      <c r="U118" s="965">
        <f t="shared" ca="1" si="79"/>
        <v>0</v>
      </c>
      <c r="V118" s="965">
        <f t="shared" ca="1" si="79"/>
        <v>5.5568281599999949</v>
      </c>
      <c r="W118" s="965">
        <f t="shared" ca="1" si="79"/>
        <v>0</v>
      </c>
      <c r="X118" s="965">
        <f t="shared" ca="1" si="79"/>
        <v>0</v>
      </c>
      <c r="Y118" s="965">
        <f t="shared" ca="1" si="79"/>
        <v>4.2231894016000098</v>
      </c>
      <c r="Z118" s="965">
        <f t="shared" ca="1" si="79"/>
        <v>0</v>
      </c>
      <c r="AA118" s="965">
        <f t="shared" ca="1" si="79"/>
        <v>0</v>
      </c>
      <c r="AB118" s="965">
        <f t="shared" ca="1" si="79"/>
        <v>3.2096239452159985</v>
      </c>
      <c r="AC118" s="965">
        <f t="shared" ca="1" si="79"/>
        <v>0</v>
      </c>
      <c r="AD118" s="965">
        <f t="shared" ca="1" si="79"/>
        <v>0</v>
      </c>
      <c r="AE118" s="965">
        <f t="shared" ca="1" si="79"/>
        <v>2.4393141983641602</v>
      </c>
      <c r="AF118" s="965">
        <f t="shared" ca="1" si="79"/>
        <v>0</v>
      </c>
      <c r="AG118" s="965">
        <f t="shared" ca="1" si="79"/>
        <v>0</v>
      </c>
    </row>
    <row r="119" spans="1:33" ht="17.25" customHeight="1" outlineLevel="2">
      <c r="A119" s="861"/>
      <c r="B119" s="861"/>
      <c r="C119" s="945">
        <f t="shared" si="73"/>
        <v>8</v>
      </c>
      <c r="D119" s="8" t="s">
        <v>39</v>
      </c>
      <c r="E119" s="878"/>
      <c r="F119" s="800"/>
      <c r="G119" s="800"/>
      <c r="H119" s="800"/>
      <c r="I119" s="943">
        <f t="shared" ca="1" si="71"/>
        <v>21.113307807088649</v>
      </c>
      <c r="J119" s="965">
        <f t="shared" ref="J119:AG119" ca="1" si="80">IF(AND(MOD(J$7-$C119,$E$82)=0,J$82&gt;ROUNDUP($C119/$E$82,0)),OFFSET(J92,0,-$E$82)-J92-J146,0)*J$6</f>
        <v>0</v>
      </c>
      <c r="K119" s="965">
        <f t="shared" ca="1" si="80"/>
        <v>0</v>
      </c>
      <c r="L119" s="965">
        <f t="shared" ca="1" si="80"/>
        <v>0</v>
      </c>
      <c r="M119" s="965">
        <f t="shared" ca="1" si="80"/>
        <v>0</v>
      </c>
      <c r="N119" s="965">
        <f t="shared" ca="1" si="80"/>
        <v>0</v>
      </c>
      <c r="O119" s="965">
        <f t="shared" ca="1" si="80"/>
        <v>0</v>
      </c>
      <c r="P119" s="965">
        <f t="shared" ca="1" si="80"/>
        <v>0</v>
      </c>
      <c r="Q119" s="965">
        <f t="shared" ca="1" si="80"/>
        <v>0</v>
      </c>
      <c r="R119" s="965">
        <f t="shared" ca="1" si="80"/>
        <v>0</v>
      </c>
      <c r="S119" s="965">
        <f t="shared" ca="1" si="80"/>
        <v>0</v>
      </c>
      <c r="T119" s="965">
        <f t="shared" ca="1" si="80"/>
        <v>7.6040806400000029</v>
      </c>
      <c r="U119" s="965">
        <f t="shared" ca="1" si="80"/>
        <v>0</v>
      </c>
      <c r="V119" s="965">
        <f t="shared" ca="1" si="80"/>
        <v>0</v>
      </c>
      <c r="W119" s="965">
        <f t="shared" ca="1" si="80"/>
        <v>5.7791012863999995</v>
      </c>
      <c r="X119" s="965">
        <f t="shared" ca="1" si="80"/>
        <v>0</v>
      </c>
      <c r="Y119" s="965">
        <f t="shared" ca="1" si="80"/>
        <v>0</v>
      </c>
      <c r="Z119" s="965">
        <f t="shared" ca="1" si="80"/>
        <v>4.3921169776640028</v>
      </c>
      <c r="AA119" s="965">
        <f t="shared" ca="1" si="80"/>
        <v>0</v>
      </c>
      <c r="AB119" s="965">
        <f t="shared" ca="1" si="80"/>
        <v>0</v>
      </c>
      <c r="AC119" s="965">
        <f t="shared" ca="1" si="80"/>
        <v>3.3380089030246438</v>
      </c>
      <c r="AD119" s="965">
        <f t="shared" ca="1" si="80"/>
        <v>0</v>
      </c>
      <c r="AE119" s="965">
        <f t="shared" ca="1" si="80"/>
        <v>0</v>
      </c>
      <c r="AF119" s="965">
        <f t="shared" ca="1" si="80"/>
        <v>0</v>
      </c>
      <c r="AG119" s="965">
        <f t="shared" ca="1" si="80"/>
        <v>0</v>
      </c>
    </row>
    <row r="120" spans="1:33" ht="17.25" customHeight="1" outlineLevel="2">
      <c r="A120" s="861"/>
      <c r="B120" s="861"/>
      <c r="C120" s="945">
        <f t="shared" si="73"/>
        <v>9</v>
      </c>
      <c r="D120" s="8" t="s">
        <v>39</v>
      </c>
      <c r="E120" s="878"/>
      <c r="F120" s="800"/>
      <c r="G120" s="800"/>
      <c r="H120" s="800"/>
      <c r="I120" s="943">
        <f t="shared" ca="1" si="71"/>
        <v>21.9578401193722</v>
      </c>
      <c r="J120" s="965">
        <f t="shared" ref="J120:AG120" ca="1" si="81">IF(AND(MOD(J$7-$C120,$E$82)=0,J$82&gt;ROUNDUP($C120/$E$82,0)),OFFSET(J93,0,-$E$82)-J93-J147,0)*J$6</f>
        <v>0</v>
      </c>
      <c r="K120" s="965">
        <f t="shared" ca="1" si="81"/>
        <v>0</v>
      </c>
      <c r="L120" s="965">
        <f t="shared" ca="1" si="81"/>
        <v>0</v>
      </c>
      <c r="M120" s="965">
        <f t="shared" ca="1" si="81"/>
        <v>0</v>
      </c>
      <c r="N120" s="965">
        <f t="shared" ca="1" si="81"/>
        <v>0</v>
      </c>
      <c r="O120" s="965">
        <f t="shared" ca="1" si="81"/>
        <v>0</v>
      </c>
      <c r="P120" s="965">
        <f t="shared" ca="1" si="81"/>
        <v>0</v>
      </c>
      <c r="Q120" s="965">
        <f t="shared" ca="1" si="81"/>
        <v>0</v>
      </c>
      <c r="R120" s="965">
        <f t="shared" ca="1" si="81"/>
        <v>0</v>
      </c>
      <c r="S120" s="965">
        <f t="shared" ca="1" si="81"/>
        <v>0</v>
      </c>
      <c r="T120" s="965">
        <f t="shared" ca="1" si="81"/>
        <v>0</v>
      </c>
      <c r="U120" s="965">
        <f t="shared" ca="1" si="81"/>
        <v>7.90824386560001</v>
      </c>
      <c r="V120" s="965">
        <f t="shared" ca="1" si="81"/>
        <v>0</v>
      </c>
      <c r="W120" s="965">
        <f t="shared" ca="1" si="81"/>
        <v>0</v>
      </c>
      <c r="X120" s="965">
        <f t="shared" ca="1" si="81"/>
        <v>6.0102653378559978</v>
      </c>
      <c r="Y120" s="965">
        <f t="shared" ca="1" si="81"/>
        <v>0</v>
      </c>
      <c r="Z120" s="965">
        <f t="shared" ca="1" si="81"/>
        <v>0</v>
      </c>
      <c r="AA120" s="965">
        <f t="shared" ca="1" si="81"/>
        <v>4.5678016567705697</v>
      </c>
      <c r="AB120" s="965">
        <f t="shared" ca="1" si="81"/>
        <v>0</v>
      </c>
      <c r="AC120" s="965">
        <f t="shared" ca="1" si="81"/>
        <v>0</v>
      </c>
      <c r="AD120" s="965">
        <f t="shared" ca="1" si="81"/>
        <v>3.4715292591456226</v>
      </c>
      <c r="AE120" s="965">
        <f t="shared" ca="1" si="81"/>
        <v>0</v>
      </c>
      <c r="AF120" s="965">
        <f t="shared" ca="1" si="81"/>
        <v>0</v>
      </c>
      <c r="AG120" s="965">
        <f t="shared" ca="1" si="81"/>
        <v>0</v>
      </c>
    </row>
    <row r="121" spans="1:33" ht="17.25" customHeight="1" outlineLevel="2">
      <c r="A121" s="861"/>
      <c r="B121" s="861"/>
      <c r="C121" s="945">
        <f t="shared" si="73"/>
        <v>10</v>
      </c>
      <c r="D121" s="8" t="s">
        <v>39</v>
      </c>
      <c r="E121" s="878"/>
      <c r="F121" s="800"/>
      <c r="G121" s="800"/>
      <c r="H121" s="800"/>
      <c r="I121" s="943">
        <f t="shared" ca="1" si="71"/>
        <v>22.836153724147096</v>
      </c>
      <c r="J121" s="965">
        <f t="shared" ref="J121:AG121" ca="1" si="82">IF(AND(MOD(J$7-$C121,$E$82)=0,J$82&gt;ROUNDUP($C121/$E$82,0)),OFFSET(J94,0,-$E$82)-J94-J148,0)*J$6</f>
        <v>0</v>
      </c>
      <c r="K121" s="965">
        <f t="shared" ca="1" si="82"/>
        <v>0</v>
      </c>
      <c r="L121" s="965">
        <f t="shared" ca="1" si="82"/>
        <v>0</v>
      </c>
      <c r="M121" s="965">
        <f t="shared" ca="1" si="82"/>
        <v>0</v>
      </c>
      <c r="N121" s="965">
        <f t="shared" ca="1" si="82"/>
        <v>0</v>
      </c>
      <c r="O121" s="965">
        <f t="shared" ca="1" si="82"/>
        <v>0</v>
      </c>
      <c r="P121" s="965">
        <f t="shared" ca="1" si="82"/>
        <v>0</v>
      </c>
      <c r="Q121" s="965">
        <f t="shared" ca="1" si="82"/>
        <v>0</v>
      </c>
      <c r="R121" s="965">
        <f t="shared" ca="1" si="82"/>
        <v>0</v>
      </c>
      <c r="S121" s="965">
        <f t="shared" ca="1" si="82"/>
        <v>0</v>
      </c>
      <c r="T121" s="965">
        <f t="shared" ca="1" si="82"/>
        <v>0</v>
      </c>
      <c r="U121" s="965">
        <f t="shared" ca="1" si="82"/>
        <v>0</v>
      </c>
      <c r="V121" s="965">
        <f t="shared" ca="1" si="82"/>
        <v>8.2245736202240174</v>
      </c>
      <c r="W121" s="965">
        <f t="shared" ca="1" si="82"/>
        <v>0</v>
      </c>
      <c r="X121" s="965">
        <f t="shared" ca="1" si="82"/>
        <v>0</v>
      </c>
      <c r="Y121" s="965">
        <f t="shared" ca="1" si="82"/>
        <v>6.2506759513702335</v>
      </c>
      <c r="Z121" s="965">
        <f t="shared" ca="1" si="82"/>
        <v>0</v>
      </c>
      <c r="AA121" s="965">
        <f t="shared" ca="1" si="82"/>
        <v>0</v>
      </c>
      <c r="AB121" s="965">
        <f t="shared" ca="1" si="82"/>
        <v>4.7505137230413972</v>
      </c>
      <c r="AC121" s="965">
        <f t="shared" ca="1" si="82"/>
        <v>0</v>
      </c>
      <c r="AD121" s="965">
        <f t="shared" ca="1" si="82"/>
        <v>0</v>
      </c>
      <c r="AE121" s="965">
        <f t="shared" ca="1" si="82"/>
        <v>3.6103904295114475</v>
      </c>
      <c r="AF121" s="965">
        <f t="shared" ca="1" si="82"/>
        <v>0</v>
      </c>
      <c r="AG121" s="965">
        <f t="shared" ca="1" si="82"/>
        <v>0</v>
      </c>
    </row>
    <row r="122" spans="1:33" ht="17.25" customHeight="1" outlineLevel="2">
      <c r="A122" s="861"/>
      <c r="B122" s="861"/>
      <c r="C122" s="945">
        <f t="shared" si="73"/>
        <v>11</v>
      </c>
      <c r="D122" s="8" t="s">
        <v>39</v>
      </c>
      <c r="E122" s="878"/>
      <c r="F122" s="800"/>
      <c r="G122" s="800"/>
      <c r="H122" s="800"/>
      <c r="I122" s="943">
        <f t="shared" ca="1" si="71"/>
        <v>19.994793826421041</v>
      </c>
      <c r="J122" s="965">
        <f t="shared" ref="J122:AG122" ca="1" si="83">IF(AND(MOD(J$7-$C122,$E$82)=0,J$82&gt;ROUNDUP($C122/$E$82,0)),OFFSET(J95,0,-$E$82)-J95-J149,0)*J$6</f>
        <v>0</v>
      </c>
      <c r="K122" s="965">
        <f t="shared" ca="1" si="83"/>
        <v>0</v>
      </c>
      <c r="L122" s="965">
        <f t="shared" ca="1" si="83"/>
        <v>0</v>
      </c>
      <c r="M122" s="965">
        <f t="shared" ca="1" si="83"/>
        <v>0</v>
      </c>
      <c r="N122" s="965">
        <f t="shared" ca="1" si="83"/>
        <v>0</v>
      </c>
      <c r="O122" s="965">
        <f t="shared" ca="1" si="83"/>
        <v>0</v>
      </c>
      <c r="P122" s="965">
        <f t="shared" ca="1" si="83"/>
        <v>0</v>
      </c>
      <c r="Q122" s="965">
        <f t="shared" ca="1" si="83"/>
        <v>0</v>
      </c>
      <c r="R122" s="965">
        <f t="shared" ca="1" si="83"/>
        <v>0</v>
      </c>
      <c r="S122" s="965">
        <f t="shared" ca="1" si="83"/>
        <v>0</v>
      </c>
      <c r="T122" s="965">
        <f t="shared" ca="1" si="83"/>
        <v>0</v>
      </c>
      <c r="U122" s="965">
        <f t="shared" ca="1" si="83"/>
        <v>0</v>
      </c>
      <c r="V122" s="965">
        <f t="shared" ca="1" si="83"/>
        <v>0</v>
      </c>
      <c r="W122" s="965">
        <f t="shared" ca="1" si="83"/>
        <v>8.5535565650329559</v>
      </c>
      <c r="X122" s="965">
        <f t="shared" ca="1" si="83"/>
        <v>0</v>
      </c>
      <c r="Y122" s="965">
        <f t="shared" ca="1" si="83"/>
        <v>0</v>
      </c>
      <c r="Z122" s="965">
        <f t="shared" ca="1" si="83"/>
        <v>6.5007029894250508</v>
      </c>
      <c r="AA122" s="965">
        <f t="shared" ca="1" si="83"/>
        <v>0</v>
      </c>
      <c r="AB122" s="965">
        <f t="shared" ca="1" si="83"/>
        <v>0</v>
      </c>
      <c r="AC122" s="965">
        <f t="shared" ca="1" si="83"/>
        <v>4.9405342719630347</v>
      </c>
      <c r="AD122" s="965">
        <f t="shared" ca="1" si="83"/>
        <v>0</v>
      </c>
      <c r="AE122" s="965">
        <f t="shared" ca="1" si="83"/>
        <v>0</v>
      </c>
      <c r="AF122" s="965">
        <f t="shared" ca="1" si="83"/>
        <v>0</v>
      </c>
      <c r="AG122" s="965">
        <f t="shared" ca="1" si="83"/>
        <v>0</v>
      </c>
    </row>
    <row r="123" spans="1:33" ht="17.25" customHeight="1" outlineLevel="2">
      <c r="A123" s="861"/>
      <c r="B123" s="861"/>
      <c r="C123" s="945">
        <f t="shared" si="73"/>
        <v>12</v>
      </c>
      <c r="D123" s="8" t="s">
        <v>39</v>
      </c>
      <c r="E123" s="878"/>
      <c r="F123" s="800"/>
      <c r="G123" s="800"/>
      <c r="H123" s="800"/>
      <c r="I123" s="943">
        <f t="shared" ca="1" si="71"/>
        <v>20.794585579477857</v>
      </c>
      <c r="J123" s="965">
        <f t="shared" ref="J123:AG123" ca="1" si="84">IF(AND(MOD(J$7-$C123,$E$82)=0,J$82&gt;ROUNDUP($C123/$E$82,0)),OFFSET(J96,0,-$E$82)-J96-J150,0)*J$6</f>
        <v>0</v>
      </c>
      <c r="K123" s="965">
        <f t="shared" ca="1" si="84"/>
        <v>0</v>
      </c>
      <c r="L123" s="965">
        <f t="shared" ca="1" si="84"/>
        <v>0</v>
      </c>
      <c r="M123" s="965">
        <f t="shared" ca="1" si="84"/>
        <v>0</v>
      </c>
      <c r="N123" s="965">
        <f t="shared" ca="1" si="84"/>
        <v>0</v>
      </c>
      <c r="O123" s="965">
        <f t="shared" ca="1" si="84"/>
        <v>0</v>
      </c>
      <c r="P123" s="965">
        <f t="shared" ca="1" si="84"/>
        <v>0</v>
      </c>
      <c r="Q123" s="965">
        <f t="shared" ca="1" si="84"/>
        <v>0</v>
      </c>
      <c r="R123" s="965">
        <f t="shared" ca="1" si="84"/>
        <v>0</v>
      </c>
      <c r="S123" s="965">
        <f t="shared" ca="1" si="84"/>
        <v>0</v>
      </c>
      <c r="T123" s="965">
        <f t="shared" ca="1" si="84"/>
        <v>0</v>
      </c>
      <c r="U123" s="965">
        <f t="shared" ca="1" si="84"/>
        <v>0</v>
      </c>
      <c r="V123" s="965">
        <f t="shared" ca="1" si="84"/>
        <v>0</v>
      </c>
      <c r="W123" s="965">
        <f t="shared" ca="1" si="84"/>
        <v>0</v>
      </c>
      <c r="X123" s="965">
        <f t="shared" ca="1" si="84"/>
        <v>8.8956988276342628</v>
      </c>
      <c r="Y123" s="965">
        <f t="shared" ca="1" si="84"/>
        <v>0</v>
      </c>
      <c r="Z123" s="965">
        <f t="shared" ca="1" si="84"/>
        <v>0</v>
      </c>
      <c r="AA123" s="965">
        <f t="shared" ca="1" si="84"/>
        <v>6.7607311090020374</v>
      </c>
      <c r="AB123" s="965">
        <f t="shared" ca="1" si="84"/>
        <v>0</v>
      </c>
      <c r="AC123" s="965">
        <f t="shared" ca="1" si="84"/>
        <v>0</v>
      </c>
      <c r="AD123" s="965">
        <f t="shared" ca="1" si="84"/>
        <v>5.1381556428415571</v>
      </c>
      <c r="AE123" s="965">
        <f t="shared" ca="1" si="84"/>
        <v>0</v>
      </c>
      <c r="AF123" s="965">
        <f t="shared" ca="1" si="84"/>
        <v>0</v>
      </c>
      <c r="AG123" s="965">
        <f t="shared" ca="1" si="84"/>
        <v>0</v>
      </c>
    </row>
    <row r="124" spans="1:33" ht="17.25" customHeight="1" outlineLevel="2">
      <c r="A124" s="861"/>
      <c r="B124" s="861"/>
      <c r="C124" s="945">
        <f t="shared" si="73"/>
        <v>13</v>
      </c>
      <c r="D124" s="8" t="s">
        <v>39</v>
      </c>
      <c r="E124" s="878"/>
      <c r="F124" s="800"/>
      <c r="G124" s="800"/>
      <c r="H124" s="800"/>
      <c r="I124" s="943">
        <f t="shared" ca="1" si="71"/>
        <v>21.626369002656983</v>
      </c>
      <c r="J124" s="965">
        <f t="shared" ref="J124:AG124" ca="1" si="85">IF(AND(MOD(J$7-$C124,$E$82)=0,J$82&gt;ROUNDUP($C124/$E$82,0)),OFFSET(J97,0,-$E$82)-J97-J151,0)*J$6</f>
        <v>0</v>
      </c>
      <c r="K124" s="965">
        <f t="shared" ca="1" si="85"/>
        <v>0</v>
      </c>
      <c r="L124" s="965">
        <f t="shared" ca="1" si="85"/>
        <v>0</v>
      </c>
      <c r="M124" s="965">
        <f t="shared" ca="1" si="85"/>
        <v>0</v>
      </c>
      <c r="N124" s="965">
        <f t="shared" ca="1" si="85"/>
        <v>0</v>
      </c>
      <c r="O124" s="965">
        <f t="shared" ca="1" si="85"/>
        <v>0</v>
      </c>
      <c r="P124" s="965">
        <f t="shared" ca="1" si="85"/>
        <v>0</v>
      </c>
      <c r="Q124" s="965">
        <f t="shared" ca="1" si="85"/>
        <v>0</v>
      </c>
      <c r="R124" s="965">
        <f t="shared" ca="1" si="85"/>
        <v>0</v>
      </c>
      <c r="S124" s="965">
        <f t="shared" ca="1" si="85"/>
        <v>0</v>
      </c>
      <c r="T124" s="965">
        <f t="shared" ca="1" si="85"/>
        <v>0</v>
      </c>
      <c r="U124" s="965">
        <f t="shared" ca="1" si="85"/>
        <v>0</v>
      </c>
      <c r="V124" s="965">
        <f t="shared" ca="1" si="85"/>
        <v>0</v>
      </c>
      <c r="W124" s="965">
        <f t="shared" ca="1" si="85"/>
        <v>0</v>
      </c>
      <c r="X124" s="965">
        <f t="shared" ca="1" si="85"/>
        <v>0</v>
      </c>
      <c r="Y124" s="965">
        <f t="shared" ca="1" si="85"/>
        <v>9.2515267807396384</v>
      </c>
      <c r="Z124" s="965">
        <f t="shared" ca="1" si="85"/>
        <v>0</v>
      </c>
      <c r="AA124" s="965">
        <f t="shared" ca="1" si="85"/>
        <v>0</v>
      </c>
      <c r="AB124" s="965">
        <f t="shared" ca="1" si="85"/>
        <v>7.0311603533621323</v>
      </c>
      <c r="AC124" s="965">
        <f t="shared" ca="1" si="85"/>
        <v>0</v>
      </c>
      <c r="AD124" s="965">
        <f t="shared" ca="1" si="85"/>
        <v>0</v>
      </c>
      <c r="AE124" s="965">
        <f t="shared" ca="1" si="85"/>
        <v>5.3436818685552119</v>
      </c>
      <c r="AF124" s="965">
        <f t="shared" ca="1" si="85"/>
        <v>0</v>
      </c>
      <c r="AG124" s="965">
        <f t="shared" ca="1" si="85"/>
        <v>0</v>
      </c>
    </row>
    <row r="125" spans="1:33" ht="17.25" customHeight="1" outlineLevel="2">
      <c r="A125" s="861"/>
      <c r="B125" s="861"/>
      <c r="C125" s="945">
        <f t="shared" si="73"/>
        <v>14</v>
      </c>
      <c r="D125" s="8" t="s">
        <v>39</v>
      </c>
      <c r="E125" s="878"/>
      <c r="F125" s="800"/>
      <c r="G125" s="800"/>
      <c r="H125" s="800"/>
      <c r="I125" s="943">
        <f t="shared" ca="1" si="71"/>
        <v>16.933994619465885</v>
      </c>
      <c r="J125" s="965">
        <f t="shared" ref="J125:AG125" ca="1" si="86">IF(AND(MOD(J$7-$C125,$E$82)=0,J$82&gt;ROUNDUP($C125/$E$82,0)),OFFSET(J98,0,-$E$82)-J98-J152,0)*J$6</f>
        <v>0</v>
      </c>
      <c r="K125" s="965">
        <f t="shared" ca="1" si="86"/>
        <v>0</v>
      </c>
      <c r="L125" s="965">
        <f t="shared" ca="1" si="86"/>
        <v>0</v>
      </c>
      <c r="M125" s="965">
        <f t="shared" ca="1" si="86"/>
        <v>0</v>
      </c>
      <c r="N125" s="965">
        <f t="shared" ca="1" si="86"/>
        <v>0</v>
      </c>
      <c r="O125" s="965">
        <f t="shared" ca="1" si="86"/>
        <v>0</v>
      </c>
      <c r="P125" s="965">
        <f t="shared" ca="1" si="86"/>
        <v>0</v>
      </c>
      <c r="Q125" s="965">
        <f t="shared" ca="1" si="86"/>
        <v>0</v>
      </c>
      <c r="R125" s="965">
        <f t="shared" ca="1" si="86"/>
        <v>0</v>
      </c>
      <c r="S125" s="965">
        <f t="shared" ca="1" si="86"/>
        <v>0</v>
      </c>
      <c r="T125" s="965">
        <f t="shared" ca="1" si="86"/>
        <v>0</v>
      </c>
      <c r="U125" s="965">
        <f t="shared" ca="1" si="86"/>
        <v>0</v>
      </c>
      <c r="V125" s="965">
        <f t="shared" ca="1" si="86"/>
        <v>0</v>
      </c>
      <c r="W125" s="965">
        <f t="shared" ca="1" si="86"/>
        <v>0</v>
      </c>
      <c r="X125" s="965">
        <f t="shared" ca="1" si="86"/>
        <v>0</v>
      </c>
      <c r="Y125" s="965">
        <f t="shared" ca="1" si="86"/>
        <v>0</v>
      </c>
      <c r="Z125" s="965">
        <f t="shared" ca="1" si="86"/>
        <v>9.6215878519692595</v>
      </c>
      <c r="AA125" s="965">
        <f t="shared" ca="1" si="86"/>
        <v>0</v>
      </c>
      <c r="AB125" s="965">
        <f t="shared" ca="1" si="86"/>
        <v>0</v>
      </c>
      <c r="AC125" s="965">
        <f t="shared" ca="1" si="86"/>
        <v>7.3124067674966255</v>
      </c>
      <c r="AD125" s="965">
        <f t="shared" ca="1" si="86"/>
        <v>0</v>
      </c>
      <c r="AE125" s="965">
        <f t="shared" ca="1" si="86"/>
        <v>0</v>
      </c>
      <c r="AF125" s="965">
        <f t="shared" ca="1" si="86"/>
        <v>0</v>
      </c>
      <c r="AG125" s="965">
        <f t="shared" ca="1" si="86"/>
        <v>0</v>
      </c>
    </row>
    <row r="126" spans="1:33" ht="17.25" customHeight="1" outlineLevel="2">
      <c r="A126" s="861"/>
      <c r="B126" s="861"/>
      <c r="C126" s="945">
        <f t="shared" si="73"/>
        <v>15</v>
      </c>
      <c r="D126" s="8" t="s">
        <v>39</v>
      </c>
      <c r="E126" s="878"/>
      <c r="F126" s="800"/>
      <c r="G126" s="800"/>
      <c r="H126" s="800"/>
      <c r="I126" s="943">
        <f t="shared" ca="1" si="71"/>
        <v>17.611354404244477</v>
      </c>
      <c r="J126" s="965">
        <f t="shared" ref="J126:AG126" ca="1" si="87">IF(AND(MOD(J$7-$C126,$E$82)=0,J$82&gt;ROUNDUP($C126/$E$82,0)),OFFSET(J99,0,-$E$82)-J99-J153,0)*J$6</f>
        <v>0</v>
      </c>
      <c r="K126" s="965">
        <f t="shared" ca="1" si="87"/>
        <v>0</v>
      </c>
      <c r="L126" s="965">
        <f t="shared" ca="1" si="87"/>
        <v>0</v>
      </c>
      <c r="M126" s="965">
        <f t="shared" ca="1" si="87"/>
        <v>0</v>
      </c>
      <c r="N126" s="965">
        <f t="shared" ca="1" si="87"/>
        <v>0</v>
      </c>
      <c r="O126" s="965">
        <f t="shared" ca="1" si="87"/>
        <v>0</v>
      </c>
      <c r="P126" s="965">
        <f t="shared" ca="1" si="87"/>
        <v>0</v>
      </c>
      <c r="Q126" s="965">
        <f t="shared" ca="1" si="87"/>
        <v>0</v>
      </c>
      <c r="R126" s="965">
        <f t="shared" ca="1" si="87"/>
        <v>0</v>
      </c>
      <c r="S126" s="965">
        <f t="shared" ca="1" si="87"/>
        <v>0</v>
      </c>
      <c r="T126" s="965">
        <f t="shared" ca="1" si="87"/>
        <v>0</v>
      </c>
      <c r="U126" s="965">
        <f t="shared" ca="1" si="87"/>
        <v>0</v>
      </c>
      <c r="V126" s="965">
        <f t="shared" ca="1" si="87"/>
        <v>0</v>
      </c>
      <c r="W126" s="965">
        <f t="shared" ca="1" si="87"/>
        <v>0</v>
      </c>
      <c r="X126" s="965">
        <f t="shared" ca="1" si="87"/>
        <v>0</v>
      </c>
      <c r="Y126" s="965">
        <f t="shared" ca="1" si="87"/>
        <v>0</v>
      </c>
      <c r="Z126" s="965">
        <f t="shared" ca="1" si="87"/>
        <v>0</v>
      </c>
      <c r="AA126" s="965">
        <f t="shared" ca="1" si="87"/>
        <v>10.006451366048005</v>
      </c>
      <c r="AB126" s="965">
        <f t="shared" ca="1" si="87"/>
        <v>0</v>
      </c>
      <c r="AC126" s="965">
        <f t="shared" ca="1" si="87"/>
        <v>0</v>
      </c>
      <c r="AD126" s="965">
        <f t="shared" ca="1" si="87"/>
        <v>7.604903038196472</v>
      </c>
      <c r="AE126" s="965">
        <f t="shared" ca="1" si="87"/>
        <v>0</v>
      </c>
      <c r="AF126" s="965">
        <f t="shared" ca="1" si="87"/>
        <v>0</v>
      </c>
      <c r="AG126" s="965">
        <f t="shared" ca="1" si="87"/>
        <v>0</v>
      </c>
    </row>
    <row r="127" spans="1:33" ht="17.25" customHeight="1" outlineLevel="2">
      <c r="A127" s="861"/>
      <c r="B127" s="861"/>
      <c r="C127" s="945">
        <f t="shared" si="73"/>
        <v>16</v>
      </c>
      <c r="D127" s="8" t="s">
        <v>39</v>
      </c>
      <c r="E127" s="878"/>
      <c r="F127" s="800"/>
      <c r="G127" s="800"/>
      <c r="H127" s="800"/>
      <c r="I127" s="943">
        <f t="shared" ca="1" si="71"/>
        <v>18.315808580414252</v>
      </c>
      <c r="J127" s="965">
        <f t="shared" ref="J127:AG127" ca="1" si="88">IF(AND(MOD(J$7-$C127,$E$82)=0,J$82&gt;ROUNDUP($C127/$E$82,0)),OFFSET(J100,0,-$E$82)-J100-J154,0)*J$6</f>
        <v>0</v>
      </c>
      <c r="K127" s="965">
        <f t="shared" ca="1" si="88"/>
        <v>0</v>
      </c>
      <c r="L127" s="965">
        <f t="shared" ca="1" si="88"/>
        <v>0</v>
      </c>
      <c r="M127" s="965">
        <f t="shared" ca="1" si="88"/>
        <v>0</v>
      </c>
      <c r="N127" s="965">
        <f t="shared" ca="1" si="88"/>
        <v>0</v>
      </c>
      <c r="O127" s="965">
        <f t="shared" ca="1" si="88"/>
        <v>0</v>
      </c>
      <c r="P127" s="965">
        <f t="shared" ca="1" si="88"/>
        <v>0</v>
      </c>
      <c r="Q127" s="965">
        <f t="shared" ca="1" si="88"/>
        <v>0</v>
      </c>
      <c r="R127" s="965">
        <f t="shared" ca="1" si="88"/>
        <v>0</v>
      </c>
      <c r="S127" s="965">
        <f t="shared" ca="1" si="88"/>
        <v>0</v>
      </c>
      <c r="T127" s="965">
        <f t="shared" ca="1" si="88"/>
        <v>0</v>
      </c>
      <c r="U127" s="965">
        <f t="shared" ca="1" si="88"/>
        <v>0</v>
      </c>
      <c r="V127" s="965">
        <f t="shared" ca="1" si="88"/>
        <v>0</v>
      </c>
      <c r="W127" s="965">
        <f t="shared" ca="1" si="88"/>
        <v>0</v>
      </c>
      <c r="X127" s="965">
        <f t="shared" ca="1" si="88"/>
        <v>0</v>
      </c>
      <c r="Y127" s="965">
        <f t="shared" ca="1" si="88"/>
        <v>0</v>
      </c>
      <c r="Z127" s="965">
        <f t="shared" ca="1" si="88"/>
        <v>0</v>
      </c>
      <c r="AA127" s="965">
        <f t="shared" ca="1" si="88"/>
        <v>0</v>
      </c>
      <c r="AB127" s="965">
        <f t="shared" ca="1" si="88"/>
        <v>10.406709420689914</v>
      </c>
      <c r="AC127" s="965">
        <f t="shared" ca="1" si="88"/>
        <v>0</v>
      </c>
      <c r="AD127" s="965">
        <f t="shared" ca="1" si="88"/>
        <v>0</v>
      </c>
      <c r="AE127" s="965">
        <f t="shared" ca="1" si="88"/>
        <v>7.9090991597243381</v>
      </c>
      <c r="AF127" s="965">
        <f t="shared" ca="1" si="88"/>
        <v>0</v>
      </c>
      <c r="AG127" s="965">
        <f t="shared" ca="1" si="88"/>
        <v>0</v>
      </c>
    </row>
    <row r="128" spans="1:33" ht="17.25" customHeight="1" outlineLevel="2">
      <c r="A128" s="861"/>
      <c r="B128" s="861"/>
      <c r="C128" s="945">
        <f t="shared" si="73"/>
        <v>17</v>
      </c>
      <c r="D128" s="8" t="s">
        <v>39</v>
      </c>
      <c r="E128" s="878"/>
      <c r="F128" s="800"/>
      <c r="G128" s="800"/>
      <c r="H128" s="800"/>
      <c r="I128" s="943">
        <f t="shared" ca="1" si="71"/>
        <v>10.822977797517503</v>
      </c>
      <c r="J128" s="965">
        <f t="shared" ref="J128:AG128" ca="1" si="89">IF(AND(MOD(J$7-$C128,$E$82)=0,J$82&gt;ROUNDUP($C128/$E$82,0)),OFFSET(J101,0,-$E$82)-J101-J155,0)*J$6</f>
        <v>0</v>
      </c>
      <c r="K128" s="965">
        <f t="shared" ca="1" si="89"/>
        <v>0</v>
      </c>
      <c r="L128" s="965">
        <f t="shared" ca="1" si="89"/>
        <v>0</v>
      </c>
      <c r="M128" s="965">
        <f t="shared" ca="1" si="89"/>
        <v>0</v>
      </c>
      <c r="N128" s="965">
        <f t="shared" ca="1" si="89"/>
        <v>0</v>
      </c>
      <c r="O128" s="965">
        <f t="shared" ca="1" si="89"/>
        <v>0</v>
      </c>
      <c r="P128" s="965">
        <f t="shared" ca="1" si="89"/>
        <v>0</v>
      </c>
      <c r="Q128" s="965">
        <f t="shared" ca="1" si="89"/>
        <v>0</v>
      </c>
      <c r="R128" s="965">
        <f t="shared" ca="1" si="89"/>
        <v>0</v>
      </c>
      <c r="S128" s="965">
        <f t="shared" ca="1" si="89"/>
        <v>0</v>
      </c>
      <c r="T128" s="965">
        <f t="shared" ca="1" si="89"/>
        <v>0</v>
      </c>
      <c r="U128" s="965">
        <f t="shared" ca="1" si="89"/>
        <v>0</v>
      </c>
      <c r="V128" s="965">
        <f t="shared" ca="1" si="89"/>
        <v>0</v>
      </c>
      <c r="W128" s="965">
        <f t="shared" ca="1" si="89"/>
        <v>0</v>
      </c>
      <c r="X128" s="965">
        <f t="shared" ca="1" si="89"/>
        <v>0</v>
      </c>
      <c r="Y128" s="965">
        <f t="shared" ca="1" si="89"/>
        <v>0</v>
      </c>
      <c r="Z128" s="965">
        <f t="shared" ca="1" si="89"/>
        <v>0</v>
      </c>
      <c r="AA128" s="965">
        <f t="shared" ca="1" si="89"/>
        <v>0</v>
      </c>
      <c r="AB128" s="965">
        <f t="shared" ca="1" si="89"/>
        <v>0</v>
      </c>
      <c r="AC128" s="965">
        <f t="shared" ca="1" si="89"/>
        <v>10.822977797517503</v>
      </c>
      <c r="AD128" s="965">
        <f t="shared" ca="1" si="89"/>
        <v>0</v>
      </c>
      <c r="AE128" s="965">
        <f t="shared" ca="1" si="89"/>
        <v>0</v>
      </c>
      <c r="AF128" s="965">
        <f t="shared" ca="1" si="89"/>
        <v>0</v>
      </c>
      <c r="AG128" s="965">
        <f t="shared" ca="1" si="89"/>
        <v>0</v>
      </c>
    </row>
    <row r="129" spans="1:33" ht="17.25" customHeight="1" outlineLevel="2">
      <c r="A129" s="861"/>
      <c r="B129" s="861"/>
      <c r="C129" s="945">
        <f t="shared" si="73"/>
        <v>18</v>
      </c>
      <c r="D129" s="8" t="s">
        <v>39</v>
      </c>
      <c r="E129" s="878"/>
      <c r="F129" s="800"/>
      <c r="G129" s="800"/>
      <c r="H129" s="800"/>
      <c r="I129" s="943">
        <f t="shared" ca="1" si="71"/>
        <v>11.255896909418212</v>
      </c>
      <c r="J129" s="965">
        <f t="shared" ref="J129:AG129" ca="1" si="90">IF(AND(MOD(J$7-$C129,$E$82)=0,J$82&gt;ROUNDUP($C129/$E$82,0)),OFFSET(J102,0,-$E$82)-J102-J156,0)*J$6</f>
        <v>0</v>
      </c>
      <c r="K129" s="965">
        <f t="shared" ca="1" si="90"/>
        <v>0</v>
      </c>
      <c r="L129" s="965">
        <f t="shared" ca="1" si="90"/>
        <v>0</v>
      </c>
      <c r="M129" s="965">
        <f t="shared" ca="1" si="90"/>
        <v>0</v>
      </c>
      <c r="N129" s="965">
        <f t="shared" ca="1" si="90"/>
        <v>0</v>
      </c>
      <c r="O129" s="965">
        <f t="shared" ca="1" si="90"/>
        <v>0</v>
      </c>
      <c r="P129" s="965">
        <f t="shared" ca="1" si="90"/>
        <v>0</v>
      </c>
      <c r="Q129" s="965">
        <f t="shared" ca="1" si="90"/>
        <v>0</v>
      </c>
      <c r="R129" s="965">
        <f t="shared" ca="1" si="90"/>
        <v>0</v>
      </c>
      <c r="S129" s="965">
        <f t="shared" ca="1" si="90"/>
        <v>0</v>
      </c>
      <c r="T129" s="965">
        <f t="shared" ca="1" si="90"/>
        <v>0</v>
      </c>
      <c r="U129" s="965">
        <f t="shared" ca="1" si="90"/>
        <v>0</v>
      </c>
      <c r="V129" s="965">
        <f t="shared" ca="1" si="90"/>
        <v>0</v>
      </c>
      <c r="W129" s="965">
        <f t="shared" ca="1" si="90"/>
        <v>0</v>
      </c>
      <c r="X129" s="965">
        <f t="shared" ca="1" si="90"/>
        <v>0</v>
      </c>
      <c r="Y129" s="965">
        <f t="shared" ca="1" si="90"/>
        <v>0</v>
      </c>
      <c r="Z129" s="965">
        <f t="shared" ca="1" si="90"/>
        <v>0</v>
      </c>
      <c r="AA129" s="965">
        <f t="shared" ca="1" si="90"/>
        <v>0</v>
      </c>
      <c r="AB129" s="965">
        <f t="shared" ca="1" si="90"/>
        <v>0</v>
      </c>
      <c r="AC129" s="965">
        <f t="shared" ca="1" si="90"/>
        <v>0</v>
      </c>
      <c r="AD129" s="965">
        <f t="shared" ca="1" si="90"/>
        <v>11.255896909418212</v>
      </c>
      <c r="AE129" s="965">
        <f t="shared" ca="1" si="90"/>
        <v>0</v>
      </c>
      <c r="AF129" s="965">
        <f t="shared" ca="1" si="90"/>
        <v>0</v>
      </c>
      <c r="AG129" s="965">
        <f t="shared" ca="1" si="90"/>
        <v>0</v>
      </c>
    </row>
    <row r="130" spans="1:33" ht="17.25" customHeight="1" outlineLevel="2">
      <c r="A130" s="861"/>
      <c r="B130" s="861"/>
      <c r="C130" s="945">
        <f t="shared" si="73"/>
        <v>19</v>
      </c>
      <c r="D130" s="8" t="s">
        <v>39</v>
      </c>
      <c r="E130" s="878"/>
      <c r="F130" s="800"/>
      <c r="G130" s="800"/>
      <c r="H130" s="800"/>
      <c r="I130" s="943">
        <f t="shared" ca="1" si="71"/>
        <v>11.706132785794978</v>
      </c>
      <c r="J130" s="965">
        <f t="shared" ref="J130:AG130" ca="1" si="91">IF(AND(MOD(J$7-$C130,$E$82)=0,J$82&gt;ROUNDUP($C130/$E$82,0)),OFFSET(J103,0,-$E$82)-J103-J157,0)*J$6</f>
        <v>0</v>
      </c>
      <c r="K130" s="965">
        <f t="shared" ca="1" si="91"/>
        <v>0</v>
      </c>
      <c r="L130" s="965">
        <f t="shared" ca="1" si="91"/>
        <v>0</v>
      </c>
      <c r="M130" s="965">
        <f t="shared" ca="1" si="91"/>
        <v>0</v>
      </c>
      <c r="N130" s="965">
        <f t="shared" ca="1" si="91"/>
        <v>0</v>
      </c>
      <c r="O130" s="965">
        <f t="shared" ca="1" si="91"/>
        <v>0</v>
      </c>
      <c r="P130" s="965">
        <f t="shared" ca="1" si="91"/>
        <v>0</v>
      </c>
      <c r="Q130" s="965">
        <f t="shared" ca="1" si="91"/>
        <v>0</v>
      </c>
      <c r="R130" s="965">
        <f t="shared" ca="1" si="91"/>
        <v>0</v>
      </c>
      <c r="S130" s="965">
        <f t="shared" ca="1" si="91"/>
        <v>0</v>
      </c>
      <c r="T130" s="965">
        <f t="shared" ca="1" si="91"/>
        <v>0</v>
      </c>
      <c r="U130" s="965">
        <f t="shared" ca="1" si="91"/>
        <v>0</v>
      </c>
      <c r="V130" s="965">
        <f t="shared" ca="1" si="91"/>
        <v>0</v>
      </c>
      <c r="W130" s="965">
        <f t="shared" ca="1" si="91"/>
        <v>0</v>
      </c>
      <c r="X130" s="965">
        <f t="shared" ca="1" si="91"/>
        <v>0</v>
      </c>
      <c r="Y130" s="965">
        <f t="shared" ca="1" si="91"/>
        <v>0</v>
      </c>
      <c r="Z130" s="965">
        <f t="shared" ca="1" si="91"/>
        <v>0</v>
      </c>
      <c r="AA130" s="965">
        <f t="shared" ca="1" si="91"/>
        <v>0</v>
      </c>
      <c r="AB130" s="965">
        <f t="shared" ca="1" si="91"/>
        <v>0</v>
      </c>
      <c r="AC130" s="965">
        <f t="shared" ca="1" si="91"/>
        <v>0</v>
      </c>
      <c r="AD130" s="965">
        <f t="shared" ca="1" si="91"/>
        <v>0</v>
      </c>
      <c r="AE130" s="965">
        <f t="shared" ca="1" si="91"/>
        <v>11.706132785794978</v>
      </c>
      <c r="AF130" s="965">
        <f t="shared" ca="1" si="91"/>
        <v>0</v>
      </c>
      <c r="AG130" s="965">
        <f t="shared" ca="1" si="91"/>
        <v>0</v>
      </c>
    </row>
    <row r="131" spans="1:33" ht="17.25" customHeight="1" outlineLevel="2">
      <c r="A131" s="861"/>
      <c r="B131" s="861"/>
      <c r="C131" s="945">
        <f t="shared" si="73"/>
        <v>20</v>
      </c>
      <c r="D131" s="8" t="s">
        <v>39</v>
      </c>
      <c r="E131" s="878"/>
      <c r="F131" s="800"/>
      <c r="G131" s="800"/>
      <c r="H131" s="800"/>
      <c r="I131" s="943">
        <f t="shared" ca="1" si="71"/>
        <v>0</v>
      </c>
      <c r="J131" s="965">
        <f t="shared" ref="J131:AG131" ca="1" si="92">IF(AND(MOD(J$7-$C131,$E$82)=0,J$82&gt;ROUNDUP($C131/$E$82,0)),OFFSET(J104,0,-$E$82)-J104-J158,0)*J$6</f>
        <v>0</v>
      </c>
      <c r="K131" s="965">
        <f t="shared" ca="1" si="92"/>
        <v>0</v>
      </c>
      <c r="L131" s="965">
        <f t="shared" ca="1" si="92"/>
        <v>0</v>
      </c>
      <c r="M131" s="965">
        <f t="shared" ca="1" si="92"/>
        <v>0</v>
      </c>
      <c r="N131" s="965">
        <f t="shared" ca="1" si="92"/>
        <v>0</v>
      </c>
      <c r="O131" s="965">
        <f t="shared" ca="1" si="92"/>
        <v>0</v>
      </c>
      <c r="P131" s="965">
        <f t="shared" ca="1" si="92"/>
        <v>0</v>
      </c>
      <c r="Q131" s="965">
        <f t="shared" ca="1" si="92"/>
        <v>0</v>
      </c>
      <c r="R131" s="965">
        <f t="shared" ca="1" si="92"/>
        <v>0</v>
      </c>
      <c r="S131" s="965">
        <f t="shared" ca="1" si="92"/>
        <v>0</v>
      </c>
      <c r="T131" s="965">
        <f t="shared" ca="1" si="92"/>
        <v>0</v>
      </c>
      <c r="U131" s="965">
        <f t="shared" ca="1" si="92"/>
        <v>0</v>
      </c>
      <c r="V131" s="965">
        <f t="shared" ca="1" si="92"/>
        <v>0</v>
      </c>
      <c r="W131" s="965">
        <f t="shared" ca="1" si="92"/>
        <v>0</v>
      </c>
      <c r="X131" s="965">
        <f t="shared" ca="1" si="92"/>
        <v>0</v>
      </c>
      <c r="Y131" s="965">
        <f t="shared" ca="1" si="92"/>
        <v>0</v>
      </c>
      <c r="Z131" s="965">
        <f t="shared" ca="1" si="92"/>
        <v>0</v>
      </c>
      <c r="AA131" s="965">
        <f t="shared" ca="1" si="92"/>
        <v>0</v>
      </c>
      <c r="AB131" s="965">
        <f t="shared" ca="1" si="92"/>
        <v>0</v>
      </c>
      <c r="AC131" s="965">
        <f t="shared" ca="1" si="92"/>
        <v>0</v>
      </c>
      <c r="AD131" s="965">
        <f t="shared" ca="1" si="92"/>
        <v>0</v>
      </c>
      <c r="AE131" s="965">
        <f t="shared" ca="1" si="92"/>
        <v>0</v>
      </c>
      <c r="AF131" s="965">
        <f t="shared" ca="1" si="92"/>
        <v>0</v>
      </c>
      <c r="AG131" s="965">
        <f t="shared" ca="1" si="92"/>
        <v>0</v>
      </c>
    </row>
    <row r="132" spans="1:33" ht="17.25" customHeight="1" outlineLevel="2">
      <c r="A132" s="861"/>
      <c r="B132" s="861"/>
      <c r="C132" s="945">
        <f t="shared" si="73"/>
        <v>21</v>
      </c>
      <c r="D132" s="8" t="s">
        <v>39</v>
      </c>
      <c r="E132" s="878"/>
      <c r="F132" s="800"/>
      <c r="G132" s="800"/>
      <c r="H132" s="800"/>
      <c r="I132" s="943">
        <f t="shared" ca="1" si="71"/>
        <v>0</v>
      </c>
      <c r="J132" s="965">
        <f t="shared" ref="J132:AG132" ca="1" si="93">IF(AND(MOD(J$7-$C132,$E$82)=0,J$82&gt;ROUNDUP($C132/$E$82,0)),OFFSET(J105,0,-$E$82)-J105-J159,0)*J$6</f>
        <v>0</v>
      </c>
      <c r="K132" s="965">
        <f t="shared" ca="1" si="93"/>
        <v>0</v>
      </c>
      <c r="L132" s="965">
        <f t="shared" ca="1" si="93"/>
        <v>0</v>
      </c>
      <c r="M132" s="965">
        <f t="shared" ca="1" si="93"/>
        <v>0</v>
      </c>
      <c r="N132" s="965">
        <f t="shared" ca="1" si="93"/>
        <v>0</v>
      </c>
      <c r="O132" s="965">
        <f t="shared" ca="1" si="93"/>
        <v>0</v>
      </c>
      <c r="P132" s="965">
        <f t="shared" ca="1" si="93"/>
        <v>0</v>
      </c>
      <c r="Q132" s="965">
        <f t="shared" ca="1" si="93"/>
        <v>0</v>
      </c>
      <c r="R132" s="965">
        <f t="shared" ca="1" si="93"/>
        <v>0</v>
      </c>
      <c r="S132" s="965">
        <f t="shared" ca="1" si="93"/>
        <v>0</v>
      </c>
      <c r="T132" s="965">
        <f t="shared" ca="1" si="93"/>
        <v>0</v>
      </c>
      <c r="U132" s="965">
        <f t="shared" ca="1" si="93"/>
        <v>0</v>
      </c>
      <c r="V132" s="965">
        <f t="shared" ca="1" si="93"/>
        <v>0</v>
      </c>
      <c r="W132" s="965">
        <f t="shared" ca="1" si="93"/>
        <v>0</v>
      </c>
      <c r="X132" s="965">
        <f t="shared" ca="1" si="93"/>
        <v>0</v>
      </c>
      <c r="Y132" s="965">
        <f t="shared" ca="1" si="93"/>
        <v>0</v>
      </c>
      <c r="Z132" s="965">
        <f t="shared" ca="1" si="93"/>
        <v>0</v>
      </c>
      <c r="AA132" s="965">
        <f t="shared" ca="1" si="93"/>
        <v>0</v>
      </c>
      <c r="AB132" s="965">
        <f t="shared" ca="1" si="93"/>
        <v>0</v>
      </c>
      <c r="AC132" s="965">
        <f t="shared" ca="1" si="93"/>
        <v>0</v>
      </c>
      <c r="AD132" s="965">
        <f t="shared" ca="1" si="93"/>
        <v>0</v>
      </c>
      <c r="AE132" s="965">
        <f t="shared" ca="1" si="93"/>
        <v>0</v>
      </c>
      <c r="AF132" s="965">
        <f t="shared" ca="1" si="93"/>
        <v>0</v>
      </c>
      <c r="AG132" s="965">
        <f t="shared" ca="1" si="93"/>
        <v>0</v>
      </c>
    </row>
    <row r="133" spans="1:33" ht="17.25" customHeight="1" outlineLevel="2">
      <c r="A133" s="861"/>
      <c r="B133" s="861"/>
      <c r="C133" s="945">
        <f t="shared" si="73"/>
        <v>22</v>
      </c>
      <c r="D133" s="8" t="s">
        <v>39</v>
      </c>
      <c r="E133" s="878"/>
      <c r="F133" s="800"/>
      <c r="G133" s="800"/>
      <c r="H133" s="800"/>
      <c r="I133" s="943">
        <f t="shared" ca="1" si="71"/>
        <v>0</v>
      </c>
      <c r="J133" s="965">
        <f t="shared" ref="J133:AG133" ca="1" si="94">IF(AND(MOD(J$7-$C133,$E$82)=0,J$82&gt;ROUNDUP($C133/$E$82,0)),OFFSET(J106,0,-$E$82)-J106-J160,0)*J$6</f>
        <v>0</v>
      </c>
      <c r="K133" s="965">
        <f t="shared" ca="1" si="94"/>
        <v>0</v>
      </c>
      <c r="L133" s="965">
        <f t="shared" ca="1" si="94"/>
        <v>0</v>
      </c>
      <c r="M133" s="965">
        <f t="shared" ca="1" si="94"/>
        <v>0</v>
      </c>
      <c r="N133" s="965">
        <f t="shared" ca="1" si="94"/>
        <v>0</v>
      </c>
      <c r="O133" s="965">
        <f t="shared" ca="1" si="94"/>
        <v>0</v>
      </c>
      <c r="P133" s="965">
        <f t="shared" ca="1" si="94"/>
        <v>0</v>
      </c>
      <c r="Q133" s="965">
        <f t="shared" ca="1" si="94"/>
        <v>0</v>
      </c>
      <c r="R133" s="965">
        <f t="shared" ca="1" si="94"/>
        <v>0</v>
      </c>
      <c r="S133" s="965">
        <f t="shared" ca="1" si="94"/>
        <v>0</v>
      </c>
      <c r="T133" s="965">
        <f t="shared" ca="1" si="94"/>
        <v>0</v>
      </c>
      <c r="U133" s="965">
        <f t="shared" ca="1" si="94"/>
        <v>0</v>
      </c>
      <c r="V133" s="965">
        <f t="shared" ca="1" si="94"/>
        <v>0</v>
      </c>
      <c r="W133" s="965">
        <f t="shared" ca="1" si="94"/>
        <v>0</v>
      </c>
      <c r="X133" s="965">
        <f t="shared" ca="1" si="94"/>
        <v>0</v>
      </c>
      <c r="Y133" s="965">
        <f t="shared" ca="1" si="94"/>
        <v>0</v>
      </c>
      <c r="Z133" s="965">
        <f t="shared" ca="1" si="94"/>
        <v>0</v>
      </c>
      <c r="AA133" s="965">
        <f t="shared" ca="1" si="94"/>
        <v>0</v>
      </c>
      <c r="AB133" s="965">
        <f t="shared" ca="1" si="94"/>
        <v>0</v>
      </c>
      <c r="AC133" s="965">
        <f t="shared" ca="1" si="94"/>
        <v>0</v>
      </c>
      <c r="AD133" s="965">
        <f t="shared" ca="1" si="94"/>
        <v>0</v>
      </c>
      <c r="AE133" s="965">
        <f t="shared" ca="1" si="94"/>
        <v>0</v>
      </c>
      <c r="AF133" s="965">
        <f t="shared" ca="1" si="94"/>
        <v>0</v>
      </c>
      <c r="AG133" s="965">
        <f t="shared" ca="1" si="94"/>
        <v>0</v>
      </c>
    </row>
    <row r="134" spans="1:33" ht="17.25" customHeight="1" outlineLevel="2">
      <c r="A134" s="861"/>
      <c r="B134" s="861"/>
      <c r="C134" s="945">
        <f t="shared" si="73"/>
        <v>23</v>
      </c>
      <c r="D134" s="8" t="s">
        <v>39</v>
      </c>
      <c r="E134" s="878"/>
      <c r="F134" s="800"/>
      <c r="G134" s="800"/>
      <c r="H134" s="800"/>
      <c r="I134" s="943">
        <f t="shared" ca="1" si="71"/>
        <v>0</v>
      </c>
      <c r="J134" s="965">
        <f t="shared" ref="J134:AG134" ca="1" si="95">IF(AND(MOD(J$7-$C134,$E$82)=0,J$82&gt;ROUNDUP($C134/$E$82,0)),OFFSET(J107,0,-$E$82)-J107-J161,0)*J$6</f>
        <v>0</v>
      </c>
      <c r="K134" s="965">
        <f t="shared" ca="1" si="95"/>
        <v>0</v>
      </c>
      <c r="L134" s="965">
        <f t="shared" ca="1" si="95"/>
        <v>0</v>
      </c>
      <c r="M134" s="965">
        <f t="shared" ca="1" si="95"/>
        <v>0</v>
      </c>
      <c r="N134" s="965">
        <f t="shared" ca="1" si="95"/>
        <v>0</v>
      </c>
      <c r="O134" s="965">
        <f t="shared" ca="1" si="95"/>
        <v>0</v>
      </c>
      <c r="P134" s="965">
        <f t="shared" ca="1" si="95"/>
        <v>0</v>
      </c>
      <c r="Q134" s="965">
        <f t="shared" ca="1" si="95"/>
        <v>0</v>
      </c>
      <c r="R134" s="965">
        <f t="shared" ca="1" si="95"/>
        <v>0</v>
      </c>
      <c r="S134" s="965">
        <f t="shared" ca="1" si="95"/>
        <v>0</v>
      </c>
      <c r="T134" s="965">
        <f t="shared" ca="1" si="95"/>
        <v>0</v>
      </c>
      <c r="U134" s="965">
        <f t="shared" ca="1" si="95"/>
        <v>0</v>
      </c>
      <c r="V134" s="965">
        <f t="shared" ca="1" si="95"/>
        <v>0</v>
      </c>
      <c r="W134" s="965">
        <f t="shared" ca="1" si="95"/>
        <v>0</v>
      </c>
      <c r="X134" s="965">
        <f t="shared" ca="1" si="95"/>
        <v>0</v>
      </c>
      <c r="Y134" s="965">
        <f t="shared" ca="1" si="95"/>
        <v>0</v>
      </c>
      <c r="Z134" s="965">
        <f t="shared" ca="1" si="95"/>
        <v>0</v>
      </c>
      <c r="AA134" s="965">
        <f t="shared" ca="1" si="95"/>
        <v>0</v>
      </c>
      <c r="AB134" s="965">
        <f t="shared" ca="1" si="95"/>
        <v>0</v>
      </c>
      <c r="AC134" s="965">
        <f t="shared" ca="1" si="95"/>
        <v>0</v>
      </c>
      <c r="AD134" s="965">
        <f t="shared" ca="1" si="95"/>
        <v>0</v>
      </c>
      <c r="AE134" s="965">
        <f t="shared" ca="1" si="95"/>
        <v>0</v>
      </c>
      <c r="AF134" s="965">
        <f t="shared" ca="1" si="95"/>
        <v>0</v>
      </c>
      <c r="AG134" s="965">
        <f t="shared" ca="1" si="95"/>
        <v>0</v>
      </c>
    </row>
    <row r="135" spans="1:33" ht="17.25" customHeight="1" outlineLevel="2">
      <c r="A135" s="861"/>
      <c r="B135" s="861"/>
      <c r="C135" s="945">
        <f t="shared" si="73"/>
        <v>24</v>
      </c>
      <c r="D135" s="8" t="s">
        <v>39</v>
      </c>
      <c r="E135" s="878"/>
      <c r="F135" s="800"/>
      <c r="G135" s="800"/>
      <c r="H135" s="800"/>
      <c r="I135" s="943">
        <f t="shared" ca="1" si="71"/>
        <v>0</v>
      </c>
      <c r="J135" s="965">
        <f t="shared" ref="J135:AG135" ca="1" si="96">IF(AND(MOD(J$7-$C135,$E$82)=0,J$82&gt;ROUNDUP($C135/$E$82,0)),OFFSET(J108,0,-$E$82)-J108-J162,0)*J$6</f>
        <v>0</v>
      </c>
      <c r="K135" s="965">
        <f t="shared" ca="1" si="96"/>
        <v>0</v>
      </c>
      <c r="L135" s="965">
        <f t="shared" ca="1" si="96"/>
        <v>0</v>
      </c>
      <c r="M135" s="965">
        <f t="shared" ca="1" si="96"/>
        <v>0</v>
      </c>
      <c r="N135" s="965">
        <f t="shared" ca="1" si="96"/>
        <v>0</v>
      </c>
      <c r="O135" s="965">
        <f t="shared" ca="1" si="96"/>
        <v>0</v>
      </c>
      <c r="P135" s="965">
        <f t="shared" ca="1" si="96"/>
        <v>0</v>
      </c>
      <c r="Q135" s="965">
        <f t="shared" ca="1" si="96"/>
        <v>0</v>
      </c>
      <c r="R135" s="965">
        <f t="shared" ca="1" si="96"/>
        <v>0</v>
      </c>
      <c r="S135" s="965">
        <f t="shared" ca="1" si="96"/>
        <v>0</v>
      </c>
      <c r="T135" s="965">
        <f t="shared" ca="1" si="96"/>
        <v>0</v>
      </c>
      <c r="U135" s="965">
        <f t="shared" ca="1" si="96"/>
        <v>0</v>
      </c>
      <c r="V135" s="965">
        <f t="shared" ca="1" si="96"/>
        <v>0</v>
      </c>
      <c r="W135" s="965">
        <f t="shared" ca="1" si="96"/>
        <v>0</v>
      </c>
      <c r="X135" s="965">
        <f t="shared" ca="1" si="96"/>
        <v>0</v>
      </c>
      <c r="Y135" s="965">
        <f t="shared" ca="1" si="96"/>
        <v>0</v>
      </c>
      <c r="Z135" s="965">
        <f t="shared" ca="1" si="96"/>
        <v>0</v>
      </c>
      <c r="AA135" s="965">
        <f t="shared" ca="1" si="96"/>
        <v>0</v>
      </c>
      <c r="AB135" s="965">
        <f t="shared" ca="1" si="96"/>
        <v>0</v>
      </c>
      <c r="AC135" s="965">
        <f t="shared" ca="1" si="96"/>
        <v>0</v>
      </c>
      <c r="AD135" s="965">
        <f t="shared" ca="1" si="96"/>
        <v>0</v>
      </c>
      <c r="AE135" s="965">
        <f t="shared" ca="1" si="96"/>
        <v>0</v>
      </c>
      <c r="AF135" s="965">
        <f t="shared" ca="1" si="96"/>
        <v>0</v>
      </c>
      <c r="AG135" s="965">
        <f t="shared" ca="1" si="96"/>
        <v>0</v>
      </c>
    </row>
    <row r="136" spans="1:33" ht="17.25" customHeight="1" outlineLevel="2">
      <c r="A136" s="861"/>
      <c r="B136" s="861"/>
      <c r="C136" s="944" t="s">
        <v>744</v>
      </c>
      <c r="D136" s="8" t="s">
        <v>39</v>
      </c>
      <c r="E136" s="318"/>
      <c r="F136" s="344"/>
      <c r="G136" s="344"/>
      <c r="H136" s="344"/>
      <c r="I136" s="943">
        <f t="shared" ref="I136" ca="1" si="97">SUM(J136:AG136)</f>
        <v>370.53705275559929</v>
      </c>
      <c r="J136" s="942">
        <f t="shared" ref="J136:AG136" ca="1" si="98">SUM(J112:J135)</f>
        <v>0</v>
      </c>
      <c r="K136" s="942">
        <f t="shared" ca="1" si="98"/>
        <v>0</v>
      </c>
      <c r="L136" s="942">
        <f t="shared" ca="1" si="98"/>
        <v>0</v>
      </c>
      <c r="M136" s="942">
        <f t="shared" ca="1" si="98"/>
        <v>8.4999999999999787</v>
      </c>
      <c r="N136" s="942">
        <f t="shared" ca="1" si="98"/>
        <v>5</v>
      </c>
      <c r="O136" s="942">
        <f t="shared" ca="1" si="98"/>
        <v>6.25</v>
      </c>
      <c r="P136" s="942">
        <f t="shared" ca="1" si="98"/>
        <v>12.959999999999994</v>
      </c>
      <c r="Q136" s="942">
        <f t="shared" ca="1" si="98"/>
        <v>10.559999999999999</v>
      </c>
      <c r="R136" s="942">
        <f t="shared" ca="1" si="98"/>
        <v>11.780400000000004</v>
      </c>
      <c r="S136" s="942">
        <f t="shared" ca="1" si="98"/>
        <v>17.161216000000028</v>
      </c>
      <c r="T136" s="942">
        <f t="shared" ca="1" si="98"/>
        <v>15.629680640000009</v>
      </c>
      <c r="U136" s="942">
        <f t="shared" ca="1" si="98"/>
        <v>16.86134786560001</v>
      </c>
      <c r="V136" s="942">
        <f t="shared" ca="1" si="98"/>
        <v>21.267097780224013</v>
      </c>
      <c r="W136" s="942">
        <f t="shared" ca="1" si="98"/>
        <v>20.432113851432966</v>
      </c>
      <c r="X136" s="942">
        <f t="shared" ca="1" si="98"/>
        <v>21.710323205490266</v>
      </c>
      <c r="Y136" s="942">
        <f t="shared" ca="1" si="98"/>
        <v>25.414521093709887</v>
      </c>
      <c r="Z136" s="942">
        <f t="shared" ca="1" si="98"/>
        <v>25.149994379058313</v>
      </c>
      <c r="AA136" s="942">
        <f t="shared" ca="1" si="98"/>
        <v>26.506297002220617</v>
      </c>
      <c r="AB136" s="942">
        <f t="shared" ca="1" si="98"/>
        <v>29.721745451909438</v>
      </c>
      <c r="AC136" s="942">
        <f t="shared" ca="1" si="98"/>
        <v>29.9369735256018</v>
      </c>
      <c r="AD136" s="942">
        <f t="shared" ca="1" si="98"/>
        <v>31.400682631105866</v>
      </c>
      <c r="AE136" s="942">
        <f t="shared" ca="1" si="98"/>
        <v>34.294659329246137</v>
      </c>
      <c r="AF136" s="942">
        <f t="shared" ca="1" si="98"/>
        <v>0</v>
      </c>
      <c r="AG136" s="942">
        <f t="shared" ca="1" si="98"/>
        <v>0</v>
      </c>
    </row>
    <row r="137" spans="1:33" ht="17.25" customHeight="1" outlineLevel="2">
      <c r="A137" s="861"/>
      <c r="B137" s="861"/>
      <c r="C137" s="861"/>
      <c r="D137" s="861"/>
      <c r="E137" s="861"/>
      <c r="F137" s="861"/>
      <c r="G137" s="861"/>
      <c r="H137" s="861"/>
      <c r="I137" s="861"/>
      <c r="J137" s="861"/>
      <c r="K137" s="861"/>
      <c r="L137" s="861"/>
      <c r="M137" s="861"/>
      <c r="N137" s="861"/>
      <c r="O137" s="861"/>
      <c r="P137" s="861"/>
      <c r="Q137" s="861"/>
      <c r="R137" s="861"/>
      <c r="S137" s="861"/>
      <c r="T137" s="861"/>
      <c r="U137" s="861"/>
      <c r="V137" s="861"/>
      <c r="W137" s="861"/>
      <c r="X137" s="861"/>
      <c r="Y137" s="861"/>
      <c r="Z137" s="861"/>
      <c r="AA137" s="861"/>
      <c r="AB137" s="861"/>
      <c r="AC137" s="861"/>
      <c r="AD137" s="861"/>
      <c r="AE137" s="861"/>
      <c r="AF137" s="861"/>
      <c r="AG137" s="861"/>
    </row>
    <row r="138" spans="1:33" ht="17.25" customHeight="1" outlineLevel="1">
      <c r="A138" s="861"/>
      <c r="B138" s="268" t="s">
        <v>35</v>
      </c>
      <c r="C138" s="268" t="s">
        <v>743</v>
      </c>
      <c r="D138" s="861"/>
      <c r="E138" s="861"/>
      <c r="F138" s="861"/>
      <c r="G138" s="861"/>
      <c r="H138" s="861"/>
      <c r="I138" s="861"/>
      <c r="J138" s="941"/>
      <c r="K138" s="941"/>
      <c r="L138" s="941"/>
      <c r="M138" s="941"/>
      <c r="N138" s="941"/>
      <c r="O138" s="941"/>
      <c r="P138" s="941"/>
      <c r="Q138" s="941"/>
      <c r="R138" s="861"/>
      <c r="S138" s="861"/>
      <c r="T138" s="861"/>
      <c r="U138" s="861"/>
      <c r="V138" s="861"/>
      <c r="W138" s="861"/>
      <c r="X138" s="861"/>
      <c r="Y138" s="861"/>
      <c r="Z138" s="861"/>
      <c r="AA138" s="861"/>
      <c r="AB138" s="861"/>
      <c r="AC138" s="861"/>
      <c r="AD138" s="861"/>
      <c r="AE138" s="861"/>
      <c r="AF138" s="861"/>
      <c r="AG138" s="861"/>
    </row>
    <row r="139" spans="1:33" ht="17.25" customHeight="1" outlineLevel="2">
      <c r="A139" s="861"/>
      <c r="B139" s="861"/>
      <c r="C139" s="950">
        <v>1</v>
      </c>
      <c r="D139" s="8" t="s">
        <v>39</v>
      </c>
      <c r="E139" s="878"/>
      <c r="F139" s="800"/>
      <c r="G139" s="800"/>
      <c r="H139" s="800"/>
      <c r="I139" s="943">
        <f t="shared" ref="I139:I162" si="99">SUM(J139:AG139)</f>
        <v>114.8733423054848</v>
      </c>
      <c r="J139" s="965">
        <f t="shared" ref="J139:AG139" si="100">IF(AND(J$82&gt;ROUNDUP($C139/$E$82,0),MOD(J$7-$C139,$E$82)=0),J85/(1-$G$82)*$G$82,0)*J$6</f>
        <v>0</v>
      </c>
      <c r="K139" s="965">
        <f t="shared" si="100"/>
        <v>0</v>
      </c>
      <c r="L139" s="965">
        <f t="shared" si="100"/>
        <v>0</v>
      </c>
      <c r="M139" s="965">
        <f t="shared" si="100"/>
        <v>32.300000000000004</v>
      </c>
      <c r="N139" s="965">
        <f t="shared" si="100"/>
        <v>0</v>
      </c>
      <c r="O139" s="965">
        <f t="shared" si="100"/>
        <v>0</v>
      </c>
      <c r="P139" s="965">
        <f t="shared" si="100"/>
        <v>24.548000000000002</v>
      </c>
      <c r="Q139" s="965">
        <f t="shared" si="100"/>
        <v>0</v>
      </c>
      <c r="R139" s="965">
        <f t="shared" si="100"/>
        <v>0</v>
      </c>
      <c r="S139" s="965">
        <f t="shared" si="100"/>
        <v>18.656479999999998</v>
      </c>
      <c r="T139" s="965">
        <f t="shared" si="100"/>
        <v>0</v>
      </c>
      <c r="U139" s="965">
        <f t="shared" si="100"/>
        <v>0</v>
      </c>
      <c r="V139" s="965">
        <f t="shared" si="100"/>
        <v>14.178924799999999</v>
      </c>
      <c r="W139" s="965">
        <f t="shared" si="100"/>
        <v>0</v>
      </c>
      <c r="X139" s="965">
        <f t="shared" si="100"/>
        <v>0</v>
      </c>
      <c r="Y139" s="965">
        <f t="shared" si="100"/>
        <v>10.775982847999998</v>
      </c>
      <c r="Z139" s="965">
        <f t="shared" si="100"/>
        <v>0</v>
      </c>
      <c r="AA139" s="965">
        <f t="shared" si="100"/>
        <v>0</v>
      </c>
      <c r="AB139" s="965">
        <f t="shared" si="100"/>
        <v>8.1897469644799994</v>
      </c>
      <c r="AC139" s="965">
        <f t="shared" si="100"/>
        <v>0</v>
      </c>
      <c r="AD139" s="965">
        <f t="shared" si="100"/>
        <v>0</v>
      </c>
      <c r="AE139" s="965">
        <f t="shared" si="100"/>
        <v>6.2242076930048</v>
      </c>
      <c r="AF139" s="965">
        <f t="shared" si="100"/>
        <v>0</v>
      </c>
      <c r="AG139" s="965">
        <f t="shared" si="100"/>
        <v>0</v>
      </c>
    </row>
    <row r="140" spans="1:33" ht="17.25" customHeight="1" outlineLevel="2">
      <c r="A140" s="861"/>
      <c r="B140" s="861"/>
      <c r="C140" s="950">
        <f t="shared" ref="C140:C162" si="101">C139+1</f>
        <v>2</v>
      </c>
      <c r="D140" s="8" t="s">
        <v>39</v>
      </c>
      <c r="E140" s="878"/>
      <c r="F140" s="800"/>
      <c r="G140" s="800"/>
      <c r="H140" s="800"/>
      <c r="I140" s="943">
        <f t="shared" si="99"/>
        <v>63.911255654400001</v>
      </c>
      <c r="J140" s="965">
        <f t="shared" ref="J140:AG140" si="102">IF(AND(J$82&gt;ROUNDUP($C140/$E$82,0),MOD(J$7-$C140,$E$82)=0),J86/(1-$G$82)*$G$82,0)*J$6</f>
        <v>0</v>
      </c>
      <c r="K140" s="965">
        <f t="shared" si="102"/>
        <v>0</v>
      </c>
      <c r="L140" s="965">
        <f t="shared" si="102"/>
        <v>0</v>
      </c>
      <c r="M140" s="965">
        <f t="shared" si="102"/>
        <v>0</v>
      </c>
      <c r="N140" s="965">
        <f t="shared" si="102"/>
        <v>19</v>
      </c>
      <c r="O140" s="965">
        <f t="shared" si="102"/>
        <v>0</v>
      </c>
      <c r="P140" s="965">
        <f t="shared" si="102"/>
        <v>0</v>
      </c>
      <c r="Q140" s="965">
        <f t="shared" si="102"/>
        <v>14.440000000000001</v>
      </c>
      <c r="R140" s="965">
        <f t="shared" si="102"/>
        <v>0</v>
      </c>
      <c r="S140" s="965">
        <f t="shared" si="102"/>
        <v>0</v>
      </c>
      <c r="T140" s="965">
        <f t="shared" si="102"/>
        <v>10.974400000000001</v>
      </c>
      <c r="U140" s="965">
        <f t="shared" si="102"/>
        <v>0</v>
      </c>
      <c r="V140" s="965">
        <f t="shared" si="102"/>
        <v>0</v>
      </c>
      <c r="W140" s="965">
        <f t="shared" si="102"/>
        <v>8.3405439999999995</v>
      </c>
      <c r="X140" s="965">
        <f t="shared" si="102"/>
        <v>0</v>
      </c>
      <c r="Y140" s="965">
        <f t="shared" si="102"/>
        <v>0</v>
      </c>
      <c r="Z140" s="965">
        <f t="shared" si="102"/>
        <v>6.3388134399999991</v>
      </c>
      <c r="AA140" s="965">
        <f t="shared" si="102"/>
        <v>0</v>
      </c>
      <c r="AB140" s="965">
        <f t="shared" si="102"/>
        <v>0</v>
      </c>
      <c r="AC140" s="965">
        <f t="shared" si="102"/>
        <v>4.8174982143999996</v>
      </c>
      <c r="AD140" s="965">
        <f t="shared" si="102"/>
        <v>0</v>
      </c>
      <c r="AE140" s="965">
        <f t="shared" si="102"/>
        <v>0</v>
      </c>
      <c r="AF140" s="965">
        <f t="shared" si="102"/>
        <v>0</v>
      </c>
      <c r="AG140" s="965">
        <f t="shared" si="102"/>
        <v>0</v>
      </c>
    </row>
    <row r="141" spans="1:33" ht="17.25" customHeight="1" outlineLevel="2">
      <c r="A141" s="861"/>
      <c r="B141" s="861"/>
      <c r="C141" s="950">
        <f t="shared" si="101"/>
        <v>3</v>
      </c>
      <c r="D141" s="8" t="s">
        <v>39</v>
      </c>
      <c r="E141" s="878"/>
      <c r="F141" s="800"/>
      <c r="G141" s="800"/>
      <c r="H141" s="800"/>
      <c r="I141" s="943">
        <f t="shared" si="99"/>
        <v>79.889069567999996</v>
      </c>
      <c r="J141" s="965">
        <f t="shared" ref="J141:AG141" si="103">IF(AND(J$82&gt;ROUNDUP($C141/$E$82,0),MOD(J$7-$C141,$E$82)=0),J87/(1-$G$82)*$G$82,0)*J$6</f>
        <v>0</v>
      </c>
      <c r="K141" s="965">
        <f t="shared" si="103"/>
        <v>0</v>
      </c>
      <c r="L141" s="965">
        <f t="shared" si="103"/>
        <v>0</v>
      </c>
      <c r="M141" s="965">
        <f t="shared" si="103"/>
        <v>0</v>
      </c>
      <c r="N141" s="965">
        <f t="shared" si="103"/>
        <v>0</v>
      </c>
      <c r="O141" s="965">
        <f t="shared" si="103"/>
        <v>23.75</v>
      </c>
      <c r="P141" s="965">
        <f t="shared" si="103"/>
        <v>0</v>
      </c>
      <c r="Q141" s="965">
        <f t="shared" si="103"/>
        <v>0</v>
      </c>
      <c r="R141" s="965">
        <f t="shared" si="103"/>
        <v>18.05</v>
      </c>
      <c r="S141" s="965">
        <f t="shared" si="103"/>
        <v>0</v>
      </c>
      <c r="T141" s="965">
        <f t="shared" si="103"/>
        <v>0</v>
      </c>
      <c r="U141" s="965">
        <f t="shared" si="103"/>
        <v>13.718000000000002</v>
      </c>
      <c r="V141" s="965">
        <f t="shared" si="103"/>
        <v>0</v>
      </c>
      <c r="W141" s="965">
        <f t="shared" si="103"/>
        <v>0</v>
      </c>
      <c r="X141" s="965">
        <f t="shared" si="103"/>
        <v>10.425680000000002</v>
      </c>
      <c r="Y141" s="965">
        <f t="shared" si="103"/>
        <v>0</v>
      </c>
      <c r="Z141" s="965">
        <f t="shared" si="103"/>
        <v>0</v>
      </c>
      <c r="AA141" s="965">
        <f t="shared" si="103"/>
        <v>7.9235168000000007</v>
      </c>
      <c r="AB141" s="965">
        <f t="shared" si="103"/>
        <v>0</v>
      </c>
      <c r="AC141" s="965">
        <f t="shared" si="103"/>
        <v>0</v>
      </c>
      <c r="AD141" s="965">
        <f t="shared" si="103"/>
        <v>6.0218727680000006</v>
      </c>
      <c r="AE141" s="965">
        <f t="shared" si="103"/>
        <v>0</v>
      </c>
      <c r="AF141" s="965">
        <f t="shared" si="103"/>
        <v>0</v>
      </c>
      <c r="AG141" s="965">
        <f t="shared" si="103"/>
        <v>0</v>
      </c>
    </row>
    <row r="142" spans="1:33" ht="17.25" customHeight="1" outlineLevel="2">
      <c r="A142" s="861"/>
      <c r="B142" s="861"/>
      <c r="C142" s="950">
        <f t="shared" si="101"/>
        <v>4</v>
      </c>
      <c r="D142" s="8" t="s">
        <v>39</v>
      </c>
      <c r="E142" s="878"/>
      <c r="F142" s="800"/>
      <c r="G142" s="800"/>
      <c r="H142" s="800"/>
      <c r="I142" s="943">
        <f t="shared" si="99"/>
        <v>83.084632350720014</v>
      </c>
      <c r="J142" s="965">
        <f t="shared" ref="J142:AG142" si="104">IF(AND(J$82&gt;ROUNDUP($C142/$E$82,0),MOD(J$7-$C142,$E$82)=0),J88/(1-$G$82)*$G$82,0)*J$6</f>
        <v>0</v>
      </c>
      <c r="K142" s="965">
        <f t="shared" si="104"/>
        <v>0</v>
      </c>
      <c r="L142" s="965">
        <f t="shared" si="104"/>
        <v>0</v>
      </c>
      <c r="M142" s="965">
        <f t="shared" si="104"/>
        <v>0</v>
      </c>
      <c r="N142" s="965">
        <f t="shared" si="104"/>
        <v>0</v>
      </c>
      <c r="O142" s="965">
        <f t="shared" si="104"/>
        <v>0</v>
      </c>
      <c r="P142" s="965">
        <f t="shared" si="104"/>
        <v>24.700000000000003</v>
      </c>
      <c r="Q142" s="965">
        <f t="shared" si="104"/>
        <v>0</v>
      </c>
      <c r="R142" s="965">
        <f t="shared" si="104"/>
        <v>0</v>
      </c>
      <c r="S142" s="965">
        <f t="shared" si="104"/>
        <v>18.772000000000002</v>
      </c>
      <c r="T142" s="965">
        <f t="shared" si="104"/>
        <v>0</v>
      </c>
      <c r="U142" s="965">
        <f t="shared" si="104"/>
        <v>0</v>
      </c>
      <c r="V142" s="965">
        <f t="shared" si="104"/>
        <v>14.266720000000001</v>
      </c>
      <c r="W142" s="965">
        <f t="shared" si="104"/>
        <v>0</v>
      </c>
      <c r="X142" s="965">
        <f t="shared" si="104"/>
        <v>0</v>
      </c>
      <c r="Y142" s="965">
        <f t="shared" si="104"/>
        <v>10.842707200000001</v>
      </c>
      <c r="Z142" s="965">
        <f t="shared" si="104"/>
        <v>0</v>
      </c>
      <c r="AA142" s="965">
        <f t="shared" si="104"/>
        <v>0</v>
      </c>
      <c r="AB142" s="965">
        <f t="shared" si="104"/>
        <v>8.240457472000001</v>
      </c>
      <c r="AC142" s="965">
        <f t="shared" si="104"/>
        <v>0</v>
      </c>
      <c r="AD142" s="965">
        <f t="shared" si="104"/>
        <v>0</v>
      </c>
      <c r="AE142" s="965">
        <f t="shared" si="104"/>
        <v>6.2627476787200003</v>
      </c>
      <c r="AF142" s="965">
        <f t="shared" si="104"/>
        <v>0</v>
      </c>
      <c r="AG142" s="965">
        <f t="shared" si="104"/>
        <v>0</v>
      </c>
    </row>
    <row r="143" spans="1:33" ht="17.25" customHeight="1" outlineLevel="2">
      <c r="A143" s="861"/>
      <c r="B143" s="861"/>
      <c r="C143" s="950">
        <f t="shared" si="101"/>
        <v>5</v>
      </c>
      <c r="D143" s="8" t="s">
        <v>39</v>
      </c>
      <c r="E143" s="878"/>
      <c r="F143" s="800"/>
      <c r="G143" s="800"/>
      <c r="H143" s="800"/>
      <c r="I143" s="943">
        <f t="shared" si="99"/>
        <v>79.894760058879996</v>
      </c>
      <c r="J143" s="965">
        <f t="shared" ref="J143:AG143" si="105">IF(AND(J$82&gt;ROUNDUP($C143/$E$82,0),MOD(J$7-$C143,$E$82)=0),J89/(1-$G$82)*$G$82,0)*J$6</f>
        <v>0</v>
      </c>
      <c r="K143" s="965">
        <f t="shared" si="105"/>
        <v>0</v>
      </c>
      <c r="L143" s="965">
        <f t="shared" si="105"/>
        <v>0</v>
      </c>
      <c r="M143" s="965">
        <f t="shared" si="105"/>
        <v>0</v>
      </c>
      <c r="N143" s="965">
        <f t="shared" si="105"/>
        <v>0</v>
      </c>
      <c r="O143" s="965">
        <f t="shared" si="105"/>
        <v>0</v>
      </c>
      <c r="P143" s="965">
        <f t="shared" si="105"/>
        <v>0</v>
      </c>
      <c r="Q143" s="965">
        <f t="shared" si="105"/>
        <v>25.688000000000002</v>
      </c>
      <c r="R143" s="965">
        <f t="shared" si="105"/>
        <v>0</v>
      </c>
      <c r="S143" s="965">
        <f t="shared" si="105"/>
        <v>0</v>
      </c>
      <c r="T143" s="965">
        <f t="shared" si="105"/>
        <v>19.522880000000001</v>
      </c>
      <c r="U143" s="965">
        <f t="shared" si="105"/>
        <v>0</v>
      </c>
      <c r="V143" s="965">
        <f t="shared" si="105"/>
        <v>0</v>
      </c>
      <c r="W143" s="965">
        <f t="shared" si="105"/>
        <v>14.837388799999999</v>
      </c>
      <c r="X143" s="965">
        <f t="shared" si="105"/>
        <v>0</v>
      </c>
      <c r="Y143" s="965">
        <f t="shared" si="105"/>
        <v>0</v>
      </c>
      <c r="Z143" s="965">
        <f t="shared" si="105"/>
        <v>11.276415488</v>
      </c>
      <c r="AA143" s="965">
        <f t="shared" si="105"/>
        <v>0</v>
      </c>
      <c r="AB143" s="965">
        <f t="shared" si="105"/>
        <v>0</v>
      </c>
      <c r="AC143" s="965">
        <f t="shared" si="105"/>
        <v>8.5700757708800008</v>
      </c>
      <c r="AD143" s="965">
        <f t="shared" si="105"/>
        <v>0</v>
      </c>
      <c r="AE143" s="965">
        <f t="shared" si="105"/>
        <v>0</v>
      </c>
      <c r="AF143" s="965">
        <f t="shared" si="105"/>
        <v>0</v>
      </c>
      <c r="AG143" s="965">
        <f t="shared" si="105"/>
        <v>0</v>
      </c>
    </row>
    <row r="144" spans="1:33" ht="17.25" customHeight="1" outlineLevel="2">
      <c r="A144" s="861"/>
      <c r="B144" s="861"/>
      <c r="C144" s="950">
        <f t="shared" si="101"/>
        <v>6</v>
      </c>
      <c r="D144" s="8" t="s">
        <v>39</v>
      </c>
      <c r="E144" s="878"/>
      <c r="F144" s="800"/>
      <c r="G144" s="800"/>
      <c r="H144" s="800"/>
      <c r="I144" s="943">
        <f t="shared" si="99"/>
        <v>83.090550461235196</v>
      </c>
      <c r="J144" s="965">
        <f t="shared" ref="J144:AG144" si="106">IF(AND(J$82&gt;ROUNDUP($C144/$E$82,0),MOD(J$7-$C144,$E$82)=0),J90/(1-$G$82)*$G$82,0)*J$6</f>
        <v>0</v>
      </c>
      <c r="K144" s="965">
        <f t="shared" si="106"/>
        <v>0</v>
      </c>
      <c r="L144" s="965">
        <f t="shared" si="106"/>
        <v>0</v>
      </c>
      <c r="M144" s="965">
        <f t="shared" si="106"/>
        <v>0</v>
      </c>
      <c r="N144" s="965">
        <f t="shared" si="106"/>
        <v>0</v>
      </c>
      <c r="O144" s="965">
        <f t="shared" si="106"/>
        <v>0</v>
      </c>
      <c r="P144" s="965">
        <f t="shared" si="106"/>
        <v>0</v>
      </c>
      <c r="Q144" s="965">
        <f t="shared" si="106"/>
        <v>0</v>
      </c>
      <c r="R144" s="965">
        <f t="shared" si="106"/>
        <v>26.715520000000005</v>
      </c>
      <c r="S144" s="965">
        <f t="shared" si="106"/>
        <v>0</v>
      </c>
      <c r="T144" s="965">
        <f t="shared" si="106"/>
        <v>0</v>
      </c>
      <c r="U144" s="965">
        <f t="shared" si="106"/>
        <v>20.303795200000003</v>
      </c>
      <c r="V144" s="965">
        <f t="shared" si="106"/>
        <v>0</v>
      </c>
      <c r="W144" s="965">
        <f t="shared" si="106"/>
        <v>0</v>
      </c>
      <c r="X144" s="965">
        <f t="shared" si="106"/>
        <v>15.430884352000001</v>
      </c>
      <c r="Y144" s="965">
        <f t="shared" si="106"/>
        <v>0</v>
      </c>
      <c r="Z144" s="965">
        <f t="shared" si="106"/>
        <v>0</v>
      </c>
      <c r="AA144" s="965">
        <f t="shared" si="106"/>
        <v>11.727472107520001</v>
      </c>
      <c r="AB144" s="965">
        <f t="shared" si="106"/>
        <v>0</v>
      </c>
      <c r="AC144" s="965">
        <f t="shared" si="106"/>
        <v>0</v>
      </c>
      <c r="AD144" s="965">
        <f t="shared" si="106"/>
        <v>8.9128788017152001</v>
      </c>
      <c r="AE144" s="965">
        <f t="shared" si="106"/>
        <v>0</v>
      </c>
      <c r="AF144" s="965">
        <f t="shared" si="106"/>
        <v>0</v>
      </c>
      <c r="AG144" s="965">
        <f t="shared" si="106"/>
        <v>0</v>
      </c>
    </row>
    <row r="145" spans="1:33" ht="17.25" customHeight="1" outlineLevel="2">
      <c r="A145" s="861"/>
      <c r="B145" s="861"/>
      <c r="C145" s="950">
        <f t="shared" si="101"/>
        <v>7</v>
      </c>
      <c r="D145" s="8" t="s">
        <v>39</v>
      </c>
      <c r="E145" s="878"/>
      <c r="F145" s="800"/>
      <c r="G145" s="800"/>
      <c r="H145" s="800"/>
      <c r="I145" s="943">
        <f t="shared" si="99"/>
        <v>86.414172479684623</v>
      </c>
      <c r="J145" s="965">
        <f t="shared" ref="J145:AG145" si="107">IF(AND(J$82&gt;ROUNDUP($C145/$E$82,0),MOD(J$7-$C145,$E$82)=0),J91/(1-$G$82)*$G$82,0)*J$6</f>
        <v>0</v>
      </c>
      <c r="K145" s="965">
        <f t="shared" si="107"/>
        <v>0</v>
      </c>
      <c r="L145" s="965">
        <f t="shared" si="107"/>
        <v>0</v>
      </c>
      <c r="M145" s="965">
        <f t="shared" si="107"/>
        <v>0</v>
      </c>
      <c r="N145" s="965">
        <f t="shared" si="107"/>
        <v>0</v>
      </c>
      <c r="O145" s="965">
        <f t="shared" si="107"/>
        <v>0</v>
      </c>
      <c r="P145" s="965">
        <f t="shared" si="107"/>
        <v>0</v>
      </c>
      <c r="Q145" s="965">
        <f t="shared" si="107"/>
        <v>0</v>
      </c>
      <c r="R145" s="965">
        <f t="shared" si="107"/>
        <v>0</v>
      </c>
      <c r="S145" s="965">
        <f t="shared" si="107"/>
        <v>27.784140800000007</v>
      </c>
      <c r="T145" s="965">
        <f t="shared" si="107"/>
        <v>0</v>
      </c>
      <c r="U145" s="965">
        <f t="shared" si="107"/>
        <v>0</v>
      </c>
      <c r="V145" s="965">
        <f t="shared" si="107"/>
        <v>21.115947008000006</v>
      </c>
      <c r="W145" s="965">
        <f t="shared" si="107"/>
        <v>0</v>
      </c>
      <c r="X145" s="965">
        <f t="shared" si="107"/>
        <v>0</v>
      </c>
      <c r="Y145" s="965">
        <f t="shared" si="107"/>
        <v>16.048119726080003</v>
      </c>
      <c r="Z145" s="965">
        <f t="shared" si="107"/>
        <v>0</v>
      </c>
      <c r="AA145" s="965">
        <f t="shared" si="107"/>
        <v>0</v>
      </c>
      <c r="AB145" s="965">
        <f t="shared" si="107"/>
        <v>12.196570991820803</v>
      </c>
      <c r="AC145" s="965">
        <f t="shared" si="107"/>
        <v>0</v>
      </c>
      <c r="AD145" s="965">
        <f t="shared" si="107"/>
        <v>0</v>
      </c>
      <c r="AE145" s="965">
        <f t="shared" si="107"/>
        <v>9.2693939537838101</v>
      </c>
      <c r="AF145" s="965">
        <f t="shared" si="107"/>
        <v>0</v>
      </c>
      <c r="AG145" s="965">
        <f t="shared" si="107"/>
        <v>0</v>
      </c>
    </row>
    <row r="146" spans="1:33" ht="17.25" customHeight="1" outlineLevel="2">
      <c r="A146" s="861"/>
      <c r="B146" s="861"/>
      <c r="C146" s="950">
        <f t="shared" si="101"/>
        <v>8</v>
      </c>
      <c r="D146" s="8" t="s">
        <v>39</v>
      </c>
      <c r="E146" s="878"/>
      <c r="F146" s="800"/>
      <c r="G146" s="800"/>
      <c r="H146" s="800"/>
      <c r="I146" s="943">
        <f t="shared" si="99"/>
        <v>80.230569666936859</v>
      </c>
      <c r="J146" s="965">
        <f t="shared" ref="J146:AG146" si="108">IF(AND(J$82&gt;ROUNDUP($C146/$E$82,0),MOD(J$7-$C146,$E$82)=0),J92/(1-$G$82)*$G$82,0)*J$6</f>
        <v>0</v>
      </c>
      <c r="K146" s="965">
        <f t="shared" si="108"/>
        <v>0</v>
      </c>
      <c r="L146" s="965">
        <f t="shared" si="108"/>
        <v>0</v>
      </c>
      <c r="M146" s="965">
        <f t="shared" si="108"/>
        <v>0</v>
      </c>
      <c r="N146" s="965">
        <f t="shared" si="108"/>
        <v>0</v>
      </c>
      <c r="O146" s="965">
        <f t="shared" si="108"/>
        <v>0</v>
      </c>
      <c r="P146" s="965">
        <f t="shared" si="108"/>
        <v>0</v>
      </c>
      <c r="Q146" s="965">
        <f t="shared" si="108"/>
        <v>0</v>
      </c>
      <c r="R146" s="965">
        <f t="shared" si="108"/>
        <v>0</v>
      </c>
      <c r="S146" s="965">
        <f t="shared" si="108"/>
        <v>0</v>
      </c>
      <c r="T146" s="965">
        <f t="shared" si="108"/>
        <v>28.895506432000008</v>
      </c>
      <c r="U146" s="965">
        <f t="shared" si="108"/>
        <v>0</v>
      </c>
      <c r="V146" s="965">
        <f t="shared" si="108"/>
        <v>0</v>
      </c>
      <c r="W146" s="965">
        <f t="shared" si="108"/>
        <v>21.960584888320007</v>
      </c>
      <c r="X146" s="965">
        <f t="shared" si="108"/>
        <v>0</v>
      </c>
      <c r="Y146" s="965">
        <f t="shared" si="108"/>
        <v>0</v>
      </c>
      <c r="Z146" s="965">
        <f t="shared" si="108"/>
        <v>16.690044515123205</v>
      </c>
      <c r="AA146" s="965">
        <f t="shared" si="108"/>
        <v>0</v>
      </c>
      <c r="AB146" s="965">
        <f t="shared" si="108"/>
        <v>0</v>
      </c>
      <c r="AC146" s="965">
        <f t="shared" si="108"/>
        <v>12.684433831493635</v>
      </c>
      <c r="AD146" s="965">
        <f t="shared" si="108"/>
        <v>0</v>
      </c>
      <c r="AE146" s="965">
        <f t="shared" si="108"/>
        <v>0</v>
      </c>
      <c r="AF146" s="965">
        <f t="shared" si="108"/>
        <v>0</v>
      </c>
      <c r="AG146" s="965">
        <f t="shared" si="108"/>
        <v>0</v>
      </c>
    </row>
    <row r="147" spans="1:33" ht="17.25" customHeight="1" outlineLevel="2">
      <c r="A147" s="861"/>
      <c r="B147" s="861"/>
      <c r="C147" s="950">
        <f t="shared" si="101"/>
        <v>9</v>
      </c>
      <c r="D147" s="8" t="s">
        <v>39</v>
      </c>
      <c r="E147" s="878"/>
      <c r="F147" s="800"/>
      <c r="G147" s="800"/>
      <c r="H147" s="800"/>
      <c r="I147" s="943">
        <f t="shared" si="99"/>
        <v>83.439792453614317</v>
      </c>
      <c r="J147" s="965">
        <f t="shared" ref="J147:AG147" si="109">IF(AND(J$82&gt;ROUNDUP($C147/$E$82,0),MOD(J$7-$C147,$E$82)=0),J93/(1-$G$82)*$G$82,0)*J$6</f>
        <v>0</v>
      </c>
      <c r="K147" s="965">
        <f t="shared" si="109"/>
        <v>0</v>
      </c>
      <c r="L147" s="965">
        <f t="shared" si="109"/>
        <v>0</v>
      </c>
      <c r="M147" s="965">
        <f t="shared" si="109"/>
        <v>0</v>
      </c>
      <c r="N147" s="965">
        <f t="shared" si="109"/>
        <v>0</v>
      </c>
      <c r="O147" s="965">
        <f t="shared" si="109"/>
        <v>0</v>
      </c>
      <c r="P147" s="965">
        <f t="shared" si="109"/>
        <v>0</v>
      </c>
      <c r="Q147" s="965">
        <f t="shared" si="109"/>
        <v>0</v>
      </c>
      <c r="R147" s="965">
        <f t="shared" si="109"/>
        <v>0</v>
      </c>
      <c r="S147" s="965">
        <f t="shared" si="109"/>
        <v>0</v>
      </c>
      <c r="T147" s="965">
        <f t="shared" si="109"/>
        <v>0</v>
      </c>
      <c r="U147" s="965">
        <f t="shared" si="109"/>
        <v>30.051326689280007</v>
      </c>
      <c r="V147" s="965">
        <f t="shared" si="109"/>
        <v>0</v>
      </c>
      <c r="W147" s="965">
        <f t="shared" si="109"/>
        <v>0</v>
      </c>
      <c r="X147" s="965">
        <f t="shared" si="109"/>
        <v>22.839008283852806</v>
      </c>
      <c r="Y147" s="965">
        <f t="shared" si="109"/>
        <v>0</v>
      </c>
      <c r="Z147" s="965">
        <f t="shared" si="109"/>
        <v>0</v>
      </c>
      <c r="AA147" s="965">
        <f t="shared" si="109"/>
        <v>17.357646295728131</v>
      </c>
      <c r="AB147" s="965">
        <f t="shared" si="109"/>
        <v>0</v>
      </c>
      <c r="AC147" s="965">
        <f t="shared" si="109"/>
        <v>0</v>
      </c>
      <c r="AD147" s="965">
        <f t="shared" si="109"/>
        <v>13.19181118475338</v>
      </c>
      <c r="AE147" s="965">
        <f t="shared" si="109"/>
        <v>0</v>
      </c>
      <c r="AF147" s="965">
        <f t="shared" si="109"/>
        <v>0</v>
      </c>
      <c r="AG147" s="965">
        <f t="shared" si="109"/>
        <v>0</v>
      </c>
    </row>
    <row r="148" spans="1:33" ht="17.25" customHeight="1" outlineLevel="2">
      <c r="A148" s="861"/>
      <c r="B148" s="861"/>
      <c r="C148" s="950">
        <f t="shared" si="101"/>
        <v>10</v>
      </c>
      <c r="D148" s="8" t="s">
        <v>39</v>
      </c>
      <c r="E148" s="878"/>
      <c r="F148" s="800"/>
      <c r="G148" s="800"/>
      <c r="H148" s="800"/>
      <c r="I148" s="943">
        <f t="shared" si="99"/>
        <v>86.777384151758895</v>
      </c>
      <c r="J148" s="965">
        <f t="shared" ref="J148:AG148" si="110">IF(AND(J$82&gt;ROUNDUP($C148/$E$82,0),MOD(J$7-$C148,$E$82)=0),J94/(1-$G$82)*$G$82,0)*J$6</f>
        <v>0</v>
      </c>
      <c r="K148" s="965">
        <f t="shared" si="110"/>
        <v>0</v>
      </c>
      <c r="L148" s="965">
        <f t="shared" si="110"/>
        <v>0</v>
      </c>
      <c r="M148" s="965">
        <f t="shared" si="110"/>
        <v>0</v>
      </c>
      <c r="N148" s="965">
        <f t="shared" si="110"/>
        <v>0</v>
      </c>
      <c r="O148" s="965">
        <f t="shared" si="110"/>
        <v>0</v>
      </c>
      <c r="P148" s="965">
        <f t="shared" si="110"/>
        <v>0</v>
      </c>
      <c r="Q148" s="965">
        <f t="shared" si="110"/>
        <v>0</v>
      </c>
      <c r="R148" s="965">
        <f t="shared" si="110"/>
        <v>0</v>
      </c>
      <c r="S148" s="965">
        <f t="shared" si="110"/>
        <v>0</v>
      </c>
      <c r="T148" s="965">
        <f t="shared" si="110"/>
        <v>0</v>
      </c>
      <c r="U148" s="965">
        <f t="shared" si="110"/>
        <v>0</v>
      </c>
      <c r="V148" s="965">
        <f t="shared" si="110"/>
        <v>31.253379756851206</v>
      </c>
      <c r="W148" s="965">
        <f t="shared" si="110"/>
        <v>0</v>
      </c>
      <c r="X148" s="965">
        <f t="shared" si="110"/>
        <v>0</v>
      </c>
      <c r="Y148" s="965">
        <f t="shared" si="110"/>
        <v>23.752568615206918</v>
      </c>
      <c r="Z148" s="965">
        <f t="shared" si="110"/>
        <v>0</v>
      </c>
      <c r="AA148" s="965">
        <f t="shared" si="110"/>
        <v>0</v>
      </c>
      <c r="AB148" s="965">
        <f t="shared" si="110"/>
        <v>18.051952147557255</v>
      </c>
      <c r="AC148" s="965">
        <f t="shared" si="110"/>
        <v>0</v>
      </c>
      <c r="AD148" s="965">
        <f t="shared" si="110"/>
        <v>0</v>
      </c>
      <c r="AE148" s="965">
        <f t="shared" si="110"/>
        <v>13.719483632143515</v>
      </c>
      <c r="AF148" s="965">
        <f t="shared" si="110"/>
        <v>0</v>
      </c>
      <c r="AG148" s="965">
        <f t="shared" si="110"/>
        <v>0</v>
      </c>
    </row>
    <row r="149" spans="1:33" ht="17.25" customHeight="1" outlineLevel="2">
      <c r="A149" s="861"/>
      <c r="B149" s="861"/>
      <c r="C149" s="950">
        <f t="shared" si="101"/>
        <v>11</v>
      </c>
      <c r="D149" s="8" t="s">
        <v>39</v>
      </c>
      <c r="E149" s="878"/>
      <c r="F149" s="800"/>
      <c r="G149" s="800"/>
      <c r="H149" s="800"/>
      <c r="I149" s="943">
        <f t="shared" si="99"/>
        <v>75.980216540400008</v>
      </c>
      <c r="J149" s="965">
        <f t="shared" ref="J149:AG149" si="111">IF(AND(J$82&gt;ROUNDUP($C149/$E$82,0),MOD(J$7-$C149,$E$82)=0),J95/(1-$G$82)*$G$82,0)*J$6</f>
        <v>0</v>
      </c>
      <c r="K149" s="965">
        <f t="shared" si="111"/>
        <v>0</v>
      </c>
      <c r="L149" s="965">
        <f t="shared" si="111"/>
        <v>0</v>
      </c>
      <c r="M149" s="965">
        <f t="shared" si="111"/>
        <v>0</v>
      </c>
      <c r="N149" s="965">
        <f t="shared" si="111"/>
        <v>0</v>
      </c>
      <c r="O149" s="965">
        <f t="shared" si="111"/>
        <v>0</v>
      </c>
      <c r="P149" s="965">
        <f t="shared" si="111"/>
        <v>0</v>
      </c>
      <c r="Q149" s="965">
        <f t="shared" si="111"/>
        <v>0</v>
      </c>
      <c r="R149" s="965">
        <f t="shared" si="111"/>
        <v>0</v>
      </c>
      <c r="S149" s="965">
        <f t="shared" si="111"/>
        <v>0</v>
      </c>
      <c r="T149" s="965">
        <f t="shared" si="111"/>
        <v>0</v>
      </c>
      <c r="U149" s="965">
        <f t="shared" si="111"/>
        <v>0</v>
      </c>
      <c r="V149" s="965">
        <f t="shared" si="111"/>
        <v>0</v>
      </c>
      <c r="W149" s="965">
        <f t="shared" si="111"/>
        <v>32.503514947125261</v>
      </c>
      <c r="X149" s="965">
        <f t="shared" si="111"/>
        <v>0</v>
      </c>
      <c r="Y149" s="965">
        <f t="shared" si="111"/>
        <v>0</v>
      </c>
      <c r="Z149" s="965">
        <f t="shared" si="111"/>
        <v>24.702671359815199</v>
      </c>
      <c r="AA149" s="965">
        <f t="shared" si="111"/>
        <v>0</v>
      </c>
      <c r="AB149" s="965">
        <f t="shared" si="111"/>
        <v>0</v>
      </c>
      <c r="AC149" s="965">
        <f t="shared" si="111"/>
        <v>18.774030233459552</v>
      </c>
      <c r="AD149" s="965">
        <f t="shared" si="111"/>
        <v>0</v>
      </c>
      <c r="AE149" s="965">
        <f t="shared" si="111"/>
        <v>0</v>
      </c>
      <c r="AF149" s="965">
        <f t="shared" si="111"/>
        <v>0</v>
      </c>
      <c r="AG149" s="965">
        <f t="shared" si="111"/>
        <v>0</v>
      </c>
    </row>
    <row r="150" spans="1:33" ht="17.25" customHeight="1" outlineLevel="2">
      <c r="A150" s="861"/>
      <c r="B150" s="861"/>
      <c r="C150" s="950">
        <f t="shared" si="101"/>
        <v>12</v>
      </c>
      <c r="D150" s="8" t="s">
        <v>39</v>
      </c>
      <c r="E150" s="878"/>
      <c r="F150" s="800"/>
      <c r="G150" s="800"/>
      <c r="H150" s="800"/>
      <c r="I150" s="943">
        <f t="shared" si="99"/>
        <v>79.019425202016023</v>
      </c>
      <c r="J150" s="965">
        <f t="shared" ref="J150:AG150" si="112">IF(AND(J$82&gt;ROUNDUP($C150/$E$82,0),MOD(J$7-$C150,$E$82)=0),J96/(1-$G$82)*$G$82,0)*J$6</f>
        <v>0</v>
      </c>
      <c r="K150" s="965">
        <f t="shared" si="112"/>
        <v>0</v>
      </c>
      <c r="L150" s="965">
        <f t="shared" si="112"/>
        <v>0</v>
      </c>
      <c r="M150" s="965">
        <f t="shared" si="112"/>
        <v>0</v>
      </c>
      <c r="N150" s="965">
        <f t="shared" si="112"/>
        <v>0</v>
      </c>
      <c r="O150" s="965">
        <f t="shared" si="112"/>
        <v>0</v>
      </c>
      <c r="P150" s="965">
        <f t="shared" si="112"/>
        <v>0</v>
      </c>
      <c r="Q150" s="965">
        <f t="shared" si="112"/>
        <v>0</v>
      </c>
      <c r="R150" s="965">
        <f t="shared" si="112"/>
        <v>0</v>
      </c>
      <c r="S150" s="965">
        <f t="shared" si="112"/>
        <v>0</v>
      </c>
      <c r="T150" s="965">
        <f t="shared" si="112"/>
        <v>0</v>
      </c>
      <c r="U150" s="965">
        <f t="shared" si="112"/>
        <v>0</v>
      </c>
      <c r="V150" s="965">
        <f t="shared" si="112"/>
        <v>0</v>
      </c>
      <c r="W150" s="965">
        <f t="shared" si="112"/>
        <v>0</v>
      </c>
      <c r="X150" s="965">
        <f t="shared" si="112"/>
        <v>33.803655545010272</v>
      </c>
      <c r="Y150" s="965">
        <f t="shared" si="112"/>
        <v>0</v>
      </c>
      <c r="Z150" s="965">
        <f t="shared" si="112"/>
        <v>0</v>
      </c>
      <c r="AA150" s="965">
        <f t="shared" si="112"/>
        <v>25.69077821420781</v>
      </c>
      <c r="AB150" s="965">
        <f t="shared" si="112"/>
        <v>0</v>
      </c>
      <c r="AC150" s="965">
        <f t="shared" si="112"/>
        <v>0</v>
      </c>
      <c r="AD150" s="965">
        <f t="shared" si="112"/>
        <v>19.524991442797937</v>
      </c>
      <c r="AE150" s="965">
        <f t="shared" si="112"/>
        <v>0</v>
      </c>
      <c r="AF150" s="965">
        <f t="shared" si="112"/>
        <v>0</v>
      </c>
      <c r="AG150" s="965">
        <f t="shared" si="112"/>
        <v>0</v>
      </c>
    </row>
    <row r="151" spans="1:33" ht="17.25" customHeight="1" outlineLevel="2">
      <c r="A151" s="861"/>
      <c r="B151" s="861"/>
      <c r="C151" s="950">
        <f t="shared" si="101"/>
        <v>13</v>
      </c>
      <c r="D151" s="8" t="s">
        <v>39</v>
      </c>
      <c r="E151" s="878"/>
      <c r="F151" s="800"/>
      <c r="G151" s="800"/>
      <c r="H151" s="800"/>
      <c r="I151" s="943">
        <f t="shared" si="99"/>
        <v>82.180202210096652</v>
      </c>
      <c r="J151" s="965">
        <f t="shared" ref="J151:AG151" si="113">IF(AND(J$82&gt;ROUNDUP($C151/$E$82,0),MOD(J$7-$C151,$E$82)=0),J97/(1-$G$82)*$G$82,0)*J$6</f>
        <v>0</v>
      </c>
      <c r="K151" s="965">
        <f t="shared" si="113"/>
        <v>0</v>
      </c>
      <c r="L151" s="965">
        <f t="shared" si="113"/>
        <v>0</v>
      </c>
      <c r="M151" s="965">
        <f t="shared" si="113"/>
        <v>0</v>
      </c>
      <c r="N151" s="965">
        <f t="shared" si="113"/>
        <v>0</v>
      </c>
      <c r="O151" s="965">
        <f t="shared" si="113"/>
        <v>0</v>
      </c>
      <c r="P151" s="965">
        <f t="shared" si="113"/>
        <v>0</v>
      </c>
      <c r="Q151" s="965">
        <f t="shared" si="113"/>
        <v>0</v>
      </c>
      <c r="R151" s="965">
        <f t="shared" si="113"/>
        <v>0</v>
      </c>
      <c r="S151" s="965">
        <f t="shared" si="113"/>
        <v>0</v>
      </c>
      <c r="T151" s="965">
        <f t="shared" si="113"/>
        <v>0</v>
      </c>
      <c r="U151" s="965">
        <f t="shared" si="113"/>
        <v>0</v>
      </c>
      <c r="V151" s="965">
        <f t="shared" si="113"/>
        <v>0</v>
      </c>
      <c r="W151" s="965">
        <f t="shared" si="113"/>
        <v>0</v>
      </c>
      <c r="X151" s="965">
        <f t="shared" si="113"/>
        <v>0</v>
      </c>
      <c r="Y151" s="965">
        <f t="shared" si="113"/>
        <v>35.155801766810683</v>
      </c>
      <c r="Z151" s="965">
        <f t="shared" si="113"/>
        <v>0</v>
      </c>
      <c r="AA151" s="965">
        <f t="shared" si="113"/>
        <v>0</v>
      </c>
      <c r="AB151" s="965">
        <f t="shared" si="113"/>
        <v>26.71840934277612</v>
      </c>
      <c r="AC151" s="965">
        <f t="shared" si="113"/>
        <v>0</v>
      </c>
      <c r="AD151" s="965">
        <f t="shared" si="113"/>
        <v>0</v>
      </c>
      <c r="AE151" s="965">
        <f t="shared" si="113"/>
        <v>20.305991100509853</v>
      </c>
      <c r="AF151" s="965">
        <f t="shared" si="113"/>
        <v>0</v>
      </c>
      <c r="AG151" s="965">
        <f t="shared" si="113"/>
        <v>0</v>
      </c>
    </row>
    <row r="152" spans="1:33" ht="17.25" customHeight="1" outlineLevel="2">
      <c r="A152" s="861"/>
      <c r="B152" s="861"/>
      <c r="C152" s="950">
        <f t="shared" si="101"/>
        <v>14</v>
      </c>
      <c r="D152" s="8" t="s">
        <v>39</v>
      </c>
      <c r="E152" s="878"/>
      <c r="F152" s="800"/>
      <c r="G152" s="800"/>
      <c r="H152" s="800"/>
      <c r="I152" s="943">
        <f t="shared" si="99"/>
        <v>64.349179553970259</v>
      </c>
      <c r="J152" s="965">
        <f t="shared" ref="J152:AG152" si="114">IF(AND(J$82&gt;ROUNDUP($C152/$E$82,0),MOD(J$7-$C152,$E$82)=0),J98/(1-$G$82)*$G$82,0)*J$6</f>
        <v>0</v>
      </c>
      <c r="K152" s="965">
        <f t="shared" si="114"/>
        <v>0</v>
      </c>
      <c r="L152" s="965">
        <f t="shared" si="114"/>
        <v>0</v>
      </c>
      <c r="M152" s="965">
        <f t="shared" si="114"/>
        <v>0</v>
      </c>
      <c r="N152" s="965">
        <f t="shared" si="114"/>
        <v>0</v>
      </c>
      <c r="O152" s="965">
        <f t="shared" si="114"/>
        <v>0</v>
      </c>
      <c r="P152" s="965">
        <f t="shared" si="114"/>
        <v>0</v>
      </c>
      <c r="Q152" s="965">
        <f t="shared" si="114"/>
        <v>0</v>
      </c>
      <c r="R152" s="965">
        <f t="shared" si="114"/>
        <v>0</v>
      </c>
      <c r="S152" s="965">
        <f t="shared" si="114"/>
        <v>0</v>
      </c>
      <c r="T152" s="965">
        <f t="shared" si="114"/>
        <v>0</v>
      </c>
      <c r="U152" s="965">
        <f t="shared" si="114"/>
        <v>0</v>
      </c>
      <c r="V152" s="965">
        <f t="shared" si="114"/>
        <v>0</v>
      </c>
      <c r="W152" s="965">
        <f t="shared" si="114"/>
        <v>0</v>
      </c>
      <c r="X152" s="965">
        <f t="shared" si="114"/>
        <v>0</v>
      </c>
      <c r="Y152" s="965">
        <f t="shared" si="114"/>
        <v>0</v>
      </c>
      <c r="Z152" s="965">
        <f t="shared" si="114"/>
        <v>36.562033837483106</v>
      </c>
      <c r="AA152" s="965">
        <f t="shared" si="114"/>
        <v>0</v>
      </c>
      <c r="AB152" s="965">
        <f t="shared" si="114"/>
        <v>0</v>
      </c>
      <c r="AC152" s="965">
        <f t="shared" si="114"/>
        <v>27.78714571648716</v>
      </c>
      <c r="AD152" s="965">
        <f t="shared" si="114"/>
        <v>0</v>
      </c>
      <c r="AE152" s="965">
        <f t="shared" si="114"/>
        <v>0</v>
      </c>
      <c r="AF152" s="965">
        <f t="shared" si="114"/>
        <v>0</v>
      </c>
      <c r="AG152" s="965">
        <f t="shared" si="114"/>
        <v>0</v>
      </c>
    </row>
    <row r="153" spans="1:33" ht="17.25" customHeight="1" outlineLevel="2">
      <c r="A153" s="861"/>
      <c r="B153" s="861"/>
      <c r="C153" s="950">
        <f t="shared" si="101"/>
        <v>15</v>
      </c>
      <c r="D153" s="8" t="s">
        <v>39</v>
      </c>
      <c r="E153" s="878"/>
      <c r="F153" s="800"/>
      <c r="G153" s="800"/>
      <c r="H153" s="800"/>
      <c r="I153" s="943">
        <f t="shared" si="99"/>
        <v>66.923146736129084</v>
      </c>
      <c r="J153" s="965">
        <f t="shared" ref="J153:AG153" si="115">IF(AND(J$82&gt;ROUNDUP($C153/$E$82,0),MOD(J$7-$C153,$E$82)=0),J99/(1-$G$82)*$G$82,0)*J$6</f>
        <v>0</v>
      </c>
      <c r="K153" s="965">
        <f t="shared" si="115"/>
        <v>0</v>
      </c>
      <c r="L153" s="965">
        <f t="shared" si="115"/>
        <v>0</v>
      </c>
      <c r="M153" s="965">
        <f t="shared" si="115"/>
        <v>0</v>
      </c>
      <c r="N153" s="965">
        <f t="shared" si="115"/>
        <v>0</v>
      </c>
      <c r="O153" s="965">
        <f t="shared" si="115"/>
        <v>0</v>
      </c>
      <c r="P153" s="965">
        <f t="shared" si="115"/>
        <v>0</v>
      </c>
      <c r="Q153" s="965">
        <f t="shared" si="115"/>
        <v>0</v>
      </c>
      <c r="R153" s="965">
        <f t="shared" si="115"/>
        <v>0</v>
      </c>
      <c r="S153" s="965">
        <f t="shared" si="115"/>
        <v>0</v>
      </c>
      <c r="T153" s="965">
        <f t="shared" si="115"/>
        <v>0</v>
      </c>
      <c r="U153" s="965">
        <f t="shared" si="115"/>
        <v>0</v>
      </c>
      <c r="V153" s="965">
        <f t="shared" si="115"/>
        <v>0</v>
      </c>
      <c r="W153" s="965">
        <f t="shared" si="115"/>
        <v>0</v>
      </c>
      <c r="X153" s="965">
        <f t="shared" si="115"/>
        <v>0</v>
      </c>
      <c r="Y153" s="965">
        <f t="shared" si="115"/>
        <v>0</v>
      </c>
      <c r="Z153" s="965">
        <f t="shared" si="115"/>
        <v>0</v>
      </c>
      <c r="AA153" s="965">
        <f t="shared" si="115"/>
        <v>38.024515190982434</v>
      </c>
      <c r="AB153" s="965">
        <f t="shared" si="115"/>
        <v>0</v>
      </c>
      <c r="AC153" s="965">
        <f t="shared" si="115"/>
        <v>0</v>
      </c>
      <c r="AD153" s="965">
        <f t="shared" si="115"/>
        <v>28.898631545146653</v>
      </c>
      <c r="AE153" s="965">
        <f t="shared" si="115"/>
        <v>0</v>
      </c>
      <c r="AF153" s="965">
        <f t="shared" si="115"/>
        <v>0</v>
      </c>
      <c r="AG153" s="965">
        <f t="shared" si="115"/>
        <v>0</v>
      </c>
    </row>
    <row r="154" spans="1:33" ht="17.25" customHeight="1" outlineLevel="2">
      <c r="A154" s="861"/>
      <c r="B154" s="861"/>
      <c r="C154" s="950">
        <f t="shared" si="101"/>
        <v>16</v>
      </c>
      <c r="D154" s="8" t="s">
        <v>39</v>
      </c>
      <c r="E154" s="878"/>
      <c r="F154" s="800"/>
      <c r="G154" s="800"/>
      <c r="H154" s="800"/>
      <c r="I154" s="943">
        <f t="shared" si="99"/>
        <v>69.600072605574255</v>
      </c>
      <c r="J154" s="965">
        <f t="shared" ref="J154:AG154" si="116">IF(AND(J$82&gt;ROUNDUP($C154/$E$82,0),MOD(J$7-$C154,$E$82)=0),J100/(1-$G$82)*$G$82,0)*J$6</f>
        <v>0</v>
      </c>
      <c r="K154" s="965">
        <f t="shared" si="116"/>
        <v>0</v>
      </c>
      <c r="L154" s="965">
        <f t="shared" si="116"/>
        <v>0</v>
      </c>
      <c r="M154" s="965">
        <f t="shared" si="116"/>
        <v>0</v>
      </c>
      <c r="N154" s="965">
        <f t="shared" si="116"/>
        <v>0</v>
      </c>
      <c r="O154" s="965">
        <f t="shared" si="116"/>
        <v>0</v>
      </c>
      <c r="P154" s="965">
        <f t="shared" si="116"/>
        <v>0</v>
      </c>
      <c r="Q154" s="965">
        <f t="shared" si="116"/>
        <v>0</v>
      </c>
      <c r="R154" s="965">
        <f t="shared" si="116"/>
        <v>0</v>
      </c>
      <c r="S154" s="965">
        <f t="shared" si="116"/>
        <v>0</v>
      </c>
      <c r="T154" s="965">
        <f t="shared" si="116"/>
        <v>0</v>
      </c>
      <c r="U154" s="965">
        <f t="shared" si="116"/>
        <v>0</v>
      </c>
      <c r="V154" s="965">
        <f t="shared" si="116"/>
        <v>0</v>
      </c>
      <c r="W154" s="965">
        <f t="shared" si="116"/>
        <v>0</v>
      </c>
      <c r="X154" s="965">
        <f t="shared" si="116"/>
        <v>0</v>
      </c>
      <c r="Y154" s="965">
        <f t="shared" si="116"/>
        <v>0</v>
      </c>
      <c r="Z154" s="965">
        <f t="shared" si="116"/>
        <v>0</v>
      </c>
      <c r="AA154" s="965">
        <f t="shared" si="116"/>
        <v>0</v>
      </c>
      <c r="AB154" s="965">
        <f t="shared" si="116"/>
        <v>39.545495798621737</v>
      </c>
      <c r="AC154" s="965">
        <f t="shared" si="116"/>
        <v>0</v>
      </c>
      <c r="AD154" s="965">
        <f t="shared" si="116"/>
        <v>0</v>
      </c>
      <c r="AE154" s="965">
        <f t="shared" si="116"/>
        <v>30.054576806952522</v>
      </c>
      <c r="AF154" s="965">
        <f t="shared" si="116"/>
        <v>0</v>
      </c>
      <c r="AG154" s="965">
        <f t="shared" si="116"/>
        <v>0</v>
      </c>
    </row>
    <row r="155" spans="1:33" ht="17.25" customHeight="1" outlineLevel="2">
      <c r="A155" s="861"/>
      <c r="B155" s="861"/>
      <c r="C155" s="950">
        <f t="shared" si="101"/>
        <v>17</v>
      </c>
      <c r="D155" s="8" t="s">
        <v>39</v>
      </c>
      <c r="E155" s="878"/>
      <c r="F155" s="800"/>
      <c r="G155" s="800"/>
      <c r="H155" s="800"/>
      <c r="I155" s="943">
        <f t="shared" si="99"/>
        <v>41.127315630566606</v>
      </c>
      <c r="J155" s="965">
        <f t="shared" ref="J155:AG155" si="117">IF(AND(J$82&gt;ROUNDUP($C155/$E$82,0),MOD(J$7-$C155,$E$82)=0),J101/(1-$G$82)*$G$82,0)*J$6</f>
        <v>0</v>
      </c>
      <c r="K155" s="965">
        <f t="shared" si="117"/>
        <v>0</v>
      </c>
      <c r="L155" s="965">
        <f t="shared" si="117"/>
        <v>0</v>
      </c>
      <c r="M155" s="965">
        <f t="shared" si="117"/>
        <v>0</v>
      </c>
      <c r="N155" s="965">
        <f t="shared" si="117"/>
        <v>0</v>
      </c>
      <c r="O155" s="965">
        <f t="shared" si="117"/>
        <v>0</v>
      </c>
      <c r="P155" s="965">
        <f t="shared" si="117"/>
        <v>0</v>
      </c>
      <c r="Q155" s="965">
        <f t="shared" si="117"/>
        <v>0</v>
      </c>
      <c r="R155" s="965">
        <f t="shared" si="117"/>
        <v>0</v>
      </c>
      <c r="S155" s="965">
        <f t="shared" si="117"/>
        <v>0</v>
      </c>
      <c r="T155" s="965">
        <f t="shared" si="117"/>
        <v>0</v>
      </c>
      <c r="U155" s="965">
        <f t="shared" si="117"/>
        <v>0</v>
      </c>
      <c r="V155" s="965">
        <f t="shared" si="117"/>
        <v>0</v>
      </c>
      <c r="W155" s="965">
        <f t="shared" si="117"/>
        <v>0</v>
      </c>
      <c r="X155" s="965">
        <f t="shared" si="117"/>
        <v>0</v>
      </c>
      <c r="Y155" s="965">
        <f t="shared" si="117"/>
        <v>0</v>
      </c>
      <c r="Z155" s="965">
        <f t="shared" si="117"/>
        <v>0</v>
      </c>
      <c r="AA155" s="965">
        <f t="shared" si="117"/>
        <v>0</v>
      </c>
      <c r="AB155" s="965">
        <f t="shared" si="117"/>
        <v>0</v>
      </c>
      <c r="AC155" s="965">
        <f t="shared" si="117"/>
        <v>41.127315630566606</v>
      </c>
      <c r="AD155" s="965">
        <f t="shared" si="117"/>
        <v>0</v>
      </c>
      <c r="AE155" s="965">
        <f t="shared" si="117"/>
        <v>0</v>
      </c>
      <c r="AF155" s="965">
        <f t="shared" si="117"/>
        <v>0</v>
      </c>
      <c r="AG155" s="965">
        <f t="shared" si="117"/>
        <v>0</v>
      </c>
    </row>
    <row r="156" spans="1:33" ht="17.25" customHeight="1" outlineLevel="2">
      <c r="A156" s="861"/>
      <c r="B156" s="861"/>
      <c r="C156" s="950">
        <f t="shared" si="101"/>
        <v>18</v>
      </c>
      <c r="D156" s="8" t="s">
        <v>39</v>
      </c>
      <c r="E156" s="878"/>
      <c r="F156" s="800"/>
      <c r="G156" s="800"/>
      <c r="H156" s="800"/>
      <c r="I156" s="943">
        <f t="shared" si="99"/>
        <v>42.772408255789273</v>
      </c>
      <c r="J156" s="965">
        <f t="shared" ref="J156:AG156" si="118">IF(AND(J$82&gt;ROUNDUP($C156/$E$82,0),MOD(J$7-$C156,$E$82)=0),J102/(1-$G$82)*$G$82,0)*J$6</f>
        <v>0</v>
      </c>
      <c r="K156" s="965">
        <f t="shared" si="118"/>
        <v>0</v>
      </c>
      <c r="L156" s="965">
        <f t="shared" si="118"/>
        <v>0</v>
      </c>
      <c r="M156" s="965">
        <f t="shared" si="118"/>
        <v>0</v>
      </c>
      <c r="N156" s="965">
        <f t="shared" si="118"/>
        <v>0</v>
      </c>
      <c r="O156" s="965">
        <f t="shared" si="118"/>
        <v>0</v>
      </c>
      <c r="P156" s="965">
        <f t="shared" si="118"/>
        <v>0</v>
      </c>
      <c r="Q156" s="965">
        <f t="shared" si="118"/>
        <v>0</v>
      </c>
      <c r="R156" s="965">
        <f t="shared" si="118"/>
        <v>0</v>
      </c>
      <c r="S156" s="965">
        <f t="shared" si="118"/>
        <v>0</v>
      </c>
      <c r="T156" s="965">
        <f t="shared" si="118"/>
        <v>0</v>
      </c>
      <c r="U156" s="965">
        <f t="shared" si="118"/>
        <v>0</v>
      </c>
      <c r="V156" s="965">
        <f t="shared" si="118"/>
        <v>0</v>
      </c>
      <c r="W156" s="965">
        <f t="shared" si="118"/>
        <v>0</v>
      </c>
      <c r="X156" s="965">
        <f t="shared" si="118"/>
        <v>0</v>
      </c>
      <c r="Y156" s="965">
        <f t="shared" si="118"/>
        <v>0</v>
      </c>
      <c r="Z156" s="965">
        <f t="shared" si="118"/>
        <v>0</v>
      </c>
      <c r="AA156" s="965">
        <f t="shared" si="118"/>
        <v>0</v>
      </c>
      <c r="AB156" s="965">
        <f t="shared" si="118"/>
        <v>0</v>
      </c>
      <c r="AC156" s="965">
        <f t="shared" si="118"/>
        <v>0</v>
      </c>
      <c r="AD156" s="965">
        <f t="shared" si="118"/>
        <v>42.772408255789273</v>
      </c>
      <c r="AE156" s="965">
        <f t="shared" si="118"/>
        <v>0</v>
      </c>
      <c r="AF156" s="965">
        <f t="shared" si="118"/>
        <v>0</v>
      </c>
      <c r="AG156" s="965">
        <f t="shared" si="118"/>
        <v>0</v>
      </c>
    </row>
    <row r="157" spans="1:33" ht="17.25" customHeight="1" outlineLevel="2">
      <c r="A157" s="861"/>
      <c r="B157" s="861"/>
      <c r="C157" s="950">
        <f t="shared" si="101"/>
        <v>19</v>
      </c>
      <c r="D157" s="8" t="s">
        <v>39</v>
      </c>
      <c r="E157" s="878"/>
      <c r="F157" s="800"/>
      <c r="G157" s="800"/>
      <c r="H157" s="800"/>
      <c r="I157" s="943">
        <f t="shared" si="99"/>
        <v>44.483304586020836</v>
      </c>
      <c r="J157" s="965">
        <f t="shared" ref="J157:AG157" si="119">IF(AND(J$82&gt;ROUNDUP($C157/$E$82,0),MOD(J$7-$C157,$E$82)=0),J103/(1-$G$82)*$G$82,0)*J$6</f>
        <v>0</v>
      </c>
      <c r="K157" s="965">
        <f t="shared" si="119"/>
        <v>0</v>
      </c>
      <c r="L157" s="965">
        <f t="shared" si="119"/>
        <v>0</v>
      </c>
      <c r="M157" s="965">
        <f t="shared" si="119"/>
        <v>0</v>
      </c>
      <c r="N157" s="965">
        <f t="shared" si="119"/>
        <v>0</v>
      </c>
      <c r="O157" s="965">
        <f t="shared" si="119"/>
        <v>0</v>
      </c>
      <c r="P157" s="965">
        <f t="shared" si="119"/>
        <v>0</v>
      </c>
      <c r="Q157" s="965">
        <f t="shared" si="119"/>
        <v>0</v>
      </c>
      <c r="R157" s="965">
        <f t="shared" si="119"/>
        <v>0</v>
      </c>
      <c r="S157" s="965">
        <f t="shared" si="119"/>
        <v>0</v>
      </c>
      <c r="T157" s="965">
        <f t="shared" si="119"/>
        <v>0</v>
      </c>
      <c r="U157" s="965">
        <f t="shared" si="119"/>
        <v>0</v>
      </c>
      <c r="V157" s="965">
        <f t="shared" si="119"/>
        <v>0</v>
      </c>
      <c r="W157" s="965">
        <f t="shared" si="119"/>
        <v>0</v>
      </c>
      <c r="X157" s="965">
        <f t="shared" si="119"/>
        <v>0</v>
      </c>
      <c r="Y157" s="965">
        <f t="shared" si="119"/>
        <v>0</v>
      </c>
      <c r="Z157" s="965">
        <f t="shared" si="119"/>
        <v>0</v>
      </c>
      <c r="AA157" s="965">
        <f t="shared" si="119"/>
        <v>0</v>
      </c>
      <c r="AB157" s="965">
        <f t="shared" si="119"/>
        <v>0</v>
      </c>
      <c r="AC157" s="965">
        <f t="shared" si="119"/>
        <v>0</v>
      </c>
      <c r="AD157" s="965">
        <f t="shared" si="119"/>
        <v>0</v>
      </c>
      <c r="AE157" s="965">
        <f t="shared" si="119"/>
        <v>44.483304586020836</v>
      </c>
      <c r="AF157" s="965">
        <f t="shared" si="119"/>
        <v>0</v>
      </c>
      <c r="AG157" s="965">
        <f t="shared" si="119"/>
        <v>0</v>
      </c>
    </row>
    <row r="158" spans="1:33" ht="17.25" customHeight="1" outlineLevel="2">
      <c r="A158" s="861"/>
      <c r="B158" s="861"/>
      <c r="C158" s="950">
        <f t="shared" si="101"/>
        <v>20</v>
      </c>
      <c r="D158" s="8" t="s">
        <v>39</v>
      </c>
      <c r="E158" s="878"/>
      <c r="F158" s="800"/>
      <c r="G158" s="800"/>
      <c r="H158" s="800"/>
      <c r="I158" s="943">
        <f t="shared" si="99"/>
        <v>0</v>
      </c>
      <c r="J158" s="965">
        <f t="shared" ref="J158:AG158" si="120">IF(AND(J$82&gt;ROUNDUP($C158/$E$82,0),MOD(J$7-$C158,$E$82)=0),J104/(1-$G$82)*$G$82,0)*J$6</f>
        <v>0</v>
      </c>
      <c r="K158" s="965">
        <f t="shared" si="120"/>
        <v>0</v>
      </c>
      <c r="L158" s="965">
        <f t="shared" si="120"/>
        <v>0</v>
      </c>
      <c r="M158" s="965">
        <f t="shared" si="120"/>
        <v>0</v>
      </c>
      <c r="N158" s="965">
        <f t="shared" si="120"/>
        <v>0</v>
      </c>
      <c r="O158" s="965">
        <f t="shared" si="120"/>
        <v>0</v>
      </c>
      <c r="P158" s="965">
        <f t="shared" si="120"/>
        <v>0</v>
      </c>
      <c r="Q158" s="965">
        <f t="shared" si="120"/>
        <v>0</v>
      </c>
      <c r="R158" s="965">
        <f t="shared" si="120"/>
        <v>0</v>
      </c>
      <c r="S158" s="965">
        <f t="shared" si="120"/>
        <v>0</v>
      </c>
      <c r="T158" s="965">
        <f t="shared" si="120"/>
        <v>0</v>
      </c>
      <c r="U158" s="965">
        <f t="shared" si="120"/>
        <v>0</v>
      </c>
      <c r="V158" s="965">
        <f t="shared" si="120"/>
        <v>0</v>
      </c>
      <c r="W158" s="965">
        <f t="shared" si="120"/>
        <v>0</v>
      </c>
      <c r="X158" s="965">
        <f t="shared" si="120"/>
        <v>0</v>
      </c>
      <c r="Y158" s="965">
        <f t="shared" si="120"/>
        <v>0</v>
      </c>
      <c r="Z158" s="965">
        <f t="shared" si="120"/>
        <v>0</v>
      </c>
      <c r="AA158" s="965">
        <f t="shared" si="120"/>
        <v>0</v>
      </c>
      <c r="AB158" s="965">
        <f t="shared" si="120"/>
        <v>0</v>
      </c>
      <c r="AC158" s="965">
        <f t="shared" si="120"/>
        <v>0</v>
      </c>
      <c r="AD158" s="965">
        <f t="shared" si="120"/>
        <v>0</v>
      </c>
      <c r="AE158" s="965">
        <f t="shared" si="120"/>
        <v>0</v>
      </c>
      <c r="AF158" s="965">
        <f t="shared" si="120"/>
        <v>0</v>
      </c>
      <c r="AG158" s="965">
        <f t="shared" si="120"/>
        <v>0</v>
      </c>
    </row>
    <row r="159" spans="1:33" ht="17.25" customHeight="1" outlineLevel="2">
      <c r="A159" s="861"/>
      <c r="B159" s="861"/>
      <c r="C159" s="950">
        <f t="shared" si="101"/>
        <v>21</v>
      </c>
      <c r="D159" s="8" t="s">
        <v>39</v>
      </c>
      <c r="E159" s="878"/>
      <c r="F159" s="800"/>
      <c r="G159" s="800"/>
      <c r="H159" s="800"/>
      <c r="I159" s="943">
        <f t="shared" si="99"/>
        <v>0</v>
      </c>
      <c r="J159" s="965">
        <f t="shared" ref="J159:AG159" si="121">IF(AND(J$82&gt;ROUNDUP($C159/$E$82,0),MOD(J$7-$C159,$E$82)=0),J105/(1-$G$82)*$G$82,0)*J$6</f>
        <v>0</v>
      </c>
      <c r="K159" s="965">
        <f t="shared" si="121"/>
        <v>0</v>
      </c>
      <c r="L159" s="965">
        <f t="shared" si="121"/>
        <v>0</v>
      </c>
      <c r="M159" s="965">
        <f t="shared" si="121"/>
        <v>0</v>
      </c>
      <c r="N159" s="965">
        <f t="shared" si="121"/>
        <v>0</v>
      </c>
      <c r="O159" s="965">
        <f t="shared" si="121"/>
        <v>0</v>
      </c>
      <c r="P159" s="965">
        <f t="shared" si="121"/>
        <v>0</v>
      </c>
      <c r="Q159" s="965">
        <f t="shared" si="121"/>
        <v>0</v>
      </c>
      <c r="R159" s="965">
        <f t="shared" si="121"/>
        <v>0</v>
      </c>
      <c r="S159" s="965">
        <f t="shared" si="121"/>
        <v>0</v>
      </c>
      <c r="T159" s="965">
        <f t="shared" si="121"/>
        <v>0</v>
      </c>
      <c r="U159" s="965">
        <f t="shared" si="121"/>
        <v>0</v>
      </c>
      <c r="V159" s="965">
        <f t="shared" si="121"/>
        <v>0</v>
      </c>
      <c r="W159" s="965">
        <f t="shared" si="121"/>
        <v>0</v>
      </c>
      <c r="X159" s="965">
        <f t="shared" si="121"/>
        <v>0</v>
      </c>
      <c r="Y159" s="965">
        <f t="shared" si="121"/>
        <v>0</v>
      </c>
      <c r="Z159" s="965">
        <f t="shared" si="121"/>
        <v>0</v>
      </c>
      <c r="AA159" s="965">
        <f t="shared" si="121"/>
        <v>0</v>
      </c>
      <c r="AB159" s="965">
        <f t="shared" si="121"/>
        <v>0</v>
      </c>
      <c r="AC159" s="965">
        <f t="shared" si="121"/>
        <v>0</v>
      </c>
      <c r="AD159" s="965">
        <f t="shared" si="121"/>
        <v>0</v>
      </c>
      <c r="AE159" s="965">
        <f t="shared" si="121"/>
        <v>0</v>
      </c>
      <c r="AF159" s="965">
        <f t="shared" si="121"/>
        <v>0</v>
      </c>
      <c r="AG159" s="965">
        <f t="shared" si="121"/>
        <v>0</v>
      </c>
    </row>
    <row r="160" spans="1:33" ht="17.25" customHeight="1" outlineLevel="2">
      <c r="A160" s="861"/>
      <c r="B160" s="861"/>
      <c r="C160" s="950">
        <f t="shared" si="101"/>
        <v>22</v>
      </c>
      <c r="D160" s="8" t="s">
        <v>39</v>
      </c>
      <c r="E160" s="878"/>
      <c r="F160" s="800"/>
      <c r="G160" s="800"/>
      <c r="H160" s="800"/>
      <c r="I160" s="943">
        <f t="shared" si="99"/>
        <v>0</v>
      </c>
      <c r="J160" s="965">
        <f t="shared" ref="J160:AG160" si="122">IF(AND(J$82&gt;ROUNDUP($C160/$E$82,0),MOD(J$7-$C160,$E$82)=0),J106/(1-$G$82)*$G$82,0)*J$6</f>
        <v>0</v>
      </c>
      <c r="K160" s="965">
        <f t="shared" si="122"/>
        <v>0</v>
      </c>
      <c r="L160" s="965">
        <f t="shared" si="122"/>
        <v>0</v>
      </c>
      <c r="M160" s="965">
        <f t="shared" si="122"/>
        <v>0</v>
      </c>
      <c r="N160" s="965">
        <f t="shared" si="122"/>
        <v>0</v>
      </c>
      <c r="O160" s="965">
        <f t="shared" si="122"/>
        <v>0</v>
      </c>
      <c r="P160" s="965">
        <f t="shared" si="122"/>
        <v>0</v>
      </c>
      <c r="Q160" s="965">
        <f t="shared" si="122"/>
        <v>0</v>
      </c>
      <c r="R160" s="965">
        <f t="shared" si="122"/>
        <v>0</v>
      </c>
      <c r="S160" s="965">
        <f t="shared" si="122"/>
        <v>0</v>
      </c>
      <c r="T160" s="965">
        <f t="shared" si="122"/>
        <v>0</v>
      </c>
      <c r="U160" s="965">
        <f t="shared" si="122"/>
        <v>0</v>
      </c>
      <c r="V160" s="965">
        <f t="shared" si="122"/>
        <v>0</v>
      </c>
      <c r="W160" s="965">
        <f t="shared" si="122"/>
        <v>0</v>
      </c>
      <c r="X160" s="965">
        <f t="shared" si="122"/>
        <v>0</v>
      </c>
      <c r="Y160" s="965">
        <f t="shared" si="122"/>
        <v>0</v>
      </c>
      <c r="Z160" s="965">
        <f t="shared" si="122"/>
        <v>0</v>
      </c>
      <c r="AA160" s="965">
        <f t="shared" si="122"/>
        <v>0</v>
      </c>
      <c r="AB160" s="965">
        <f t="shared" si="122"/>
        <v>0</v>
      </c>
      <c r="AC160" s="965">
        <f t="shared" si="122"/>
        <v>0</v>
      </c>
      <c r="AD160" s="965">
        <f t="shared" si="122"/>
        <v>0</v>
      </c>
      <c r="AE160" s="965">
        <f t="shared" si="122"/>
        <v>0</v>
      </c>
      <c r="AF160" s="965">
        <f t="shared" si="122"/>
        <v>0</v>
      </c>
      <c r="AG160" s="965">
        <f t="shared" si="122"/>
        <v>0</v>
      </c>
    </row>
    <row r="161" spans="1:33" ht="17.25" customHeight="1" outlineLevel="2">
      <c r="A161" s="861"/>
      <c r="B161" s="861"/>
      <c r="C161" s="950">
        <f t="shared" si="101"/>
        <v>23</v>
      </c>
      <c r="D161" s="8" t="s">
        <v>39</v>
      </c>
      <c r="E161" s="878"/>
      <c r="F161" s="800"/>
      <c r="G161" s="800"/>
      <c r="H161" s="800"/>
      <c r="I161" s="943">
        <f t="shared" si="99"/>
        <v>0</v>
      </c>
      <c r="J161" s="965">
        <f t="shared" ref="J161:AG161" si="123">IF(AND(J$82&gt;ROUNDUP($C161/$E$82,0),MOD(J$7-$C161,$E$82)=0),J107/(1-$G$82)*$G$82,0)*J$6</f>
        <v>0</v>
      </c>
      <c r="K161" s="965">
        <f t="shared" si="123"/>
        <v>0</v>
      </c>
      <c r="L161" s="965">
        <f t="shared" si="123"/>
        <v>0</v>
      </c>
      <c r="M161" s="965">
        <f t="shared" si="123"/>
        <v>0</v>
      </c>
      <c r="N161" s="965">
        <f t="shared" si="123"/>
        <v>0</v>
      </c>
      <c r="O161" s="965">
        <f t="shared" si="123"/>
        <v>0</v>
      </c>
      <c r="P161" s="965">
        <f t="shared" si="123"/>
        <v>0</v>
      </c>
      <c r="Q161" s="965">
        <f t="shared" si="123"/>
        <v>0</v>
      </c>
      <c r="R161" s="965">
        <f t="shared" si="123"/>
        <v>0</v>
      </c>
      <c r="S161" s="965">
        <f t="shared" si="123"/>
        <v>0</v>
      </c>
      <c r="T161" s="965">
        <f t="shared" si="123"/>
        <v>0</v>
      </c>
      <c r="U161" s="965">
        <f t="shared" si="123"/>
        <v>0</v>
      </c>
      <c r="V161" s="965">
        <f t="shared" si="123"/>
        <v>0</v>
      </c>
      <c r="W161" s="965">
        <f t="shared" si="123"/>
        <v>0</v>
      </c>
      <c r="X161" s="965">
        <f t="shared" si="123"/>
        <v>0</v>
      </c>
      <c r="Y161" s="965">
        <f t="shared" si="123"/>
        <v>0</v>
      </c>
      <c r="Z161" s="965">
        <f t="shared" si="123"/>
        <v>0</v>
      </c>
      <c r="AA161" s="965">
        <f t="shared" si="123"/>
        <v>0</v>
      </c>
      <c r="AB161" s="965">
        <f t="shared" si="123"/>
        <v>0</v>
      </c>
      <c r="AC161" s="965">
        <f t="shared" si="123"/>
        <v>0</v>
      </c>
      <c r="AD161" s="965">
        <f t="shared" si="123"/>
        <v>0</v>
      </c>
      <c r="AE161" s="965">
        <f t="shared" si="123"/>
        <v>0</v>
      </c>
      <c r="AF161" s="965">
        <f t="shared" si="123"/>
        <v>0</v>
      </c>
      <c r="AG161" s="965">
        <f t="shared" si="123"/>
        <v>0</v>
      </c>
    </row>
    <row r="162" spans="1:33" ht="17.25" customHeight="1" outlineLevel="2">
      <c r="A162" s="861"/>
      <c r="B162" s="861"/>
      <c r="C162" s="950">
        <f t="shared" si="101"/>
        <v>24</v>
      </c>
      <c r="D162" s="8" t="s">
        <v>39</v>
      </c>
      <c r="E162" s="878"/>
      <c r="F162" s="800"/>
      <c r="G162" s="800"/>
      <c r="H162" s="800"/>
      <c r="I162" s="943">
        <f t="shared" si="99"/>
        <v>0</v>
      </c>
      <c r="J162" s="965">
        <f t="shared" ref="J162:AG162" si="124">IF(AND(J$82&gt;ROUNDUP($C162/$E$82,0),MOD(J$7-$C162,$E$82)=0),J108/(1-$G$82)*$G$82,0)*J$6</f>
        <v>0</v>
      </c>
      <c r="K162" s="965">
        <f t="shared" si="124"/>
        <v>0</v>
      </c>
      <c r="L162" s="965">
        <f t="shared" si="124"/>
        <v>0</v>
      </c>
      <c r="M162" s="965">
        <f t="shared" si="124"/>
        <v>0</v>
      </c>
      <c r="N162" s="965">
        <f t="shared" si="124"/>
        <v>0</v>
      </c>
      <c r="O162" s="965">
        <f t="shared" si="124"/>
        <v>0</v>
      </c>
      <c r="P162" s="965">
        <f t="shared" si="124"/>
        <v>0</v>
      </c>
      <c r="Q162" s="965">
        <f t="shared" si="124"/>
        <v>0</v>
      </c>
      <c r="R162" s="965">
        <f t="shared" si="124"/>
        <v>0</v>
      </c>
      <c r="S162" s="965">
        <f t="shared" si="124"/>
        <v>0</v>
      </c>
      <c r="T162" s="965">
        <f t="shared" si="124"/>
        <v>0</v>
      </c>
      <c r="U162" s="965">
        <f t="shared" si="124"/>
        <v>0</v>
      </c>
      <c r="V162" s="965">
        <f t="shared" si="124"/>
        <v>0</v>
      </c>
      <c r="W162" s="965">
        <f t="shared" si="124"/>
        <v>0</v>
      </c>
      <c r="X162" s="965">
        <f t="shared" si="124"/>
        <v>0</v>
      </c>
      <c r="Y162" s="965">
        <f t="shared" si="124"/>
        <v>0</v>
      </c>
      <c r="Z162" s="965">
        <f t="shared" si="124"/>
        <v>0</v>
      </c>
      <c r="AA162" s="965">
        <f t="shared" si="124"/>
        <v>0</v>
      </c>
      <c r="AB162" s="965">
        <f t="shared" si="124"/>
        <v>0</v>
      </c>
      <c r="AC162" s="965">
        <f t="shared" si="124"/>
        <v>0</v>
      </c>
      <c r="AD162" s="965">
        <f t="shared" si="124"/>
        <v>0</v>
      </c>
      <c r="AE162" s="965">
        <f t="shared" si="124"/>
        <v>0</v>
      </c>
      <c r="AF162" s="965">
        <f t="shared" si="124"/>
        <v>0</v>
      </c>
      <c r="AG162" s="965">
        <f t="shared" si="124"/>
        <v>0</v>
      </c>
    </row>
    <row r="163" spans="1:33" ht="17.25" customHeight="1" outlineLevel="2">
      <c r="A163" s="861"/>
      <c r="B163" s="861"/>
      <c r="C163" s="944" t="s">
        <v>742</v>
      </c>
      <c r="D163" s="8" t="s">
        <v>39</v>
      </c>
      <c r="E163" s="318"/>
      <c r="F163" s="344"/>
      <c r="G163" s="344"/>
      <c r="H163" s="344"/>
      <c r="I163" s="943">
        <f t="shared" ref="I163" si="125">SUM(J163:AG163)</f>
        <v>1408.0408004712779</v>
      </c>
      <c r="J163" s="942">
        <f t="shared" ref="J163:AG163" si="126">SUM(J139:J162)</f>
        <v>0</v>
      </c>
      <c r="K163" s="942">
        <f t="shared" si="126"/>
        <v>0</v>
      </c>
      <c r="L163" s="942">
        <f t="shared" si="126"/>
        <v>0</v>
      </c>
      <c r="M163" s="942">
        <f t="shared" si="126"/>
        <v>32.300000000000004</v>
      </c>
      <c r="N163" s="942">
        <f t="shared" si="126"/>
        <v>19</v>
      </c>
      <c r="O163" s="942">
        <f t="shared" si="126"/>
        <v>23.75</v>
      </c>
      <c r="P163" s="942">
        <f t="shared" si="126"/>
        <v>49.248000000000005</v>
      </c>
      <c r="Q163" s="942">
        <f t="shared" si="126"/>
        <v>40.128</v>
      </c>
      <c r="R163" s="942">
        <f t="shared" si="126"/>
        <v>44.765520000000009</v>
      </c>
      <c r="S163" s="942">
        <f t="shared" si="126"/>
        <v>65.21262080000001</v>
      </c>
      <c r="T163" s="942">
        <f t="shared" si="126"/>
        <v>59.392786432000008</v>
      </c>
      <c r="U163" s="942">
        <f t="shared" si="126"/>
        <v>64.073121889280017</v>
      </c>
      <c r="V163" s="942">
        <f t="shared" si="126"/>
        <v>80.814971564851206</v>
      </c>
      <c r="W163" s="942">
        <f t="shared" si="126"/>
        <v>77.642032635445275</v>
      </c>
      <c r="X163" s="942">
        <f t="shared" si="126"/>
        <v>82.499228180863085</v>
      </c>
      <c r="Y163" s="942">
        <f t="shared" si="126"/>
        <v>96.575180156097602</v>
      </c>
      <c r="Z163" s="942">
        <f t="shared" si="126"/>
        <v>95.56997864042151</v>
      </c>
      <c r="AA163" s="942">
        <f t="shared" si="126"/>
        <v>100.72392860843837</v>
      </c>
      <c r="AB163" s="942">
        <f t="shared" si="126"/>
        <v>112.94263271725592</v>
      </c>
      <c r="AC163" s="942">
        <f t="shared" si="126"/>
        <v>113.76049939728696</v>
      </c>
      <c r="AD163" s="942">
        <f t="shared" si="126"/>
        <v>119.32259399820245</v>
      </c>
      <c r="AE163" s="942">
        <f t="shared" si="126"/>
        <v>130.31970545113535</v>
      </c>
      <c r="AF163" s="942">
        <f t="shared" si="126"/>
        <v>0</v>
      </c>
      <c r="AG163" s="942">
        <f t="shared" si="126"/>
        <v>0</v>
      </c>
    </row>
    <row r="164" spans="1:33" ht="17.25" customHeight="1" outlineLevel="2">
      <c r="A164" s="861"/>
      <c r="B164" s="861"/>
      <c r="C164" s="861"/>
      <c r="D164" s="861"/>
      <c r="E164" s="861"/>
      <c r="F164" s="861"/>
      <c r="G164" s="861"/>
      <c r="H164" s="861"/>
      <c r="I164" s="946"/>
      <c r="J164" s="946"/>
      <c r="K164" s="946"/>
      <c r="L164" s="946"/>
      <c r="M164" s="946"/>
      <c r="N164" s="946"/>
      <c r="O164" s="946"/>
      <c r="P164" s="946"/>
      <c r="Q164" s="946"/>
      <c r="R164" s="946"/>
      <c r="S164" s="946"/>
      <c r="T164" s="946"/>
      <c r="U164" s="946"/>
      <c r="V164" s="946"/>
      <c r="W164" s="946"/>
      <c r="X164" s="946"/>
      <c r="Y164" s="946"/>
      <c r="Z164" s="946"/>
      <c r="AA164" s="946"/>
      <c r="AB164" s="946"/>
      <c r="AC164" s="946"/>
      <c r="AD164" s="946"/>
      <c r="AE164" s="946"/>
      <c r="AF164" s="946"/>
      <c r="AG164" s="946"/>
    </row>
    <row r="165" spans="1:33" ht="17.25" customHeight="1" outlineLevel="1">
      <c r="A165" s="861"/>
      <c r="B165" s="268" t="s">
        <v>37</v>
      </c>
      <c r="C165" s="268" t="s">
        <v>741</v>
      </c>
      <c r="D165" s="270" t="s">
        <v>740</v>
      </c>
      <c r="E165" s="861"/>
      <c r="F165" s="861"/>
      <c r="G165" s="861"/>
      <c r="H165" s="861"/>
      <c r="I165" s="946"/>
      <c r="J165" s="946"/>
      <c r="K165" s="946"/>
      <c r="L165" s="946"/>
      <c r="M165" s="946"/>
      <c r="N165" s="946"/>
      <c r="O165" s="946"/>
      <c r="P165" s="946"/>
      <c r="Q165" s="946"/>
      <c r="R165" s="946"/>
      <c r="S165" s="946"/>
      <c r="T165" s="946"/>
      <c r="U165" s="946"/>
      <c r="V165" s="946"/>
      <c r="W165" s="946"/>
      <c r="X165" s="946"/>
      <c r="Y165" s="946"/>
      <c r="Z165" s="946"/>
      <c r="AA165" s="946"/>
      <c r="AB165" s="946"/>
      <c r="AC165" s="946"/>
      <c r="AD165" s="946"/>
      <c r="AE165" s="946"/>
      <c r="AF165" s="946"/>
      <c r="AG165" s="946"/>
    </row>
    <row r="166" spans="1:33" ht="17.25" customHeight="1" outlineLevel="2">
      <c r="A166" s="861"/>
      <c r="B166" s="268"/>
      <c r="C166" s="737" t="s">
        <v>739</v>
      </c>
      <c r="D166" s="8" t="s">
        <v>39</v>
      </c>
      <c r="E166" s="677" t="s">
        <v>738</v>
      </c>
      <c r="F166" s="949">
        <f>IF(Inputs!$G$32=1,Inputs!$F$37,0)</f>
        <v>37</v>
      </c>
      <c r="G166" s="800"/>
      <c r="H166" s="800"/>
      <c r="I166" s="947"/>
      <c r="J166" s="965">
        <f t="shared" ref="J166:AG166" ca="1" si="127">IF(J$7=1,$F166,IF(AND(J$82&gt;ROUNDUP(1/$E$82,0),MOD(J$7-1,$E$82)=0),OFFSET(J166,0,-$E$82)*$F$82,I166))*J$6</f>
        <v>37</v>
      </c>
      <c r="K166" s="965">
        <f t="shared" ca="1" si="127"/>
        <v>37</v>
      </c>
      <c r="L166" s="965">
        <f t="shared" ca="1" si="127"/>
        <v>37</v>
      </c>
      <c r="M166" s="965">
        <f t="shared" ca="1" si="127"/>
        <v>35.15</v>
      </c>
      <c r="N166" s="965">
        <f t="shared" ca="1" si="127"/>
        <v>35.15</v>
      </c>
      <c r="O166" s="965">
        <f t="shared" ca="1" si="127"/>
        <v>35.15</v>
      </c>
      <c r="P166" s="965">
        <f t="shared" ca="1" si="127"/>
        <v>33.392499999999998</v>
      </c>
      <c r="Q166" s="965">
        <f t="shared" ca="1" si="127"/>
        <v>33.392499999999998</v>
      </c>
      <c r="R166" s="965">
        <f t="shared" ca="1" si="127"/>
        <v>33.392499999999998</v>
      </c>
      <c r="S166" s="965">
        <f t="shared" ca="1" si="127"/>
        <v>31.722874999999998</v>
      </c>
      <c r="T166" s="965">
        <f t="shared" ca="1" si="127"/>
        <v>31.722874999999998</v>
      </c>
      <c r="U166" s="965">
        <f t="shared" ca="1" si="127"/>
        <v>31.722874999999998</v>
      </c>
      <c r="V166" s="965">
        <f t="shared" ca="1" si="127"/>
        <v>30.136731249999997</v>
      </c>
      <c r="W166" s="965">
        <f t="shared" ca="1" si="127"/>
        <v>30.136731249999997</v>
      </c>
      <c r="X166" s="965">
        <f t="shared" ca="1" si="127"/>
        <v>30.136731249999997</v>
      </c>
      <c r="Y166" s="965">
        <f t="shared" ca="1" si="127"/>
        <v>28.629894687499995</v>
      </c>
      <c r="Z166" s="965">
        <f t="shared" ca="1" si="127"/>
        <v>28.629894687499995</v>
      </c>
      <c r="AA166" s="965">
        <f t="shared" ca="1" si="127"/>
        <v>28.629894687499995</v>
      </c>
      <c r="AB166" s="965">
        <f t="shared" ca="1" si="127"/>
        <v>27.198399953124994</v>
      </c>
      <c r="AC166" s="965">
        <f t="shared" ca="1" si="127"/>
        <v>27.198399953124994</v>
      </c>
      <c r="AD166" s="965">
        <f t="shared" ca="1" si="127"/>
        <v>27.198399953124994</v>
      </c>
      <c r="AE166" s="965">
        <f t="shared" ca="1" si="127"/>
        <v>25.838479955468742</v>
      </c>
      <c r="AF166" s="965">
        <f t="shared" ca="1" si="127"/>
        <v>0</v>
      </c>
      <c r="AG166" s="965">
        <f t="shared" ca="1" si="127"/>
        <v>0</v>
      </c>
    </row>
    <row r="167" spans="1:33" ht="17.25" customHeight="1" outlineLevel="2">
      <c r="A167" s="861"/>
      <c r="B167" s="861"/>
      <c r="C167" s="948">
        <v>1</v>
      </c>
      <c r="D167" s="8" t="s">
        <v>39</v>
      </c>
      <c r="E167" s="878"/>
      <c r="F167" s="800"/>
      <c r="G167" s="800"/>
      <c r="H167" s="800"/>
      <c r="I167" s="947"/>
      <c r="J167" s="965">
        <f t="shared" ref="J167:AG167" ca="1" si="128">IF(J$82&lt;=ROUNDUP($C167/$E$82,0),0,IF(AND(J$82&gt;ROUNDUP($C167/$E$82,0),MOD(J$7-$C167,$E$82)=0),OFFSET(J139,0,-$E$82)*$F$82+J139,I167))*J$6</f>
        <v>0</v>
      </c>
      <c r="K167" s="965">
        <f t="shared" ca="1" si="128"/>
        <v>0</v>
      </c>
      <c r="L167" s="965">
        <f t="shared" ca="1" si="128"/>
        <v>0</v>
      </c>
      <c r="M167" s="965">
        <f t="shared" ca="1" si="128"/>
        <v>32.300000000000004</v>
      </c>
      <c r="N167" s="965">
        <f t="shared" ca="1" si="128"/>
        <v>32.300000000000004</v>
      </c>
      <c r="O167" s="965">
        <f t="shared" ca="1" si="128"/>
        <v>32.300000000000004</v>
      </c>
      <c r="P167" s="965">
        <f t="shared" ca="1" si="128"/>
        <v>55.233000000000004</v>
      </c>
      <c r="Q167" s="965">
        <f t="shared" ca="1" si="128"/>
        <v>55.233000000000004</v>
      </c>
      <c r="R167" s="965">
        <f t="shared" ca="1" si="128"/>
        <v>55.233000000000004</v>
      </c>
      <c r="S167" s="965">
        <f t="shared" ca="1" si="128"/>
        <v>41.977080000000001</v>
      </c>
      <c r="T167" s="965">
        <f t="shared" ca="1" si="128"/>
        <v>41.977080000000001</v>
      </c>
      <c r="U167" s="965">
        <f t="shared" ca="1" si="128"/>
        <v>41.977080000000001</v>
      </c>
      <c r="V167" s="965">
        <f t="shared" ca="1" si="128"/>
        <v>31.902580799999996</v>
      </c>
      <c r="W167" s="965">
        <f t="shared" ca="1" si="128"/>
        <v>31.902580799999996</v>
      </c>
      <c r="X167" s="965">
        <f t="shared" ca="1" si="128"/>
        <v>31.902580799999996</v>
      </c>
      <c r="Y167" s="965">
        <f t="shared" ca="1" si="128"/>
        <v>24.245961407999996</v>
      </c>
      <c r="Z167" s="965">
        <f t="shared" ca="1" si="128"/>
        <v>24.245961407999996</v>
      </c>
      <c r="AA167" s="965">
        <f t="shared" ca="1" si="128"/>
        <v>24.245961407999996</v>
      </c>
      <c r="AB167" s="965">
        <f t="shared" ca="1" si="128"/>
        <v>18.426930670079997</v>
      </c>
      <c r="AC167" s="965">
        <f t="shared" ca="1" si="128"/>
        <v>18.426930670079997</v>
      </c>
      <c r="AD167" s="965">
        <f t="shared" ca="1" si="128"/>
        <v>18.426930670079997</v>
      </c>
      <c r="AE167" s="965">
        <f t="shared" ca="1" si="128"/>
        <v>14.0044673092608</v>
      </c>
      <c r="AF167" s="965">
        <f t="shared" ca="1" si="128"/>
        <v>0</v>
      </c>
      <c r="AG167" s="965">
        <f t="shared" ca="1" si="128"/>
        <v>0</v>
      </c>
    </row>
    <row r="168" spans="1:33" ht="17.25" customHeight="1" outlineLevel="2">
      <c r="A168" s="861"/>
      <c r="B168" s="861"/>
      <c r="C168" s="948">
        <f t="shared" ref="C168:C190" si="129">C167+1</f>
        <v>2</v>
      </c>
      <c r="D168" s="8" t="s">
        <v>39</v>
      </c>
      <c r="E168" s="878"/>
      <c r="F168" s="800"/>
      <c r="G168" s="800"/>
      <c r="H168" s="800"/>
      <c r="I168" s="947"/>
      <c r="J168" s="965">
        <f t="shared" ref="J168:AG168" ca="1" si="130">IF(J$82&lt;=ROUNDUP($C168/$E$82,0),0,IF(AND(J$82&gt;ROUNDUP($C168/$E$82,0),MOD(J$7-$C168,$E$82)=0),OFFSET(J140,0,-$E$82)*$F$82+J140,I168))*J$6</f>
        <v>0</v>
      </c>
      <c r="K168" s="965">
        <f t="shared" ca="1" si="130"/>
        <v>0</v>
      </c>
      <c r="L168" s="965">
        <f t="shared" ca="1" si="130"/>
        <v>0</v>
      </c>
      <c r="M168" s="965">
        <f t="shared" ca="1" si="130"/>
        <v>0</v>
      </c>
      <c r="N168" s="965">
        <f t="shared" ca="1" si="130"/>
        <v>19</v>
      </c>
      <c r="O168" s="965">
        <f t="shared" ca="1" si="130"/>
        <v>19</v>
      </c>
      <c r="P168" s="965">
        <f t="shared" ca="1" si="130"/>
        <v>19</v>
      </c>
      <c r="Q168" s="965">
        <f t="shared" ca="1" si="130"/>
        <v>32.49</v>
      </c>
      <c r="R168" s="965">
        <f t="shared" ca="1" si="130"/>
        <v>32.49</v>
      </c>
      <c r="S168" s="965">
        <f t="shared" ca="1" si="130"/>
        <v>32.49</v>
      </c>
      <c r="T168" s="965">
        <f t="shared" ca="1" si="130"/>
        <v>24.692399999999999</v>
      </c>
      <c r="U168" s="965">
        <f t="shared" ca="1" si="130"/>
        <v>24.692399999999999</v>
      </c>
      <c r="V168" s="965">
        <f t="shared" ca="1" si="130"/>
        <v>24.692399999999999</v>
      </c>
      <c r="W168" s="965">
        <f t="shared" ca="1" si="130"/>
        <v>18.766224000000001</v>
      </c>
      <c r="X168" s="965">
        <f t="shared" ca="1" si="130"/>
        <v>18.766224000000001</v>
      </c>
      <c r="Y168" s="965">
        <f t="shared" ca="1" si="130"/>
        <v>18.766224000000001</v>
      </c>
      <c r="Z168" s="965">
        <f t="shared" ca="1" si="130"/>
        <v>14.262330239999997</v>
      </c>
      <c r="AA168" s="965">
        <f t="shared" ca="1" si="130"/>
        <v>14.262330239999997</v>
      </c>
      <c r="AB168" s="965">
        <f t="shared" ca="1" si="130"/>
        <v>14.262330239999997</v>
      </c>
      <c r="AC168" s="965">
        <f t="shared" ca="1" si="130"/>
        <v>10.839370982399998</v>
      </c>
      <c r="AD168" s="965">
        <f t="shared" ca="1" si="130"/>
        <v>10.839370982399998</v>
      </c>
      <c r="AE168" s="965">
        <f t="shared" ca="1" si="130"/>
        <v>10.839370982399998</v>
      </c>
      <c r="AF168" s="965">
        <f t="shared" ca="1" si="130"/>
        <v>0</v>
      </c>
      <c r="AG168" s="965">
        <f t="shared" ca="1" si="130"/>
        <v>0</v>
      </c>
    </row>
    <row r="169" spans="1:33" ht="17.25" customHeight="1" outlineLevel="2">
      <c r="A169" s="861"/>
      <c r="B169" s="861"/>
      <c r="C169" s="948">
        <f t="shared" si="129"/>
        <v>3</v>
      </c>
      <c r="D169" s="8" t="s">
        <v>39</v>
      </c>
      <c r="E169" s="878"/>
      <c r="F169" s="800"/>
      <c r="G169" s="800"/>
      <c r="H169" s="800"/>
      <c r="I169" s="947"/>
      <c r="J169" s="965">
        <f t="shared" ref="J169:AG169" ca="1" si="131">IF(J$82&lt;=ROUNDUP($C169/$E$82,0),0,IF(AND(J$82&gt;ROUNDUP($C169/$E$82,0),MOD(J$7-$C169,$E$82)=0),OFFSET(J141,0,-$E$82)*$F$82+J141,I169))*J$6</f>
        <v>0</v>
      </c>
      <c r="K169" s="965">
        <f t="shared" ca="1" si="131"/>
        <v>0</v>
      </c>
      <c r="L169" s="965">
        <f t="shared" ca="1" si="131"/>
        <v>0</v>
      </c>
      <c r="M169" s="965">
        <f t="shared" ca="1" si="131"/>
        <v>0</v>
      </c>
      <c r="N169" s="965">
        <f t="shared" ca="1" si="131"/>
        <v>0</v>
      </c>
      <c r="O169" s="965">
        <f t="shared" ca="1" si="131"/>
        <v>23.75</v>
      </c>
      <c r="P169" s="965">
        <f t="shared" ca="1" si="131"/>
        <v>23.75</v>
      </c>
      <c r="Q169" s="965">
        <f t="shared" ca="1" si="131"/>
        <v>23.75</v>
      </c>
      <c r="R169" s="965">
        <f t="shared" ca="1" si="131"/>
        <v>40.612499999999997</v>
      </c>
      <c r="S169" s="965">
        <f t="shared" ca="1" si="131"/>
        <v>40.612499999999997</v>
      </c>
      <c r="T169" s="965">
        <f t="shared" ca="1" si="131"/>
        <v>40.612499999999997</v>
      </c>
      <c r="U169" s="965">
        <f t="shared" ca="1" si="131"/>
        <v>30.865500000000004</v>
      </c>
      <c r="V169" s="965">
        <f t="shared" ca="1" si="131"/>
        <v>30.865500000000004</v>
      </c>
      <c r="W169" s="965">
        <f t="shared" ca="1" si="131"/>
        <v>30.865500000000004</v>
      </c>
      <c r="X169" s="965">
        <f t="shared" ca="1" si="131"/>
        <v>23.457780000000003</v>
      </c>
      <c r="Y169" s="965">
        <f t="shared" ca="1" si="131"/>
        <v>23.457780000000003</v>
      </c>
      <c r="Z169" s="965">
        <f t="shared" ca="1" si="131"/>
        <v>23.457780000000003</v>
      </c>
      <c r="AA169" s="965">
        <f t="shared" ca="1" si="131"/>
        <v>17.8279128</v>
      </c>
      <c r="AB169" s="965">
        <f t="shared" ca="1" si="131"/>
        <v>17.8279128</v>
      </c>
      <c r="AC169" s="965">
        <f t="shared" ca="1" si="131"/>
        <v>17.8279128</v>
      </c>
      <c r="AD169" s="965">
        <f t="shared" ca="1" si="131"/>
        <v>13.549213728000002</v>
      </c>
      <c r="AE169" s="965">
        <f t="shared" ca="1" si="131"/>
        <v>13.549213728000002</v>
      </c>
      <c r="AF169" s="965">
        <f t="shared" ca="1" si="131"/>
        <v>0</v>
      </c>
      <c r="AG169" s="965">
        <f t="shared" ca="1" si="131"/>
        <v>0</v>
      </c>
    </row>
    <row r="170" spans="1:33" ht="17.25" customHeight="1" outlineLevel="2">
      <c r="A170" s="861"/>
      <c r="B170" s="861"/>
      <c r="C170" s="948">
        <f t="shared" si="129"/>
        <v>4</v>
      </c>
      <c r="D170" s="8" t="s">
        <v>39</v>
      </c>
      <c r="E170" s="878"/>
      <c r="F170" s="800"/>
      <c r="G170" s="800"/>
      <c r="H170" s="800"/>
      <c r="I170" s="947"/>
      <c r="J170" s="965">
        <f t="shared" ref="J170:AG170" ca="1" si="132">IF(J$82&lt;=ROUNDUP($C170/$E$82,0),0,IF(AND(J$82&gt;ROUNDUP($C170/$E$82,0),MOD(J$7-$C170,$E$82)=0),OFFSET(J142,0,-$E$82)*$F$82+J142,I170))*J$6</f>
        <v>0</v>
      </c>
      <c r="K170" s="965">
        <f t="shared" ca="1" si="132"/>
        <v>0</v>
      </c>
      <c r="L170" s="965">
        <f t="shared" ca="1" si="132"/>
        <v>0</v>
      </c>
      <c r="M170" s="965">
        <f t="shared" ca="1" si="132"/>
        <v>0</v>
      </c>
      <c r="N170" s="965">
        <f t="shared" ca="1" si="132"/>
        <v>0</v>
      </c>
      <c r="O170" s="965">
        <f t="shared" ca="1" si="132"/>
        <v>0</v>
      </c>
      <c r="P170" s="965">
        <f t="shared" ca="1" si="132"/>
        <v>24.700000000000003</v>
      </c>
      <c r="Q170" s="965">
        <f t="shared" ca="1" si="132"/>
        <v>24.700000000000003</v>
      </c>
      <c r="R170" s="965">
        <f t="shared" ca="1" si="132"/>
        <v>24.700000000000003</v>
      </c>
      <c r="S170" s="965">
        <f t="shared" ca="1" si="132"/>
        <v>42.237000000000002</v>
      </c>
      <c r="T170" s="965">
        <f t="shared" ca="1" si="132"/>
        <v>42.237000000000002</v>
      </c>
      <c r="U170" s="965">
        <f t="shared" ca="1" si="132"/>
        <v>42.237000000000002</v>
      </c>
      <c r="V170" s="965">
        <f t="shared" ca="1" si="132"/>
        <v>32.100120000000004</v>
      </c>
      <c r="W170" s="965">
        <f t="shared" ca="1" si="132"/>
        <v>32.100120000000004</v>
      </c>
      <c r="X170" s="965">
        <f t="shared" ca="1" si="132"/>
        <v>32.100120000000004</v>
      </c>
      <c r="Y170" s="965">
        <f t="shared" ca="1" si="132"/>
        <v>24.396091200000001</v>
      </c>
      <c r="Z170" s="965">
        <f t="shared" ca="1" si="132"/>
        <v>24.396091200000001</v>
      </c>
      <c r="AA170" s="965">
        <f t="shared" ca="1" si="132"/>
        <v>24.396091200000001</v>
      </c>
      <c r="AB170" s="965">
        <f t="shared" ca="1" si="132"/>
        <v>18.541029311999999</v>
      </c>
      <c r="AC170" s="965">
        <f t="shared" ca="1" si="132"/>
        <v>18.541029311999999</v>
      </c>
      <c r="AD170" s="965">
        <f t="shared" ca="1" si="132"/>
        <v>18.541029311999999</v>
      </c>
      <c r="AE170" s="965">
        <f t="shared" ca="1" si="132"/>
        <v>14.091182277120001</v>
      </c>
      <c r="AF170" s="965">
        <f t="shared" ca="1" si="132"/>
        <v>0</v>
      </c>
      <c r="AG170" s="965">
        <f t="shared" ca="1" si="132"/>
        <v>0</v>
      </c>
    </row>
    <row r="171" spans="1:33" ht="17.25" customHeight="1" outlineLevel="2">
      <c r="A171" s="861"/>
      <c r="B171" s="861"/>
      <c r="C171" s="948">
        <f t="shared" si="129"/>
        <v>5</v>
      </c>
      <c r="D171" s="8" t="s">
        <v>39</v>
      </c>
      <c r="E171" s="878"/>
      <c r="F171" s="800"/>
      <c r="G171" s="800"/>
      <c r="H171" s="800"/>
      <c r="I171" s="947"/>
      <c r="J171" s="965">
        <f t="shared" ref="J171:AG171" ca="1" si="133">IF(J$82&lt;=ROUNDUP($C171/$E$82,0),0,IF(AND(J$82&gt;ROUNDUP($C171/$E$82,0),MOD(J$7-$C171,$E$82)=0),OFFSET(J143,0,-$E$82)*$F$82+J143,I171))*J$6</f>
        <v>0</v>
      </c>
      <c r="K171" s="965">
        <f t="shared" ca="1" si="133"/>
        <v>0</v>
      </c>
      <c r="L171" s="965">
        <f t="shared" ca="1" si="133"/>
        <v>0</v>
      </c>
      <c r="M171" s="965">
        <f t="shared" ca="1" si="133"/>
        <v>0</v>
      </c>
      <c r="N171" s="965">
        <f t="shared" ca="1" si="133"/>
        <v>0</v>
      </c>
      <c r="O171" s="965">
        <f t="shared" ca="1" si="133"/>
        <v>0</v>
      </c>
      <c r="P171" s="965">
        <f t="shared" ca="1" si="133"/>
        <v>0</v>
      </c>
      <c r="Q171" s="965">
        <f t="shared" ca="1" si="133"/>
        <v>25.688000000000002</v>
      </c>
      <c r="R171" s="965">
        <f t="shared" ca="1" si="133"/>
        <v>25.688000000000002</v>
      </c>
      <c r="S171" s="965">
        <f t="shared" ca="1" si="133"/>
        <v>25.688000000000002</v>
      </c>
      <c r="T171" s="965">
        <f t="shared" ca="1" si="133"/>
        <v>43.926479999999998</v>
      </c>
      <c r="U171" s="965">
        <f t="shared" ca="1" si="133"/>
        <v>43.926479999999998</v>
      </c>
      <c r="V171" s="965">
        <f t="shared" ca="1" si="133"/>
        <v>43.926479999999998</v>
      </c>
      <c r="W171" s="965">
        <f t="shared" ca="1" si="133"/>
        <v>33.384124799999995</v>
      </c>
      <c r="X171" s="965">
        <f t="shared" ca="1" si="133"/>
        <v>33.384124799999995</v>
      </c>
      <c r="Y171" s="965">
        <f t="shared" ca="1" si="133"/>
        <v>33.384124799999995</v>
      </c>
      <c r="Z171" s="965">
        <f t="shared" ca="1" si="133"/>
        <v>25.371934847999999</v>
      </c>
      <c r="AA171" s="965">
        <f t="shared" ca="1" si="133"/>
        <v>25.371934847999999</v>
      </c>
      <c r="AB171" s="965">
        <f t="shared" ca="1" si="133"/>
        <v>25.371934847999999</v>
      </c>
      <c r="AC171" s="965">
        <f t="shared" ca="1" si="133"/>
        <v>19.282670484480001</v>
      </c>
      <c r="AD171" s="965">
        <f t="shared" ca="1" si="133"/>
        <v>19.282670484480001</v>
      </c>
      <c r="AE171" s="965">
        <f t="shared" ca="1" si="133"/>
        <v>19.282670484480001</v>
      </c>
      <c r="AF171" s="965">
        <f t="shared" ca="1" si="133"/>
        <v>0</v>
      </c>
      <c r="AG171" s="965">
        <f t="shared" ca="1" si="133"/>
        <v>0</v>
      </c>
    </row>
    <row r="172" spans="1:33" ht="17.25" customHeight="1" outlineLevel="2">
      <c r="A172" s="861"/>
      <c r="B172" s="861"/>
      <c r="C172" s="948">
        <f t="shared" si="129"/>
        <v>6</v>
      </c>
      <c r="D172" s="8" t="s">
        <v>39</v>
      </c>
      <c r="E172" s="878"/>
      <c r="F172" s="800"/>
      <c r="G172" s="800"/>
      <c r="H172" s="800"/>
      <c r="I172" s="947"/>
      <c r="J172" s="965">
        <f t="shared" ref="J172:AG172" ca="1" si="134">IF(J$82&lt;=ROUNDUP($C172/$E$82,0),0,IF(AND(J$82&gt;ROUNDUP($C172/$E$82,0),MOD(J$7-$C172,$E$82)=0),OFFSET(J144,0,-$E$82)*$F$82+J144,I172))*J$6</f>
        <v>0</v>
      </c>
      <c r="K172" s="965">
        <f t="shared" ca="1" si="134"/>
        <v>0</v>
      </c>
      <c r="L172" s="965">
        <f t="shared" ca="1" si="134"/>
        <v>0</v>
      </c>
      <c r="M172" s="965">
        <f t="shared" ca="1" si="134"/>
        <v>0</v>
      </c>
      <c r="N172" s="965">
        <f t="shared" ca="1" si="134"/>
        <v>0</v>
      </c>
      <c r="O172" s="965">
        <f t="shared" ca="1" si="134"/>
        <v>0</v>
      </c>
      <c r="P172" s="965">
        <f t="shared" ca="1" si="134"/>
        <v>0</v>
      </c>
      <c r="Q172" s="965">
        <f t="shared" ca="1" si="134"/>
        <v>0</v>
      </c>
      <c r="R172" s="965">
        <f t="shared" ca="1" si="134"/>
        <v>26.715520000000005</v>
      </c>
      <c r="S172" s="965">
        <f t="shared" ca="1" si="134"/>
        <v>26.715520000000005</v>
      </c>
      <c r="T172" s="965">
        <f t="shared" ca="1" si="134"/>
        <v>26.715520000000005</v>
      </c>
      <c r="U172" s="965">
        <f t="shared" ca="1" si="134"/>
        <v>45.683539200000006</v>
      </c>
      <c r="V172" s="965">
        <f t="shared" ca="1" si="134"/>
        <v>45.683539200000006</v>
      </c>
      <c r="W172" s="965">
        <f t="shared" ca="1" si="134"/>
        <v>45.683539200000006</v>
      </c>
      <c r="X172" s="965">
        <f t="shared" ca="1" si="134"/>
        <v>34.719489792000005</v>
      </c>
      <c r="Y172" s="965">
        <f t="shared" ca="1" si="134"/>
        <v>34.719489792000005</v>
      </c>
      <c r="Z172" s="965">
        <f t="shared" ca="1" si="134"/>
        <v>34.719489792000005</v>
      </c>
      <c r="AA172" s="965">
        <f t="shared" ca="1" si="134"/>
        <v>26.386812241920001</v>
      </c>
      <c r="AB172" s="965">
        <f t="shared" ca="1" si="134"/>
        <v>26.386812241920001</v>
      </c>
      <c r="AC172" s="965">
        <f t="shared" ca="1" si="134"/>
        <v>26.386812241920001</v>
      </c>
      <c r="AD172" s="965">
        <f t="shared" ca="1" si="134"/>
        <v>20.053977303859199</v>
      </c>
      <c r="AE172" s="965">
        <f t="shared" ca="1" si="134"/>
        <v>20.053977303859199</v>
      </c>
      <c r="AF172" s="965">
        <f t="shared" ca="1" si="134"/>
        <v>0</v>
      </c>
      <c r="AG172" s="965">
        <f t="shared" ca="1" si="134"/>
        <v>0</v>
      </c>
    </row>
    <row r="173" spans="1:33" ht="17.25" customHeight="1" outlineLevel="2">
      <c r="A173" s="861"/>
      <c r="B173" s="861"/>
      <c r="C173" s="948">
        <f t="shared" si="129"/>
        <v>7</v>
      </c>
      <c r="D173" s="8" t="s">
        <v>39</v>
      </c>
      <c r="E173" s="878"/>
      <c r="F173" s="800"/>
      <c r="G173" s="800"/>
      <c r="H173" s="800"/>
      <c r="I173" s="947"/>
      <c r="J173" s="965">
        <f t="shared" ref="J173:AG173" ca="1" si="135">IF(J$82&lt;=ROUNDUP($C173/$E$82,0),0,IF(AND(J$82&gt;ROUNDUP($C173/$E$82,0),MOD(J$7-$C173,$E$82)=0),OFFSET(J145,0,-$E$82)*$F$82+J145,I173))*J$6</f>
        <v>0</v>
      </c>
      <c r="K173" s="965">
        <f t="shared" ca="1" si="135"/>
        <v>0</v>
      </c>
      <c r="L173" s="965">
        <f t="shared" ca="1" si="135"/>
        <v>0</v>
      </c>
      <c r="M173" s="965">
        <f t="shared" ca="1" si="135"/>
        <v>0</v>
      </c>
      <c r="N173" s="965">
        <f t="shared" ca="1" si="135"/>
        <v>0</v>
      </c>
      <c r="O173" s="965">
        <f t="shared" ca="1" si="135"/>
        <v>0</v>
      </c>
      <c r="P173" s="965">
        <f t="shared" ca="1" si="135"/>
        <v>0</v>
      </c>
      <c r="Q173" s="965">
        <f t="shared" ca="1" si="135"/>
        <v>0</v>
      </c>
      <c r="R173" s="965">
        <f t="shared" ca="1" si="135"/>
        <v>0</v>
      </c>
      <c r="S173" s="965">
        <f t="shared" ca="1" si="135"/>
        <v>27.784140800000007</v>
      </c>
      <c r="T173" s="965">
        <f t="shared" ca="1" si="135"/>
        <v>27.784140800000007</v>
      </c>
      <c r="U173" s="965">
        <f t="shared" ca="1" si="135"/>
        <v>27.784140800000007</v>
      </c>
      <c r="V173" s="965">
        <f t="shared" ca="1" si="135"/>
        <v>47.510880768000007</v>
      </c>
      <c r="W173" s="965">
        <f t="shared" ca="1" si="135"/>
        <v>47.510880768000007</v>
      </c>
      <c r="X173" s="965">
        <f t="shared" ca="1" si="135"/>
        <v>47.510880768000007</v>
      </c>
      <c r="Y173" s="965">
        <f t="shared" ca="1" si="135"/>
        <v>36.10826938368001</v>
      </c>
      <c r="Z173" s="965">
        <f t="shared" ca="1" si="135"/>
        <v>36.10826938368001</v>
      </c>
      <c r="AA173" s="965">
        <f t="shared" ca="1" si="135"/>
        <v>36.10826938368001</v>
      </c>
      <c r="AB173" s="965">
        <f t="shared" ca="1" si="135"/>
        <v>27.442284731596807</v>
      </c>
      <c r="AC173" s="965">
        <f t="shared" ca="1" si="135"/>
        <v>27.442284731596807</v>
      </c>
      <c r="AD173" s="965">
        <f t="shared" ca="1" si="135"/>
        <v>27.442284731596807</v>
      </c>
      <c r="AE173" s="965">
        <f t="shared" ca="1" si="135"/>
        <v>20.856136396013571</v>
      </c>
      <c r="AF173" s="965">
        <f t="shared" ca="1" si="135"/>
        <v>0</v>
      </c>
      <c r="AG173" s="965">
        <f t="shared" ca="1" si="135"/>
        <v>0</v>
      </c>
    </row>
    <row r="174" spans="1:33" ht="17.25" customHeight="1" outlineLevel="2">
      <c r="A174" s="861"/>
      <c r="B174" s="861"/>
      <c r="C174" s="948">
        <f t="shared" si="129"/>
        <v>8</v>
      </c>
      <c r="D174" s="8" t="s">
        <v>39</v>
      </c>
      <c r="E174" s="878"/>
      <c r="F174" s="800"/>
      <c r="G174" s="800"/>
      <c r="H174" s="800"/>
      <c r="I174" s="947"/>
      <c r="J174" s="965">
        <f t="shared" ref="J174:AG174" ca="1" si="136">IF(J$82&lt;=ROUNDUP($C174/$E$82,0),0,IF(AND(J$82&gt;ROUNDUP($C174/$E$82,0),MOD(J$7-$C174,$E$82)=0),OFFSET(J146,0,-$E$82)*$F$82+J146,I174))*J$6</f>
        <v>0</v>
      </c>
      <c r="K174" s="965">
        <f t="shared" ca="1" si="136"/>
        <v>0</v>
      </c>
      <c r="L174" s="965">
        <f t="shared" ca="1" si="136"/>
        <v>0</v>
      </c>
      <c r="M174" s="965">
        <f t="shared" ca="1" si="136"/>
        <v>0</v>
      </c>
      <c r="N174" s="965">
        <f t="shared" ca="1" si="136"/>
        <v>0</v>
      </c>
      <c r="O174" s="965">
        <f t="shared" ca="1" si="136"/>
        <v>0</v>
      </c>
      <c r="P174" s="965">
        <f t="shared" ca="1" si="136"/>
        <v>0</v>
      </c>
      <c r="Q174" s="965">
        <f t="shared" ca="1" si="136"/>
        <v>0</v>
      </c>
      <c r="R174" s="965">
        <f t="shared" ca="1" si="136"/>
        <v>0</v>
      </c>
      <c r="S174" s="965">
        <f t="shared" ca="1" si="136"/>
        <v>0</v>
      </c>
      <c r="T174" s="965">
        <f t="shared" ca="1" si="136"/>
        <v>28.895506432000008</v>
      </c>
      <c r="U174" s="965">
        <f t="shared" ca="1" si="136"/>
        <v>28.895506432000008</v>
      </c>
      <c r="V174" s="965">
        <f t="shared" ca="1" si="136"/>
        <v>28.895506432000008</v>
      </c>
      <c r="W174" s="965">
        <f t="shared" ca="1" si="136"/>
        <v>49.411315998720013</v>
      </c>
      <c r="X174" s="965">
        <f t="shared" ca="1" si="136"/>
        <v>49.411315998720013</v>
      </c>
      <c r="Y174" s="965">
        <f t="shared" ca="1" si="136"/>
        <v>49.411315998720013</v>
      </c>
      <c r="Z174" s="965">
        <f t="shared" ca="1" si="136"/>
        <v>37.552600159027207</v>
      </c>
      <c r="AA174" s="965">
        <f t="shared" ca="1" si="136"/>
        <v>37.552600159027207</v>
      </c>
      <c r="AB174" s="965">
        <f t="shared" ca="1" si="136"/>
        <v>37.552600159027207</v>
      </c>
      <c r="AC174" s="965">
        <f t="shared" ca="1" si="136"/>
        <v>28.539976120860679</v>
      </c>
      <c r="AD174" s="965">
        <f t="shared" ca="1" si="136"/>
        <v>28.539976120860679</v>
      </c>
      <c r="AE174" s="965">
        <f t="shared" ca="1" si="136"/>
        <v>28.539976120860679</v>
      </c>
      <c r="AF174" s="965">
        <f t="shared" ca="1" si="136"/>
        <v>0</v>
      </c>
      <c r="AG174" s="965">
        <f t="shared" ca="1" si="136"/>
        <v>0</v>
      </c>
    </row>
    <row r="175" spans="1:33" ht="17.25" customHeight="1" outlineLevel="2">
      <c r="A175" s="861"/>
      <c r="B175" s="861"/>
      <c r="C175" s="948">
        <f t="shared" si="129"/>
        <v>9</v>
      </c>
      <c r="D175" s="8" t="s">
        <v>39</v>
      </c>
      <c r="E175" s="878"/>
      <c r="F175" s="800"/>
      <c r="G175" s="800"/>
      <c r="H175" s="800"/>
      <c r="I175" s="947"/>
      <c r="J175" s="965">
        <f t="shared" ref="J175:AG175" ca="1" si="137">IF(J$82&lt;=ROUNDUP($C175/$E$82,0),0,IF(AND(J$82&gt;ROUNDUP($C175/$E$82,0),MOD(J$7-$C175,$E$82)=0),OFFSET(J147,0,-$E$82)*$F$82+J147,I175))*J$6</f>
        <v>0</v>
      </c>
      <c r="K175" s="965">
        <f t="shared" ca="1" si="137"/>
        <v>0</v>
      </c>
      <c r="L175" s="965">
        <f t="shared" ca="1" si="137"/>
        <v>0</v>
      </c>
      <c r="M175" s="965">
        <f t="shared" ca="1" si="137"/>
        <v>0</v>
      </c>
      <c r="N175" s="965">
        <f t="shared" ca="1" si="137"/>
        <v>0</v>
      </c>
      <c r="O175" s="965">
        <f t="shared" ca="1" si="137"/>
        <v>0</v>
      </c>
      <c r="P175" s="965">
        <f t="shared" ca="1" si="137"/>
        <v>0</v>
      </c>
      <c r="Q175" s="965">
        <f t="shared" ca="1" si="137"/>
        <v>0</v>
      </c>
      <c r="R175" s="965">
        <f t="shared" ca="1" si="137"/>
        <v>0</v>
      </c>
      <c r="S175" s="965">
        <f t="shared" ca="1" si="137"/>
        <v>0</v>
      </c>
      <c r="T175" s="965">
        <f t="shared" ca="1" si="137"/>
        <v>0</v>
      </c>
      <c r="U175" s="965">
        <f t="shared" ca="1" si="137"/>
        <v>30.051326689280007</v>
      </c>
      <c r="V175" s="965">
        <f t="shared" ca="1" si="137"/>
        <v>30.051326689280007</v>
      </c>
      <c r="W175" s="965">
        <f t="shared" ca="1" si="137"/>
        <v>30.051326689280007</v>
      </c>
      <c r="X175" s="965">
        <f t="shared" ca="1" si="137"/>
        <v>51.38776863866881</v>
      </c>
      <c r="Y175" s="965">
        <f t="shared" ca="1" si="137"/>
        <v>51.38776863866881</v>
      </c>
      <c r="Z175" s="965">
        <f t="shared" ca="1" si="137"/>
        <v>51.38776863866881</v>
      </c>
      <c r="AA175" s="965">
        <f t="shared" ca="1" si="137"/>
        <v>39.054704165388294</v>
      </c>
      <c r="AB175" s="965">
        <f t="shared" ca="1" si="137"/>
        <v>39.054704165388294</v>
      </c>
      <c r="AC175" s="965">
        <f t="shared" ca="1" si="137"/>
        <v>39.054704165388294</v>
      </c>
      <c r="AD175" s="965">
        <f t="shared" ca="1" si="137"/>
        <v>29.681575165695104</v>
      </c>
      <c r="AE175" s="965">
        <f t="shared" ca="1" si="137"/>
        <v>29.681575165695104</v>
      </c>
      <c r="AF175" s="965">
        <f t="shared" ca="1" si="137"/>
        <v>0</v>
      </c>
      <c r="AG175" s="965">
        <f t="shared" ca="1" si="137"/>
        <v>0</v>
      </c>
    </row>
    <row r="176" spans="1:33" ht="17.25" customHeight="1" outlineLevel="2">
      <c r="A176" s="861"/>
      <c r="B176" s="861"/>
      <c r="C176" s="948">
        <f t="shared" si="129"/>
        <v>10</v>
      </c>
      <c r="D176" s="8" t="s">
        <v>39</v>
      </c>
      <c r="E176" s="878"/>
      <c r="F176" s="800"/>
      <c r="G176" s="800"/>
      <c r="H176" s="800"/>
      <c r="I176" s="947"/>
      <c r="J176" s="965">
        <f t="shared" ref="J176:AG176" ca="1" si="138">IF(J$82&lt;=ROUNDUP($C176/$E$82,0),0,IF(AND(J$82&gt;ROUNDUP($C176/$E$82,0),MOD(J$7-$C176,$E$82)=0),OFFSET(J148,0,-$E$82)*$F$82+J148,I176))*J$6</f>
        <v>0</v>
      </c>
      <c r="K176" s="965">
        <f t="shared" ca="1" si="138"/>
        <v>0</v>
      </c>
      <c r="L176" s="965">
        <f t="shared" ca="1" si="138"/>
        <v>0</v>
      </c>
      <c r="M176" s="965">
        <f t="shared" ca="1" si="138"/>
        <v>0</v>
      </c>
      <c r="N176" s="965">
        <f t="shared" ca="1" si="138"/>
        <v>0</v>
      </c>
      <c r="O176" s="965">
        <f t="shared" ca="1" si="138"/>
        <v>0</v>
      </c>
      <c r="P176" s="965">
        <f t="shared" ca="1" si="138"/>
        <v>0</v>
      </c>
      <c r="Q176" s="965">
        <f t="shared" ca="1" si="138"/>
        <v>0</v>
      </c>
      <c r="R176" s="965">
        <f t="shared" ca="1" si="138"/>
        <v>0</v>
      </c>
      <c r="S176" s="965">
        <f t="shared" ca="1" si="138"/>
        <v>0</v>
      </c>
      <c r="T176" s="965">
        <f t="shared" ca="1" si="138"/>
        <v>0</v>
      </c>
      <c r="U176" s="965">
        <f t="shared" ca="1" si="138"/>
        <v>0</v>
      </c>
      <c r="V176" s="965">
        <f t="shared" ca="1" si="138"/>
        <v>31.253379756851206</v>
      </c>
      <c r="W176" s="965">
        <f t="shared" ca="1" si="138"/>
        <v>31.253379756851206</v>
      </c>
      <c r="X176" s="965">
        <f t="shared" ca="1" si="138"/>
        <v>31.253379756851206</v>
      </c>
      <c r="Y176" s="965">
        <f t="shared" ca="1" si="138"/>
        <v>53.443279384215565</v>
      </c>
      <c r="Z176" s="965">
        <f t="shared" ca="1" si="138"/>
        <v>53.443279384215565</v>
      </c>
      <c r="AA176" s="965">
        <f t="shared" ca="1" si="138"/>
        <v>53.443279384215565</v>
      </c>
      <c r="AB176" s="965">
        <f t="shared" ca="1" si="138"/>
        <v>40.616892332003829</v>
      </c>
      <c r="AC176" s="965">
        <f t="shared" ca="1" si="138"/>
        <v>40.616892332003829</v>
      </c>
      <c r="AD176" s="965">
        <f t="shared" ca="1" si="138"/>
        <v>40.616892332003829</v>
      </c>
      <c r="AE176" s="965">
        <f t="shared" ca="1" si="138"/>
        <v>30.868838172322906</v>
      </c>
      <c r="AF176" s="965">
        <f t="shared" ca="1" si="138"/>
        <v>0</v>
      </c>
      <c r="AG176" s="965">
        <f t="shared" ca="1" si="138"/>
        <v>0</v>
      </c>
    </row>
    <row r="177" spans="1:33" ht="17.25" customHeight="1" outlineLevel="2">
      <c r="A177" s="861"/>
      <c r="B177" s="861"/>
      <c r="C177" s="948">
        <f t="shared" si="129"/>
        <v>11</v>
      </c>
      <c r="D177" s="8" t="s">
        <v>39</v>
      </c>
      <c r="E177" s="878"/>
      <c r="F177" s="800"/>
      <c r="G177" s="800"/>
      <c r="H177" s="800"/>
      <c r="I177" s="947"/>
      <c r="J177" s="965">
        <f t="shared" ref="J177:AG177" ca="1" si="139">IF(J$82&lt;=ROUNDUP($C177/$E$82,0),0,IF(AND(J$82&gt;ROUNDUP($C177/$E$82,0),MOD(J$7-$C177,$E$82)=0),OFFSET(J149,0,-$E$82)*$F$82+J149,I177))*J$6</f>
        <v>0</v>
      </c>
      <c r="K177" s="965">
        <f t="shared" ca="1" si="139"/>
        <v>0</v>
      </c>
      <c r="L177" s="965">
        <f t="shared" ca="1" si="139"/>
        <v>0</v>
      </c>
      <c r="M177" s="965">
        <f t="shared" ca="1" si="139"/>
        <v>0</v>
      </c>
      <c r="N177" s="965">
        <f t="shared" ca="1" si="139"/>
        <v>0</v>
      </c>
      <c r="O177" s="965">
        <f t="shared" ca="1" si="139"/>
        <v>0</v>
      </c>
      <c r="P177" s="965">
        <f t="shared" ca="1" si="139"/>
        <v>0</v>
      </c>
      <c r="Q177" s="965">
        <f t="shared" ca="1" si="139"/>
        <v>0</v>
      </c>
      <c r="R177" s="965">
        <f t="shared" ca="1" si="139"/>
        <v>0</v>
      </c>
      <c r="S177" s="965">
        <f t="shared" ca="1" si="139"/>
        <v>0</v>
      </c>
      <c r="T177" s="965">
        <f t="shared" ca="1" si="139"/>
        <v>0</v>
      </c>
      <c r="U177" s="965">
        <f t="shared" ca="1" si="139"/>
        <v>0</v>
      </c>
      <c r="V177" s="965">
        <f t="shared" ca="1" si="139"/>
        <v>0</v>
      </c>
      <c r="W177" s="965">
        <f t="shared" ca="1" si="139"/>
        <v>32.503514947125261</v>
      </c>
      <c r="X177" s="965">
        <f t="shared" ca="1" si="139"/>
        <v>32.503514947125261</v>
      </c>
      <c r="Y177" s="965">
        <f t="shared" ca="1" si="139"/>
        <v>32.503514947125261</v>
      </c>
      <c r="Z177" s="965">
        <f t="shared" ca="1" si="139"/>
        <v>55.581010559584193</v>
      </c>
      <c r="AA177" s="965">
        <f t="shared" ca="1" si="139"/>
        <v>55.581010559584193</v>
      </c>
      <c r="AB177" s="965">
        <f t="shared" ca="1" si="139"/>
        <v>55.581010559584193</v>
      </c>
      <c r="AC177" s="965">
        <f t="shared" ca="1" si="139"/>
        <v>42.241568025283989</v>
      </c>
      <c r="AD177" s="965">
        <f t="shared" ca="1" si="139"/>
        <v>42.241568025283989</v>
      </c>
      <c r="AE177" s="965">
        <f t="shared" ca="1" si="139"/>
        <v>42.241568025283989</v>
      </c>
      <c r="AF177" s="965">
        <f t="shared" ca="1" si="139"/>
        <v>0</v>
      </c>
      <c r="AG177" s="965">
        <f t="shared" ca="1" si="139"/>
        <v>0</v>
      </c>
    </row>
    <row r="178" spans="1:33" ht="17.25" customHeight="1" outlineLevel="2">
      <c r="A178" s="861"/>
      <c r="B178" s="861"/>
      <c r="C178" s="948">
        <f t="shared" si="129"/>
        <v>12</v>
      </c>
      <c r="D178" s="8" t="s">
        <v>39</v>
      </c>
      <c r="E178" s="878"/>
      <c r="F178" s="800"/>
      <c r="G178" s="800"/>
      <c r="H178" s="800"/>
      <c r="I178" s="947"/>
      <c r="J178" s="965">
        <f t="shared" ref="J178:AG178" ca="1" si="140">IF(J$82&lt;=ROUNDUP($C178/$E$82,0),0,IF(AND(J$82&gt;ROUNDUP($C178/$E$82,0),MOD(J$7-$C178,$E$82)=0),OFFSET(J150,0,-$E$82)*$F$82+J150,I178))*J$6</f>
        <v>0</v>
      </c>
      <c r="K178" s="965">
        <f t="shared" ca="1" si="140"/>
        <v>0</v>
      </c>
      <c r="L178" s="965">
        <f t="shared" ca="1" si="140"/>
        <v>0</v>
      </c>
      <c r="M178" s="965">
        <f t="shared" ca="1" si="140"/>
        <v>0</v>
      </c>
      <c r="N178" s="965">
        <f t="shared" ca="1" si="140"/>
        <v>0</v>
      </c>
      <c r="O178" s="965">
        <f t="shared" ca="1" si="140"/>
        <v>0</v>
      </c>
      <c r="P178" s="965">
        <f t="shared" ca="1" si="140"/>
        <v>0</v>
      </c>
      <c r="Q178" s="965">
        <f t="shared" ca="1" si="140"/>
        <v>0</v>
      </c>
      <c r="R178" s="965">
        <f t="shared" ca="1" si="140"/>
        <v>0</v>
      </c>
      <c r="S178" s="965">
        <f t="shared" ca="1" si="140"/>
        <v>0</v>
      </c>
      <c r="T178" s="965">
        <f t="shared" ca="1" si="140"/>
        <v>0</v>
      </c>
      <c r="U178" s="965">
        <f t="shared" ca="1" si="140"/>
        <v>0</v>
      </c>
      <c r="V178" s="965">
        <f t="shared" ca="1" si="140"/>
        <v>0</v>
      </c>
      <c r="W178" s="965">
        <f t="shared" ca="1" si="140"/>
        <v>0</v>
      </c>
      <c r="X178" s="965">
        <f t="shared" ca="1" si="140"/>
        <v>33.803655545010272</v>
      </c>
      <c r="Y178" s="965">
        <f t="shared" ca="1" si="140"/>
        <v>33.803655545010272</v>
      </c>
      <c r="Z178" s="965">
        <f t="shared" ca="1" si="140"/>
        <v>33.803655545010272</v>
      </c>
      <c r="AA178" s="965">
        <f t="shared" ca="1" si="140"/>
        <v>57.80425098196757</v>
      </c>
      <c r="AB178" s="965">
        <f t="shared" ca="1" si="140"/>
        <v>57.80425098196757</v>
      </c>
      <c r="AC178" s="965">
        <f t="shared" ca="1" si="140"/>
        <v>57.80425098196757</v>
      </c>
      <c r="AD178" s="965">
        <f t="shared" ca="1" si="140"/>
        <v>43.931230746295356</v>
      </c>
      <c r="AE178" s="965">
        <f t="shared" ca="1" si="140"/>
        <v>43.931230746295356</v>
      </c>
      <c r="AF178" s="965">
        <f t="shared" ca="1" si="140"/>
        <v>0</v>
      </c>
      <c r="AG178" s="965">
        <f t="shared" ca="1" si="140"/>
        <v>0</v>
      </c>
    </row>
    <row r="179" spans="1:33" ht="17.25" customHeight="1" outlineLevel="2">
      <c r="A179" s="861"/>
      <c r="B179" s="861"/>
      <c r="C179" s="948">
        <f t="shared" si="129"/>
        <v>13</v>
      </c>
      <c r="D179" s="8" t="s">
        <v>39</v>
      </c>
      <c r="E179" s="878"/>
      <c r="F179" s="800"/>
      <c r="G179" s="800"/>
      <c r="H179" s="800"/>
      <c r="I179" s="947"/>
      <c r="J179" s="965">
        <f t="shared" ref="J179:AG179" ca="1" si="141">IF(J$82&lt;=ROUNDUP($C179/$E$82,0),0,IF(AND(J$82&gt;ROUNDUP($C179/$E$82,0),MOD(J$7-$C179,$E$82)=0),OFFSET(J151,0,-$E$82)*$F$82+J151,I179))*J$6</f>
        <v>0</v>
      </c>
      <c r="K179" s="965">
        <f t="shared" ca="1" si="141"/>
        <v>0</v>
      </c>
      <c r="L179" s="965">
        <f t="shared" ca="1" si="141"/>
        <v>0</v>
      </c>
      <c r="M179" s="965">
        <f t="shared" ca="1" si="141"/>
        <v>0</v>
      </c>
      <c r="N179" s="965">
        <f t="shared" ca="1" si="141"/>
        <v>0</v>
      </c>
      <c r="O179" s="965">
        <f t="shared" ca="1" si="141"/>
        <v>0</v>
      </c>
      <c r="P179" s="965">
        <f t="shared" ca="1" si="141"/>
        <v>0</v>
      </c>
      <c r="Q179" s="965">
        <f t="shared" ca="1" si="141"/>
        <v>0</v>
      </c>
      <c r="R179" s="965">
        <f t="shared" ca="1" si="141"/>
        <v>0</v>
      </c>
      <c r="S179" s="965">
        <f t="shared" ca="1" si="141"/>
        <v>0</v>
      </c>
      <c r="T179" s="965">
        <f t="shared" ca="1" si="141"/>
        <v>0</v>
      </c>
      <c r="U179" s="965">
        <f t="shared" ca="1" si="141"/>
        <v>0</v>
      </c>
      <c r="V179" s="965">
        <f t="shared" ca="1" si="141"/>
        <v>0</v>
      </c>
      <c r="W179" s="965">
        <f t="shared" ca="1" si="141"/>
        <v>0</v>
      </c>
      <c r="X179" s="965">
        <f t="shared" ca="1" si="141"/>
        <v>0</v>
      </c>
      <c r="Y179" s="965">
        <f t="shared" ca="1" si="141"/>
        <v>35.155801766810683</v>
      </c>
      <c r="Z179" s="965">
        <f t="shared" ca="1" si="141"/>
        <v>35.155801766810683</v>
      </c>
      <c r="AA179" s="965">
        <f t="shared" ca="1" si="141"/>
        <v>35.155801766810683</v>
      </c>
      <c r="AB179" s="965">
        <f t="shared" ca="1" si="141"/>
        <v>60.116421021246268</v>
      </c>
      <c r="AC179" s="965">
        <f t="shared" ca="1" si="141"/>
        <v>60.116421021246268</v>
      </c>
      <c r="AD179" s="965">
        <f t="shared" ca="1" si="141"/>
        <v>60.116421021246268</v>
      </c>
      <c r="AE179" s="965">
        <f t="shared" ca="1" si="141"/>
        <v>45.688479976147164</v>
      </c>
      <c r="AF179" s="965">
        <f t="shared" ca="1" si="141"/>
        <v>0</v>
      </c>
      <c r="AG179" s="965">
        <f t="shared" ca="1" si="141"/>
        <v>0</v>
      </c>
    </row>
    <row r="180" spans="1:33" ht="17.25" customHeight="1" outlineLevel="2">
      <c r="A180" s="861"/>
      <c r="B180" s="861"/>
      <c r="C180" s="948">
        <f t="shared" si="129"/>
        <v>14</v>
      </c>
      <c r="D180" s="8" t="s">
        <v>39</v>
      </c>
      <c r="E180" s="878"/>
      <c r="F180" s="800"/>
      <c r="G180" s="800"/>
      <c r="H180" s="800"/>
      <c r="I180" s="947"/>
      <c r="J180" s="965">
        <f t="shared" ref="J180:AG180" ca="1" si="142">IF(J$82&lt;=ROUNDUP($C180/$E$82,0),0,IF(AND(J$82&gt;ROUNDUP($C180/$E$82,0),MOD(J$7-$C180,$E$82)=0),OFFSET(J152,0,-$E$82)*$F$82+J152,I180))*J$6</f>
        <v>0</v>
      </c>
      <c r="K180" s="965">
        <f t="shared" ca="1" si="142"/>
        <v>0</v>
      </c>
      <c r="L180" s="965">
        <f t="shared" ca="1" si="142"/>
        <v>0</v>
      </c>
      <c r="M180" s="965">
        <f t="shared" ca="1" si="142"/>
        <v>0</v>
      </c>
      <c r="N180" s="965">
        <f t="shared" ca="1" si="142"/>
        <v>0</v>
      </c>
      <c r="O180" s="965">
        <f t="shared" ca="1" si="142"/>
        <v>0</v>
      </c>
      <c r="P180" s="965">
        <f t="shared" ca="1" si="142"/>
        <v>0</v>
      </c>
      <c r="Q180" s="965">
        <f t="shared" ca="1" si="142"/>
        <v>0</v>
      </c>
      <c r="R180" s="965">
        <f t="shared" ca="1" si="142"/>
        <v>0</v>
      </c>
      <c r="S180" s="965">
        <f t="shared" ca="1" si="142"/>
        <v>0</v>
      </c>
      <c r="T180" s="965">
        <f t="shared" ca="1" si="142"/>
        <v>0</v>
      </c>
      <c r="U180" s="965">
        <f t="shared" ca="1" si="142"/>
        <v>0</v>
      </c>
      <c r="V180" s="965">
        <f t="shared" ca="1" si="142"/>
        <v>0</v>
      </c>
      <c r="W180" s="965">
        <f t="shared" ca="1" si="142"/>
        <v>0</v>
      </c>
      <c r="X180" s="965">
        <f t="shared" ca="1" si="142"/>
        <v>0</v>
      </c>
      <c r="Y180" s="965">
        <f t="shared" ca="1" si="142"/>
        <v>0</v>
      </c>
      <c r="Z180" s="965">
        <f t="shared" ca="1" si="142"/>
        <v>36.562033837483106</v>
      </c>
      <c r="AA180" s="965">
        <f t="shared" ca="1" si="142"/>
        <v>36.562033837483106</v>
      </c>
      <c r="AB180" s="965">
        <f t="shared" ca="1" si="142"/>
        <v>36.562033837483106</v>
      </c>
      <c r="AC180" s="965">
        <f t="shared" ca="1" si="142"/>
        <v>62.521077862096107</v>
      </c>
      <c r="AD180" s="965">
        <f t="shared" ca="1" si="142"/>
        <v>62.521077862096107</v>
      </c>
      <c r="AE180" s="965">
        <f t="shared" ca="1" si="142"/>
        <v>62.521077862096107</v>
      </c>
      <c r="AF180" s="965">
        <f t="shared" ca="1" si="142"/>
        <v>0</v>
      </c>
      <c r="AG180" s="965">
        <f t="shared" ca="1" si="142"/>
        <v>0</v>
      </c>
    </row>
    <row r="181" spans="1:33" ht="17.25" customHeight="1" outlineLevel="2">
      <c r="A181" s="861"/>
      <c r="B181" s="861"/>
      <c r="C181" s="948">
        <f t="shared" si="129"/>
        <v>15</v>
      </c>
      <c r="D181" s="8" t="s">
        <v>39</v>
      </c>
      <c r="E181" s="878"/>
      <c r="F181" s="800"/>
      <c r="G181" s="800"/>
      <c r="H181" s="800"/>
      <c r="I181" s="947"/>
      <c r="J181" s="965">
        <f t="shared" ref="J181:AG181" ca="1" si="143">IF(J$82&lt;=ROUNDUP($C181/$E$82,0),0,IF(AND(J$82&gt;ROUNDUP($C181/$E$82,0),MOD(J$7-$C181,$E$82)=0),OFFSET(J153,0,-$E$82)*$F$82+J153,I181))*J$6</f>
        <v>0</v>
      </c>
      <c r="K181" s="965">
        <f t="shared" ca="1" si="143"/>
        <v>0</v>
      </c>
      <c r="L181" s="965">
        <f t="shared" ca="1" si="143"/>
        <v>0</v>
      </c>
      <c r="M181" s="965">
        <f t="shared" ca="1" si="143"/>
        <v>0</v>
      </c>
      <c r="N181" s="965">
        <f t="shared" ca="1" si="143"/>
        <v>0</v>
      </c>
      <c r="O181" s="965">
        <f t="shared" ca="1" si="143"/>
        <v>0</v>
      </c>
      <c r="P181" s="965">
        <f t="shared" ca="1" si="143"/>
        <v>0</v>
      </c>
      <c r="Q181" s="965">
        <f t="shared" ca="1" si="143"/>
        <v>0</v>
      </c>
      <c r="R181" s="965">
        <f t="shared" ca="1" si="143"/>
        <v>0</v>
      </c>
      <c r="S181" s="965">
        <f t="shared" ca="1" si="143"/>
        <v>0</v>
      </c>
      <c r="T181" s="965">
        <f t="shared" ca="1" si="143"/>
        <v>0</v>
      </c>
      <c r="U181" s="965">
        <f t="shared" ca="1" si="143"/>
        <v>0</v>
      </c>
      <c r="V181" s="965">
        <f t="shared" ca="1" si="143"/>
        <v>0</v>
      </c>
      <c r="W181" s="965">
        <f t="shared" ca="1" si="143"/>
        <v>0</v>
      </c>
      <c r="X181" s="965">
        <f t="shared" ca="1" si="143"/>
        <v>0</v>
      </c>
      <c r="Y181" s="965">
        <f t="shared" ca="1" si="143"/>
        <v>0</v>
      </c>
      <c r="Z181" s="965">
        <f t="shared" ca="1" si="143"/>
        <v>0</v>
      </c>
      <c r="AA181" s="965">
        <f t="shared" ca="1" si="143"/>
        <v>38.024515190982434</v>
      </c>
      <c r="AB181" s="965">
        <f t="shared" ca="1" si="143"/>
        <v>38.024515190982434</v>
      </c>
      <c r="AC181" s="965">
        <f t="shared" ca="1" si="143"/>
        <v>38.024515190982434</v>
      </c>
      <c r="AD181" s="965">
        <f t="shared" ca="1" si="143"/>
        <v>65.021920976579963</v>
      </c>
      <c r="AE181" s="965">
        <f t="shared" ca="1" si="143"/>
        <v>65.021920976579963</v>
      </c>
      <c r="AF181" s="965">
        <f t="shared" ca="1" si="143"/>
        <v>0</v>
      </c>
      <c r="AG181" s="965">
        <f t="shared" ca="1" si="143"/>
        <v>0</v>
      </c>
    </row>
    <row r="182" spans="1:33" ht="17.25" customHeight="1" outlineLevel="2">
      <c r="A182" s="861"/>
      <c r="B182" s="861"/>
      <c r="C182" s="948">
        <f t="shared" si="129"/>
        <v>16</v>
      </c>
      <c r="D182" s="8" t="s">
        <v>39</v>
      </c>
      <c r="E182" s="878"/>
      <c r="F182" s="800"/>
      <c r="G182" s="800"/>
      <c r="H182" s="800"/>
      <c r="I182" s="947"/>
      <c r="J182" s="965">
        <f t="shared" ref="J182:AG182" ca="1" si="144">IF(J$82&lt;=ROUNDUP($C182/$E$82,0),0,IF(AND(J$82&gt;ROUNDUP($C182/$E$82,0),MOD(J$7-$C182,$E$82)=0),OFFSET(J154,0,-$E$82)*$F$82+J154,I182))*J$6</f>
        <v>0</v>
      </c>
      <c r="K182" s="965">
        <f t="shared" ca="1" si="144"/>
        <v>0</v>
      </c>
      <c r="L182" s="965">
        <f t="shared" ca="1" si="144"/>
        <v>0</v>
      </c>
      <c r="M182" s="965">
        <f t="shared" ca="1" si="144"/>
        <v>0</v>
      </c>
      <c r="N182" s="965">
        <f t="shared" ca="1" si="144"/>
        <v>0</v>
      </c>
      <c r="O182" s="965">
        <f t="shared" ca="1" si="144"/>
        <v>0</v>
      </c>
      <c r="P182" s="965">
        <f t="shared" ca="1" si="144"/>
        <v>0</v>
      </c>
      <c r="Q182" s="965">
        <f t="shared" ca="1" si="144"/>
        <v>0</v>
      </c>
      <c r="R182" s="965">
        <f t="shared" ca="1" si="144"/>
        <v>0</v>
      </c>
      <c r="S182" s="965">
        <f t="shared" ca="1" si="144"/>
        <v>0</v>
      </c>
      <c r="T182" s="965">
        <f t="shared" ca="1" si="144"/>
        <v>0</v>
      </c>
      <c r="U182" s="965">
        <f t="shared" ca="1" si="144"/>
        <v>0</v>
      </c>
      <c r="V182" s="965">
        <f t="shared" ca="1" si="144"/>
        <v>0</v>
      </c>
      <c r="W182" s="965">
        <f t="shared" ca="1" si="144"/>
        <v>0</v>
      </c>
      <c r="X182" s="965">
        <f t="shared" ca="1" si="144"/>
        <v>0</v>
      </c>
      <c r="Y182" s="965">
        <f t="shared" ca="1" si="144"/>
        <v>0</v>
      </c>
      <c r="Z182" s="965">
        <f t="shared" ca="1" si="144"/>
        <v>0</v>
      </c>
      <c r="AA182" s="965">
        <f t="shared" ca="1" si="144"/>
        <v>0</v>
      </c>
      <c r="AB182" s="965">
        <f t="shared" ca="1" si="144"/>
        <v>39.545495798621737</v>
      </c>
      <c r="AC182" s="965">
        <f t="shared" ca="1" si="144"/>
        <v>39.545495798621737</v>
      </c>
      <c r="AD182" s="965">
        <f t="shared" ca="1" si="144"/>
        <v>39.545495798621737</v>
      </c>
      <c r="AE182" s="965">
        <f t="shared" ca="1" si="144"/>
        <v>67.622797815643167</v>
      </c>
      <c r="AF182" s="965">
        <f t="shared" ca="1" si="144"/>
        <v>0</v>
      </c>
      <c r="AG182" s="965">
        <f t="shared" ca="1" si="144"/>
        <v>0</v>
      </c>
    </row>
    <row r="183" spans="1:33" ht="17.25" customHeight="1" outlineLevel="2">
      <c r="A183" s="861"/>
      <c r="B183" s="861"/>
      <c r="C183" s="948">
        <f t="shared" si="129"/>
        <v>17</v>
      </c>
      <c r="D183" s="8" t="s">
        <v>39</v>
      </c>
      <c r="E183" s="878"/>
      <c r="F183" s="800"/>
      <c r="G183" s="800"/>
      <c r="H183" s="800"/>
      <c r="I183" s="947"/>
      <c r="J183" s="965">
        <f t="shared" ref="J183:AG183" ca="1" si="145">IF(J$82&lt;=ROUNDUP($C183/$E$82,0),0,IF(AND(J$82&gt;ROUNDUP($C183/$E$82,0),MOD(J$7-$C183,$E$82)=0),OFFSET(J155,0,-$E$82)*$F$82+J155,I183))*J$6</f>
        <v>0</v>
      </c>
      <c r="K183" s="965">
        <f t="shared" ca="1" si="145"/>
        <v>0</v>
      </c>
      <c r="L183" s="965">
        <f t="shared" ca="1" si="145"/>
        <v>0</v>
      </c>
      <c r="M183" s="965">
        <f t="shared" ca="1" si="145"/>
        <v>0</v>
      </c>
      <c r="N183" s="965">
        <f t="shared" ca="1" si="145"/>
        <v>0</v>
      </c>
      <c r="O183" s="965">
        <f t="shared" ca="1" si="145"/>
        <v>0</v>
      </c>
      <c r="P183" s="965">
        <f t="shared" ca="1" si="145"/>
        <v>0</v>
      </c>
      <c r="Q183" s="965">
        <f t="shared" ca="1" si="145"/>
        <v>0</v>
      </c>
      <c r="R183" s="965">
        <f t="shared" ca="1" si="145"/>
        <v>0</v>
      </c>
      <c r="S183" s="965">
        <f t="shared" ca="1" si="145"/>
        <v>0</v>
      </c>
      <c r="T183" s="965">
        <f t="shared" ca="1" si="145"/>
        <v>0</v>
      </c>
      <c r="U183" s="965">
        <f t="shared" ca="1" si="145"/>
        <v>0</v>
      </c>
      <c r="V183" s="965">
        <f t="shared" ca="1" si="145"/>
        <v>0</v>
      </c>
      <c r="W183" s="965">
        <f t="shared" ca="1" si="145"/>
        <v>0</v>
      </c>
      <c r="X183" s="965">
        <f t="shared" ca="1" si="145"/>
        <v>0</v>
      </c>
      <c r="Y183" s="965">
        <f t="shared" ca="1" si="145"/>
        <v>0</v>
      </c>
      <c r="Z183" s="965">
        <f t="shared" ca="1" si="145"/>
        <v>0</v>
      </c>
      <c r="AA183" s="965">
        <f t="shared" ca="1" si="145"/>
        <v>0</v>
      </c>
      <c r="AB183" s="965">
        <f t="shared" ca="1" si="145"/>
        <v>0</v>
      </c>
      <c r="AC183" s="965">
        <f t="shared" ca="1" si="145"/>
        <v>41.127315630566606</v>
      </c>
      <c r="AD183" s="965">
        <f t="shared" ca="1" si="145"/>
        <v>41.127315630566606</v>
      </c>
      <c r="AE183" s="965">
        <f t="shared" ca="1" si="145"/>
        <v>41.127315630566606</v>
      </c>
      <c r="AF183" s="965">
        <f t="shared" ca="1" si="145"/>
        <v>0</v>
      </c>
      <c r="AG183" s="965">
        <f t="shared" ca="1" si="145"/>
        <v>0</v>
      </c>
    </row>
    <row r="184" spans="1:33" ht="17.25" customHeight="1" outlineLevel="2">
      <c r="A184" s="861"/>
      <c r="B184" s="861"/>
      <c r="C184" s="948">
        <f t="shared" si="129"/>
        <v>18</v>
      </c>
      <c r="D184" s="8" t="s">
        <v>39</v>
      </c>
      <c r="E184" s="878"/>
      <c r="F184" s="800"/>
      <c r="G184" s="800"/>
      <c r="H184" s="800"/>
      <c r="I184" s="947"/>
      <c r="J184" s="965">
        <f t="shared" ref="J184:AG184" ca="1" si="146">IF(J$82&lt;=ROUNDUP($C184/$E$82,0),0,IF(AND(J$82&gt;ROUNDUP($C184/$E$82,0),MOD(J$7-$C184,$E$82)=0),OFFSET(J156,0,-$E$82)*$F$82+J156,I184))*J$6</f>
        <v>0</v>
      </c>
      <c r="K184" s="965">
        <f t="shared" ca="1" si="146"/>
        <v>0</v>
      </c>
      <c r="L184" s="965">
        <f t="shared" ca="1" si="146"/>
        <v>0</v>
      </c>
      <c r="M184" s="965">
        <f t="shared" ca="1" si="146"/>
        <v>0</v>
      </c>
      <c r="N184" s="965">
        <f t="shared" ca="1" si="146"/>
        <v>0</v>
      </c>
      <c r="O184" s="965">
        <f t="shared" ca="1" si="146"/>
        <v>0</v>
      </c>
      <c r="P184" s="965">
        <f t="shared" ca="1" si="146"/>
        <v>0</v>
      </c>
      <c r="Q184" s="965">
        <f t="shared" ca="1" si="146"/>
        <v>0</v>
      </c>
      <c r="R184" s="965">
        <f t="shared" ca="1" si="146"/>
        <v>0</v>
      </c>
      <c r="S184" s="965">
        <f t="shared" ca="1" si="146"/>
        <v>0</v>
      </c>
      <c r="T184" s="965">
        <f t="shared" ca="1" si="146"/>
        <v>0</v>
      </c>
      <c r="U184" s="965">
        <f t="shared" ca="1" si="146"/>
        <v>0</v>
      </c>
      <c r="V184" s="965">
        <f t="shared" ca="1" si="146"/>
        <v>0</v>
      </c>
      <c r="W184" s="965">
        <f t="shared" ca="1" si="146"/>
        <v>0</v>
      </c>
      <c r="X184" s="965">
        <f t="shared" ca="1" si="146"/>
        <v>0</v>
      </c>
      <c r="Y184" s="965">
        <f t="shared" ca="1" si="146"/>
        <v>0</v>
      </c>
      <c r="Z184" s="965">
        <f t="shared" ca="1" si="146"/>
        <v>0</v>
      </c>
      <c r="AA184" s="965">
        <f t="shared" ca="1" si="146"/>
        <v>0</v>
      </c>
      <c r="AB184" s="965">
        <f t="shared" ca="1" si="146"/>
        <v>0</v>
      </c>
      <c r="AC184" s="965">
        <f t="shared" ca="1" si="146"/>
        <v>0</v>
      </c>
      <c r="AD184" s="965">
        <f t="shared" ca="1" si="146"/>
        <v>42.772408255789273</v>
      </c>
      <c r="AE184" s="965">
        <f t="shared" ca="1" si="146"/>
        <v>42.772408255789273</v>
      </c>
      <c r="AF184" s="965">
        <f t="shared" ca="1" si="146"/>
        <v>0</v>
      </c>
      <c r="AG184" s="965">
        <f t="shared" ca="1" si="146"/>
        <v>0</v>
      </c>
    </row>
    <row r="185" spans="1:33" ht="17.25" customHeight="1" outlineLevel="2">
      <c r="A185" s="861"/>
      <c r="B185" s="861"/>
      <c r="C185" s="948">
        <f t="shared" si="129"/>
        <v>19</v>
      </c>
      <c r="D185" s="8" t="s">
        <v>39</v>
      </c>
      <c r="E185" s="878"/>
      <c r="F185" s="800"/>
      <c r="G185" s="800"/>
      <c r="H185" s="800"/>
      <c r="I185" s="947"/>
      <c r="J185" s="965">
        <f t="shared" ref="J185:AG185" ca="1" si="147">IF(J$82&lt;=ROUNDUP($C185/$E$82,0),0,IF(AND(J$82&gt;ROUNDUP($C185/$E$82,0),MOD(J$7-$C185,$E$82)=0),OFFSET(J157,0,-$E$82)*$F$82+J157,I185))*J$6</f>
        <v>0</v>
      </c>
      <c r="K185" s="965">
        <f t="shared" ca="1" si="147"/>
        <v>0</v>
      </c>
      <c r="L185" s="965">
        <f t="shared" ca="1" si="147"/>
        <v>0</v>
      </c>
      <c r="M185" s="965">
        <f t="shared" ca="1" si="147"/>
        <v>0</v>
      </c>
      <c r="N185" s="965">
        <f t="shared" ca="1" si="147"/>
        <v>0</v>
      </c>
      <c r="O185" s="965">
        <f t="shared" ca="1" si="147"/>
        <v>0</v>
      </c>
      <c r="P185" s="965">
        <f t="shared" ca="1" si="147"/>
        <v>0</v>
      </c>
      <c r="Q185" s="965">
        <f t="shared" ca="1" si="147"/>
        <v>0</v>
      </c>
      <c r="R185" s="965">
        <f t="shared" ca="1" si="147"/>
        <v>0</v>
      </c>
      <c r="S185" s="965">
        <f t="shared" ca="1" si="147"/>
        <v>0</v>
      </c>
      <c r="T185" s="965">
        <f t="shared" ca="1" si="147"/>
        <v>0</v>
      </c>
      <c r="U185" s="965">
        <f t="shared" ca="1" si="147"/>
        <v>0</v>
      </c>
      <c r="V185" s="965">
        <f t="shared" ca="1" si="147"/>
        <v>0</v>
      </c>
      <c r="W185" s="965">
        <f t="shared" ca="1" si="147"/>
        <v>0</v>
      </c>
      <c r="X185" s="965">
        <f t="shared" ca="1" si="147"/>
        <v>0</v>
      </c>
      <c r="Y185" s="965">
        <f t="shared" ca="1" si="147"/>
        <v>0</v>
      </c>
      <c r="Z185" s="965">
        <f t="shared" ca="1" si="147"/>
        <v>0</v>
      </c>
      <c r="AA185" s="965">
        <f t="shared" ca="1" si="147"/>
        <v>0</v>
      </c>
      <c r="AB185" s="965">
        <f t="shared" ca="1" si="147"/>
        <v>0</v>
      </c>
      <c r="AC185" s="965">
        <f t="shared" ca="1" si="147"/>
        <v>0</v>
      </c>
      <c r="AD185" s="965">
        <f t="shared" ca="1" si="147"/>
        <v>0</v>
      </c>
      <c r="AE185" s="965">
        <f t="shared" ca="1" si="147"/>
        <v>44.483304586020836</v>
      </c>
      <c r="AF185" s="965">
        <f t="shared" ca="1" si="147"/>
        <v>0</v>
      </c>
      <c r="AG185" s="965">
        <f t="shared" ca="1" si="147"/>
        <v>0</v>
      </c>
    </row>
    <row r="186" spans="1:33" ht="17.25" customHeight="1" outlineLevel="2">
      <c r="A186" s="861"/>
      <c r="B186" s="861"/>
      <c r="C186" s="948">
        <f t="shared" si="129"/>
        <v>20</v>
      </c>
      <c r="D186" s="8" t="s">
        <v>39</v>
      </c>
      <c r="E186" s="878"/>
      <c r="F186" s="800"/>
      <c r="G186" s="800"/>
      <c r="H186" s="800"/>
      <c r="I186" s="947"/>
      <c r="J186" s="965">
        <f t="shared" ref="J186:AG186" ca="1" si="148">IF(J$82&lt;=ROUNDUP($C186/$E$82,0),0,IF(AND(J$82&gt;ROUNDUP($C186/$E$82,0),MOD(J$7-$C186,$E$82)=0),OFFSET(J158,0,-$E$82)*$F$82+J158,I186))*J$6</f>
        <v>0</v>
      </c>
      <c r="K186" s="965">
        <f t="shared" ca="1" si="148"/>
        <v>0</v>
      </c>
      <c r="L186" s="965">
        <f t="shared" ca="1" si="148"/>
        <v>0</v>
      </c>
      <c r="M186" s="965">
        <f t="shared" ca="1" si="148"/>
        <v>0</v>
      </c>
      <c r="N186" s="965">
        <f t="shared" ca="1" si="148"/>
        <v>0</v>
      </c>
      <c r="O186" s="965">
        <f t="shared" ca="1" si="148"/>
        <v>0</v>
      </c>
      <c r="P186" s="965">
        <f t="shared" ca="1" si="148"/>
        <v>0</v>
      </c>
      <c r="Q186" s="965">
        <f t="shared" ca="1" si="148"/>
        <v>0</v>
      </c>
      <c r="R186" s="965">
        <f t="shared" ca="1" si="148"/>
        <v>0</v>
      </c>
      <c r="S186" s="965">
        <f t="shared" ca="1" si="148"/>
        <v>0</v>
      </c>
      <c r="T186" s="965">
        <f t="shared" ca="1" si="148"/>
        <v>0</v>
      </c>
      <c r="U186" s="965">
        <f t="shared" ca="1" si="148"/>
        <v>0</v>
      </c>
      <c r="V186" s="965">
        <f t="shared" ca="1" si="148"/>
        <v>0</v>
      </c>
      <c r="W186" s="965">
        <f t="shared" ca="1" si="148"/>
        <v>0</v>
      </c>
      <c r="X186" s="965">
        <f t="shared" ca="1" si="148"/>
        <v>0</v>
      </c>
      <c r="Y186" s="965">
        <f t="shared" ca="1" si="148"/>
        <v>0</v>
      </c>
      <c r="Z186" s="965">
        <f t="shared" ca="1" si="148"/>
        <v>0</v>
      </c>
      <c r="AA186" s="965">
        <f t="shared" ca="1" si="148"/>
        <v>0</v>
      </c>
      <c r="AB186" s="965">
        <f t="shared" ca="1" si="148"/>
        <v>0</v>
      </c>
      <c r="AC186" s="965">
        <f t="shared" ca="1" si="148"/>
        <v>0</v>
      </c>
      <c r="AD186" s="965">
        <f t="shared" ca="1" si="148"/>
        <v>0</v>
      </c>
      <c r="AE186" s="965">
        <f t="shared" ca="1" si="148"/>
        <v>0</v>
      </c>
      <c r="AF186" s="965">
        <f t="shared" ca="1" si="148"/>
        <v>0</v>
      </c>
      <c r="AG186" s="965">
        <f t="shared" ca="1" si="148"/>
        <v>0</v>
      </c>
    </row>
    <row r="187" spans="1:33" ht="17.25" customHeight="1" outlineLevel="2">
      <c r="A187" s="861"/>
      <c r="B187" s="861"/>
      <c r="C187" s="948">
        <f t="shared" si="129"/>
        <v>21</v>
      </c>
      <c r="D187" s="8" t="s">
        <v>39</v>
      </c>
      <c r="E187" s="878"/>
      <c r="F187" s="800"/>
      <c r="G187" s="800"/>
      <c r="H187" s="800"/>
      <c r="I187" s="947"/>
      <c r="J187" s="965">
        <f t="shared" ref="J187:AG187" ca="1" si="149">IF(J$82&lt;=ROUNDUP($C187/$E$82,0),0,IF(AND(J$82&gt;ROUNDUP($C187/$E$82,0),MOD(J$7-$C187,$E$82)=0),OFFSET(J159,0,-$E$82)*$F$82+J159,I187))*J$6</f>
        <v>0</v>
      </c>
      <c r="K187" s="965">
        <f t="shared" ca="1" si="149"/>
        <v>0</v>
      </c>
      <c r="L187" s="965">
        <f t="shared" ca="1" si="149"/>
        <v>0</v>
      </c>
      <c r="M187" s="965">
        <f t="shared" ca="1" si="149"/>
        <v>0</v>
      </c>
      <c r="N187" s="965">
        <f t="shared" ca="1" si="149"/>
        <v>0</v>
      </c>
      <c r="O187" s="965">
        <f t="shared" ca="1" si="149"/>
        <v>0</v>
      </c>
      <c r="P187" s="965">
        <f t="shared" ca="1" si="149"/>
        <v>0</v>
      </c>
      <c r="Q187" s="965">
        <f t="shared" ca="1" si="149"/>
        <v>0</v>
      </c>
      <c r="R187" s="965">
        <f t="shared" ca="1" si="149"/>
        <v>0</v>
      </c>
      <c r="S187" s="965">
        <f t="shared" ca="1" si="149"/>
        <v>0</v>
      </c>
      <c r="T187" s="965">
        <f t="shared" ca="1" si="149"/>
        <v>0</v>
      </c>
      <c r="U187" s="965">
        <f t="shared" ca="1" si="149"/>
        <v>0</v>
      </c>
      <c r="V187" s="965">
        <f t="shared" ca="1" si="149"/>
        <v>0</v>
      </c>
      <c r="W187" s="965">
        <f t="shared" ca="1" si="149"/>
        <v>0</v>
      </c>
      <c r="X187" s="965">
        <f t="shared" ca="1" si="149"/>
        <v>0</v>
      </c>
      <c r="Y187" s="965">
        <f t="shared" ca="1" si="149"/>
        <v>0</v>
      </c>
      <c r="Z187" s="965">
        <f t="shared" ca="1" si="149"/>
        <v>0</v>
      </c>
      <c r="AA187" s="965">
        <f t="shared" ca="1" si="149"/>
        <v>0</v>
      </c>
      <c r="AB187" s="965">
        <f t="shared" ca="1" si="149"/>
        <v>0</v>
      </c>
      <c r="AC187" s="965">
        <f t="shared" ca="1" si="149"/>
        <v>0</v>
      </c>
      <c r="AD187" s="965">
        <f t="shared" ca="1" si="149"/>
        <v>0</v>
      </c>
      <c r="AE187" s="965">
        <f t="shared" ca="1" si="149"/>
        <v>0</v>
      </c>
      <c r="AF187" s="965">
        <f t="shared" ca="1" si="149"/>
        <v>0</v>
      </c>
      <c r="AG187" s="965">
        <f t="shared" ca="1" si="149"/>
        <v>0</v>
      </c>
    </row>
    <row r="188" spans="1:33" ht="17.25" customHeight="1" outlineLevel="2">
      <c r="A188" s="861"/>
      <c r="B188" s="861"/>
      <c r="C188" s="948">
        <f t="shared" si="129"/>
        <v>22</v>
      </c>
      <c r="D188" s="8" t="s">
        <v>39</v>
      </c>
      <c r="E188" s="878"/>
      <c r="F188" s="800"/>
      <c r="G188" s="800"/>
      <c r="H188" s="800"/>
      <c r="I188" s="947"/>
      <c r="J188" s="965">
        <f t="shared" ref="J188:AG188" ca="1" si="150">IF(J$82&lt;=ROUNDUP($C188/$E$82,0),0,IF(AND(J$82&gt;ROUNDUP($C188/$E$82,0),MOD(J$7-$C188,$E$82)=0),OFFSET(J160,0,-$E$82)*$F$82+J160,I188))*J$6</f>
        <v>0</v>
      </c>
      <c r="K188" s="965">
        <f t="shared" ca="1" si="150"/>
        <v>0</v>
      </c>
      <c r="L188" s="965">
        <f t="shared" ca="1" si="150"/>
        <v>0</v>
      </c>
      <c r="M188" s="965">
        <f t="shared" ca="1" si="150"/>
        <v>0</v>
      </c>
      <c r="N188" s="965">
        <f t="shared" ca="1" si="150"/>
        <v>0</v>
      </c>
      <c r="O188" s="965">
        <f t="shared" ca="1" si="150"/>
        <v>0</v>
      </c>
      <c r="P188" s="965">
        <f t="shared" ca="1" si="150"/>
        <v>0</v>
      </c>
      <c r="Q188" s="965">
        <f t="shared" ca="1" si="150"/>
        <v>0</v>
      </c>
      <c r="R188" s="965">
        <f t="shared" ca="1" si="150"/>
        <v>0</v>
      </c>
      <c r="S188" s="965">
        <f t="shared" ca="1" si="150"/>
        <v>0</v>
      </c>
      <c r="T188" s="965">
        <f t="shared" ca="1" si="150"/>
        <v>0</v>
      </c>
      <c r="U188" s="965">
        <f t="shared" ca="1" si="150"/>
        <v>0</v>
      </c>
      <c r="V188" s="965">
        <f t="shared" ca="1" si="150"/>
        <v>0</v>
      </c>
      <c r="W188" s="965">
        <f t="shared" ca="1" si="150"/>
        <v>0</v>
      </c>
      <c r="X188" s="965">
        <f t="shared" ca="1" si="150"/>
        <v>0</v>
      </c>
      <c r="Y188" s="965">
        <f t="shared" ca="1" si="150"/>
        <v>0</v>
      </c>
      <c r="Z188" s="965">
        <f t="shared" ca="1" si="150"/>
        <v>0</v>
      </c>
      <c r="AA188" s="965">
        <f t="shared" ca="1" si="150"/>
        <v>0</v>
      </c>
      <c r="AB188" s="965">
        <f t="shared" ca="1" si="150"/>
        <v>0</v>
      </c>
      <c r="AC188" s="965">
        <f t="shared" ca="1" si="150"/>
        <v>0</v>
      </c>
      <c r="AD188" s="965">
        <f t="shared" ca="1" si="150"/>
        <v>0</v>
      </c>
      <c r="AE188" s="965">
        <f t="shared" ca="1" si="150"/>
        <v>0</v>
      </c>
      <c r="AF188" s="965">
        <f t="shared" ca="1" si="150"/>
        <v>0</v>
      </c>
      <c r="AG188" s="965">
        <f t="shared" ca="1" si="150"/>
        <v>0</v>
      </c>
    </row>
    <row r="189" spans="1:33" ht="17.25" customHeight="1" outlineLevel="2">
      <c r="A189" s="861"/>
      <c r="B189" s="861"/>
      <c r="C189" s="948">
        <f t="shared" si="129"/>
        <v>23</v>
      </c>
      <c r="D189" s="8" t="s">
        <v>39</v>
      </c>
      <c r="E189" s="878"/>
      <c r="F189" s="800"/>
      <c r="G189" s="800"/>
      <c r="H189" s="800"/>
      <c r="I189" s="947"/>
      <c r="J189" s="965">
        <f t="shared" ref="J189:AG189" ca="1" si="151">IF(J$82&lt;=ROUNDUP($C189/$E$82,0),0,IF(AND(J$82&gt;ROUNDUP($C189/$E$82,0),MOD(J$7-$C189,$E$82)=0),OFFSET(J161,0,-$E$82)*$F$82+J161,I189))*J$6</f>
        <v>0</v>
      </c>
      <c r="K189" s="965">
        <f t="shared" ca="1" si="151"/>
        <v>0</v>
      </c>
      <c r="L189" s="965">
        <f t="shared" ca="1" si="151"/>
        <v>0</v>
      </c>
      <c r="M189" s="965">
        <f t="shared" ca="1" si="151"/>
        <v>0</v>
      </c>
      <c r="N189" s="965">
        <f t="shared" ca="1" si="151"/>
        <v>0</v>
      </c>
      <c r="O189" s="965">
        <f t="shared" ca="1" si="151"/>
        <v>0</v>
      </c>
      <c r="P189" s="965">
        <f t="shared" ca="1" si="151"/>
        <v>0</v>
      </c>
      <c r="Q189" s="965">
        <f t="shared" ca="1" si="151"/>
        <v>0</v>
      </c>
      <c r="R189" s="965">
        <f t="shared" ca="1" si="151"/>
        <v>0</v>
      </c>
      <c r="S189" s="965">
        <f t="shared" ca="1" si="151"/>
        <v>0</v>
      </c>
      <c r="T189" s="965">
        <f t="shared" ca="1" si="151"/>
        <v>0</v>
      </c>
      <c r="U189" s="965">
        <f t="shared" ca="1" si="151"/>
        <v>0</v>
      </c>
      <c r="V189" s="965">
        <f t="shared" ca="1" si="151"/>
        <v>0</v>
      </c>
      <c r="W189" s="965">
        <f t="shared" ca="1" si="151"/>
        <v>0</v>
      </c>
      <c r="X189" s="965">
        <f t="shared" ca="1" si="151"/>
        <v>0</v>
      </c>
      <c r="Y189" s="965">
        <f t="shared" ca="1" si="151"/>
        <v>0</v>
      </c>
      <c r="Z189" s="965">
        <f t="shared" ca="1" si="151"/>
        <v>0</v>
      </c>
      <c r="AA189" s="965">
        <f t="shared" ca="1" si="151"/>
        <v>0</v>
      </c>
      <c r="AB189" s="965">
        <f t="shared" ca="1" si="151"/>
        <v>0</v>
      </c>
      <c r="AC189" s="965">
        <f t="shared" ca="1" si="151"/>
        <v>0</v>
      </c>
      <c r="AD189" s="965">
        <f t="shared" ca="1" si="151"/>
        <v>0</v>
      </c>
      <c r="AE189" s="965">
        <f t="shared" ca="1" si="151"/>
        <v>0</v>
      </c>
      <c r="AF189" s="965">
        <f t="shared" ca="1" si="151"/>
        <v>0</v>
      </c>
      <c r="AG189" s="965">
        <f t="shared" ca="1" si="151"/>
        <v>0</v>
      </c>
    </row>
    <row r="190" spans="1:33" ht="17.25" customHeight="1" outlineLevel="2">
      <c r="A190" s="861"/>
      <c r="B190" s="861"/>
      <c r="C190" s="948">
        <f t="shared" si="129"/>
        <v>24</v>
      </c>
      <c r="D190" s="8" t="s">
        <v>39</v>
      </c>
      <c r="E190" s="878"/>
      <c r="F190" s="800"/>
      <c r="G190" s="800"/>
      <c r="H190" s="800"/>
      <c r="I190" s="947"/>
      <c r="J190" s="965">
        <f t="shared" ref="J190:AG190" ca="1" si="152">IF(J$82&lt;=ROUNDUP($C190/$E$82,0),0,IF(AND(J$82&gt;ROUNDUP($C190/$E$82,0),MOD(J$7-$C190,$E$82)=0),OFFSET(J162,0,-$E$82)*$F$82+J162,I190))*J$6</f>
        <v>0</v>
      </c>
      <c r="K190" s="965">
        <f t="shared" ca="1" si="152"/>
        <v>0</v>
      </c>
      <c r="L190" s="965">
        <f t="shared" ca="1" si="152"/>
        <v>0</v>
      </c>
      <c r="M190" s="965">
        <f t="shared" ca="1" si="152"/>
        <v>0</v>
      </c>
      <c r="N190" s="965">
        <f t="shared" ca="1" si="152"/>
        <v>0</v>
      </c>
      <c r="O190" s="965">
        <f t="shared" ca="1" si="152"/>
        <v>0</v>
      </c>
      <c r="P190" s="965">
        <f t="shared" ca="1" si="152"/>
        <v>0</v>
      </c>
      <c r="Q190" s="965">
        <f t="shared" ca="1" si="152"/>
        <v>0</v>
      </c>
      <c r="R190" s="965">
        <f t="shared" ca="1" si="152"/>
        <v>0</v>
      </c>
      <c r="S190" s="965">
        <f t="shared" ca="1" si="152"/>
        <v>0</v>
      </c>
      <c r="T190" s="965">
        <f t="shared" ca="1" si="152"/>
        <v>0</v>
      </c>
      <c r="U190" s="965">
        <f t="shared" ca="1" si="152"/>
        <v>0</v>
      </c>
      <c r="V190" s="965">
        <f t="shared" ca="1" si="152"/>
        <v>0</v>
      </c>
      <c r="W190" s="965">
        <f t="shared" ca="1" si="152"/>
        <v>0</v>
      </c>
      <c r="X190" s="965">
        <f t="shared" ca="1" si="152"/>
        <v>0</v>
      </c>
      <c r="Y190" s="965">
        <f t="shared" ca="1" si="152"/>
        <v>0</v>
      </c>
      <c r="Z190" s="965">
        <f t="shared" ca="1" si="152"/>
        <v>0</v>
      </c>
      <c r="AA190" s="965">
        <f t="shared" ca="1" si="152"/>
        <v>0</v>
      </c>
      <c r="AB190" s="965">
        <f t="shared" ca="1" si="152"/>
        <v>0</v>
      </c>
      <c r="AC190" s="965">
        <f t="shared" ca="1" si="152"/>
        <v>0</v>
      </c>
      <c r="AD190" s="965">
        <f t="shared" ca="1" si="152"/>
        <v>0</v>
      </c>
      <c r="AE190" s="965">
        <f t="shared" ca="1" si="152"/>
        <v>0</v>
      </c>
      <c r="AF190" s="965">
        <f t="shared" ca="1" si="152"/>
        <v>0</v>
      </c>
      <c r="AG190" s="965">
        <f t="shared" ca="1" si="152"/>
        <v>0</v>
      </c>
    </row>
    <row r="191" spans="1:33" ht="17.25" customHeight="1" outlineLevel="2">
      <c r="A191" s="861"/>
      <c r="B191" s="861"/>
      <c r="C191" s="944" t="s">
        <v>737</v>
      </c>
      <c r="D191" s="8" t="s">
        <v>39</v>
      </c>
      <c r="E191" s="318"/>
      <c r="F191" s="344"/>
      <c r="G191" s="344"/>
      <c r="H191" s="344"/>
      <c r="I191" s="947"/>
      <c r="J191" s="942">
        <f t="shared" ref="J191:AG191" ca="1" si="153">SUM(J166:J190)</f>
        <v>37</v>
      </c>
      <c r="K191" s="942">
        <f t="shared" ca="1" si="153"/>
        <v>37</v>
      </c>
      <c r="L191" s="942">
        <f t="shared" ca="1" si="153"/>
        <v>37</v>
      </c>
      <c r="M191" s="942">
        <f t="shared" ca="1" si="153"/>
        <v>67.45</v>
      </c>
      <c r="N191" s="942">
        <f t="shared" ca="1" si="153"/>
        <v>86.45</v>
      </c>
      <c r="O191" s="942">
        <f t="shared" ca="1" si="153"/>
        <v>110.2</v>
      </c>
      <c r="P191" s="942">
        <f t="shared" ca="1" si="153"/>
        <v>156.07549999999998</v>
      </c>
      <c r="Q191" s="942">
        <f t="shared" ca="1" si="153"/>
        <v>195.25349999999997</v>
      </c>
      <c r="R191" s="942">
        <f t="shared" ca="1" si="153"/>
        <v>238.83151999999998</v>
      </c>
      <c r="S191" s="942">
        <f t="shared" ca="1" si="153"/>
        <v>269.22711580000004</v>
      </c>
      <c r="T191" s="942">
        <f t="shared" ca="1" si="153"/>
        <v>308.56350223200002</v>
      </c>
      <c r="U191" s="942">
        <f t="shared" ca="1" si="153"/>
        <v>347.83584812127998</v>
      </c>
      <c r="V191" s="942">
        <f t="shared" ca="1" si="153"/>
        <v>377.0184448961312</v>
      </c>
      <c r="W191" s="942">
        <f t="shared" ca="1" si="153"/>
        <v>413.5692382099765</v>
      </c>
      <c r="X191" s="942">
        <f t="shared" ca="1" si="153"/>
        <v>450.33756629637554</v>
      </c>
      <c r="Y191" s="942">
        <f t="shared" ca="1" si="153"/>
        <v>479.41317155173056</v>
      </c>
      <c r="Z191" s="942">
        <f t="shared" ca="1" si="153"/>
        <v>514.6779014499798</v>
      </c>
      <c r="AA191" s="942">
        <f t="shared" ca="1" si="153"/>
        <v>550.407402854559</v>
      </c>
      <c r="AB191" s="942">
        <f t="shared" ca="1" si="153"/>
        <v>580.31555884302645</v>
      </c>
      <c r="AC191" s="942">
        <f t="shared" ca="1" si="153"/>
        <v>615.53762830461926</v>
      </c>
      <c r="AD191" s="942">
        <f t="shared" ca="1" si="153"/>
        <v>651.44975910057985</v>
      </c>
      <c r="AE191" s="942">
        <f t="shared" ca="1" si="153"/>
        <v>683.01599176990351</v>
      </c>
      <c r="AF191" s="942">
        <f t="shared" ca="1" si="153"/>
        <v>0</v>
      </c>
      <c r="AG191" s="942">
        <f t="shared" ca="1" si="153"/>
        <v>0</v>
      </c>
    </row>
    <row r="192" spans="1:33" ht="17.25" customHeight="1" outlineLevel="2">
      <c r="A192" s="861"/>
      <c r="B192" s="861"/>
      <c r="C192" s="861"/>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946"/>
      <c r="AE192" s="946"/>
      <c r="AF192" s="946"/>
      <c r="AG192" s="946"/>
    </row>
    <row r="193" spans="1:33" ht="17.25" customHeight="1" outlineLevel="1">
      <c r="A193" s="861"/>
      <c r="B193" s="268" t="s">
        <v>45</v>
      </c>
      <c r="C193" s="268" t="s">
        <v>736</v>
      </c>
      <c r="D193" s="861"/>
      <c r="E193" s="861"/>
      <c r="F193" s="861"/>
      <c r="G193" s="861"/>
      <c r="H193" s="861"/>
      <c r="I193" s="946"/>
      <c r="J193" s="946"/>
      <c r="K193" s="946"/>
      <c r="L193" s="946"/>
      <c r="M193" s="946"/>
      <c r="N193" s="946"/>
      <c r="O193" s="946"/>
      <c r="P193" s="946"/>
      <c r="Q193" s="946"/>
      <c r="R193" s="946"/>
      <c r="S193" s="946"/>
      <c r="T193" s="946"/>
      <c r="U193" s="946"/>
      <c r="V193" s="946"/>
      <c r="W193" s="946"/>
      <c r="X193" s="946"/>
      <c r="Y193" s="946"/>
      <c r="Z193" s="946"/>
      <c r="AA193" s="946"/>
      <c r="AB193" s="946"/>
      <c r="AC193" s="946"/>
      <c r="AD193" s="946"/>
      <c r="AE193" s="946"/>
      <c r="AF193" s="946"/>
      <c r="AG193" s="946"/>
    </row>
    <row r="194" spans="1:33" ht="17.25" customHeight="1" outlineLevel="2">
      <c r="A194" s="861"/>
      <c r="B194" s="861"/>
      <c r="C194" s="737" t="s">
        <v>735</v>
      </c>
      <c r="D194" s="8" t="s">
        <v>39</v>
      </c>
      <c r="E194" s="878"/>
      <c r="F194" s="800"/>
      <c r="G194" s="800"/>
      <c r="H194" s="800"/>
      <c r="I194" s="943">
        <f t="shared" ref="I194:I218" ca="1" si="154">SUM(J194:AG194)</f>
        <v>11.161520044531258</v>
      </c>
      <c r="J194" s="979">
        <f t="shared" ref="J194:AG194" si="155">IF(AND(J$82&gt;ROUNDUP(1/$E$82,0),MOD(J$7-1,$E$82)=0),I166-J166,0)*J$6</f>
        <v>0</v>
      </c>
      <c r="K194" s="979">
        <f t="shared" si="155"/>
        <v>0</v>
      </c>
      <c r="L194" s="979">
        <f t="shared" si="155"/>
        <v>0</v>
      </c>
      <c r="M194" s="979">
        <f t="shared" ca="1" si="155"/>
        <v>1.8500000000000014</v>
      </c>
      <c r="N194" s="979">
        <f t="shared" si="155"/>
        <v>0</v>
      </c>
      <c r="O194" s="979">
        <f t="shared" si="155"/>
        <v>0</v>
      </c>
      <c r="P194" s="979">
        <f t="shared" ca="1" si="155"/>
        <v>1.7575000000000003</v>
      </c>
      <c r="Q194" s="979">
        <f t="shared" si="155"/>
        <v>0</v>
      </c>
      <c r="R194" s="979">
        <f t="shared" si="155"/>
        <v>0</v>
      </c>
      <c r="S194" s="979">
        <f t="shared" ca="1" si="155"/>
        <v>1.6696249999999999</v>
      </c>
      <c r="T194" s="979">
        <f t="shared" si="155"/>
        <v>0</v>
      </c>
      <c r="U194" s="979">
        <f t="shared" si="155"/>
        <v>0</v>
      </c>
      <c r="V194" s="979">
        <f t="shared" ca="1" si="155"/>
        <v>1.5861437500000015</v>
      </c>
      <c r="W194" s="979">
        <f t="shared" si="155"/>
        <v>0</v>
      </c>
      <c r="X194" s="979">
        <f t="shared" si="155"/>
        <v>0</v>
      </c>
      <c r="Y194" s="979">
        <f t="shared" ca="1" si="155"/>
        <v>1.506836562500002</v>
      </c>
      <c r="Z194" s="979">
        <f t="shared" si="155"/>
        <v>0</v>
      </c>
      <c r="AA194" s="979">
        <f t="shared" si="155"/>
        <v>0</v>
      </c>
      <c r="AB194" s="979">
        <f t="shared" ca="1" si="155"/>
        <v>1.4314947343750006</v>
      </c>
      <c r="AC194" s="979">
        <f t="shared" si="155"/>
        <v>0</v>
      </c>
      <c r="AD194" s="979">
        <f t="shared" si="155"/>
        <v>0</v>
      </c>
      <c r="AE194" s="979">
        <f t="shared" ca="1" si="155"/>
        <v>1.3599199976562524</v>
      </c>
      <c r="AF194" s="979">
        <f t="shared" si="155"/>
        <v>0</v>
      </c>
      <c r="AG194" s="979">
        <f t="shared" si="155"/>
        <v>0</v>
      </c>
    </row>
    <row r="195" spans="1:33" ht="17.25" customHeight="1" outlineLevel="2">
      <c r="A195" s="861"/>
      <c r="B195" s="861"/>
      <c r="C195" s="945">
        <v>1</v>
      </c>
      <c r="D195" s="8" t="s">
        <v>39</v>
      </c>
      <c r="E195" s="878"/>
      <c r="F195" s="800"/>
      <c r="G195" s="800"/>
      <c r="H195" s="800"/>
      <c r="I195" s="943">
        <f t="shared" ca="1" si="154"/>
        <v>100.86887499622399</v>
      </c>
      <c r="J195" s="965">
        <f t="shared" ref="J195:AG195" ca="1" si="156">IF(J$82&lt;=ROUNDUP($C195/$E$82,0),0,IF(AND(J$82&gt;ROUNDUP($C195/$E$82,0),MOD(J$7-$C195,$E$82)=0),OFFSET(J167,0,-$E$82)-J167+J139,0))*J$6</f>
        <v>0</v>
      </c>
      <c r="K195" s="965">
        <f t="shared" ca="1" si="156"/>
        <v>0</v>
      </c>
      <c r="L195" s="965">
        <f t="shared" ca="1" si="156"/>
        <v>0</v>
      </c>
      <c r="M195" s="965">
        <f t="shared" ca="1" si="156"/>
        <v>0</v>
      </c>
      <c r="N195" s="965">
        <f t="shared" ca="1" si="156"/>
        <v>0</v>
      </c>
      <c r="O195" s="965">
        <f t="shared" ca="1" si="156"/>
        <v>0</v>
      </c>
      <c r="P195" s="965">
        <f t="shared" ca="1" si="156"/>
        <v>1.615000000000002</v>
      </c>
      <c r="Q195" s="965">
        <f t="shared" ca="1" si="156"/>
        <v>0</v>
      </c>
      <c r="R195" s="965">
        <f t="shared" ca="1" si="156"/>
        <v>0</v>
      </c>
      <c r="S195" s="965">
        <f t="shared" ca="1" si="156"/>
        <v>31.912400000000002</v>
      </c>
      <c r="T195" s="965">
        <f t="shared" ca="1" si="156"/>
        <v>0</v>
      </c>
      <c r="U195" s="965">
        <f t="shared" ca="1" si="156"/>
        <v>0</v>
      </c>
      <c r="V195" s="965">
        <f t="shared" ca="1" si="156"/>
        <v>24.253424000000003</v>
      </c>
      <c r="W195" s="965">
        <f t="shared" ca="1" si="156"/>
        <v>0</v>
      </c>
      <c r="X195" s="965">
        <f t="shared" ca="1" si="156"/>
        <v>0</v>
      </c>
      <c r="Y195" s="965">
        <f t="shared" ca="1" si="156"/>
        <v>18.432602239999998</v>
      </c>
      <c r="Z195" s="965">
        <f t="shared" ca="1" si="156"/>
        <v>0</v>
      </c>
      <c r="AA195" s="965">
        <f t="shared" ca="1" si="156"/>
        <v>0</v>
      </c>
      <c r="AB195" s="965">
        <f t="shared" ca="1" si="156"/>
        <v>14.008777702399998</v>
      </c>
      <c r="AC195" s="965">
        <f t="shared" ca="1" si="156"/>
        <v>0</v>
      </c>
      <c r="AD195" s="965">
        <f t="shared" ca="1" si="156"/>
        <v>0</v>
      </c>
      <c r="AE195" s="965">
        <f t="shared" ca="1" si="156"/>
        <v>10.646671053823997</v>
      </c>
      <c r="AF195" s="965">
        <f t="shared" ca="1" si="156"/>
        <v>0</v>
      </c>
      <c r="AG195" s="965">
        <f t="shared" ca="1" si="156"/>
        <v>0</v>
      </c>
    </row>
    <row r="196" spans="1:33" ht="17.25" customHeight="1" outlineLevel="2">
      <c r="A196" s="861"/>
      <c r="B196" s="861"/>
      <c r="C196" s="945">
        <f t="shared" ref="C196:C218" si="157">C195+1</f>
        <v>2</v>
      </c>
      <c r="D196" s="8" t="s">
        <v>39</v>
      </c>
      <c r="E196" s="878"/>
      <c r="F196" s="800"/>
      <c r="G196" s="800"/>
      <c r="H196" s="800"/>
      <c r="I196" s="943">
        <f t="shared" ca="1" si="154"/>
        <v>53.07188467200001</v>
      </c>
      <c r="J196" s="965">
        <f t="shared" ref="J196:AG196" ca="1" si="158">IF(J$82&lt;=ROUNDUP($C196/$E$82,0),0,IF(AND(J$82&gt;ROUNDUP($C196/$E$82,0),MOD(J$7-$C196,$E$82)=0),OFFSET(J168,0,-$E$82)-J168+J140,0))*J$6</f>
        <v>0</v>
      </c>
      <c r="K196" s="965">
        <f t="shared" ca="1" si="158"/>
        <v>0</v>
      </c>
      <c r="L196" s="965">
        <f t="shared" ca="1" si="158"/>
        <v>0</v>
      </c>
      <c r="M196" s="965">
        <f t="shared" ca="1" si="158"/>
        <v>0</v>
      </c>
      <c r="N196" s="965">
        <f t="shared" ca="1" si="158"/>
        <v>0</v>
      </c>
      <c r="O196" s="965">
        <f t="shared" ca="1" si="158"/>
        <v>0</v>
      </c>
      <c r="P196" s="965">
        <f t="shared" ca="1" si="158"/>
        <v>0</v>
      </c>
      <c r="Q196" s="965">
        <f t="shared" ca="1" si="158"/>
        <v>0.94999999999999929</v>
      </c>
      <c r="R196" s="965">
        <f t="shared" ca="1" si="158"/>
        <v>0</v>
      </c>
      <c r="S196" s="965">
        <f t="shared" ca="1" si="158"/>
        <v>0</v>
      </c>
      <c r="T196" s="965">
        <f t="shared" ca="1" si="158"/>
        <v>18.772000000000006</v>
      </c>
      <c r="U196" s="965">
        <f t="shared" ca="1" si="158"/>
        <v>0</v>
      </c>
      <c r="V196" s="965">
        <f t="shared" ca="1" si="158"/>
        <v>0</v>
      </c>
      <c r="W196" s="965">
        <f t="shared" ca="1" si="158"/>
        <v>14.266719999999998</v>
      </c>
      <c r="X196" s="965">
        <f t="shared" ca="1" si="158"/>
        <v>0</v>
      </c>
      <c r="Y196" s="965">
        <f t="shared" ca="1" si="158"/>
        <v>0</v>
      </c>
      <c r="Z196" s="965">
        <f t="shared" ca="1" si="158"/>
        <v>10.842707200000003</v>
      </c>
      <c r="AA196" s="965">
        <f t="shared" ca="1" si="158"/>
        <v>0</v>
      </c>
      <c r="AB196" s="965">
        <f t="shared" ca="1" si="158"/>
        <v>0</v>
      </c>
      <c r="AC196" s="965">
        <f t="shared" ca="1" si="158"/>
        <v>8.2404574719999992</v>
      </c>
      <c r="AD196" s="965">
        <f t="shared" ca="1" si="158"/>
        <v>0</v>
      </c>
      <c r="AE196" s="965">
        <f t="shared" ca="1" si="158"/>
        <v>0</v>
      </c>
      <c r="AF196" s="965">
        <f t="shared" ca="1" si="158"/>
        <v>0</v>
      </c>
      <c r="AG196" s="965">
        <f t="shared" ca="1" si="158"/>
        <v>0</v>
      </c>
    </row>
    <row r="197" spans="1:33" ht="17.25" customHeight="1" outlineLevel="2">
      <c r="A197" s="861"/>
      <c r="B197" s="861"/>
      <c r="C197" s="945">
        <f t="shared" si="157"/>
        <v>3</v>
      </c>
      <c r="D197" s="8" t="s">
        <v>39</v>
      </c>
      <c r="E197" s="878"/>
      <c r="F197" s="800"/>
      <c r="G197" s="800"/>
      <c r="H197" s="800"/>
      <c r="I197" s="943">
        <f t="shared" ca="1" si="154"/>
        <v>66.339855840000013</v>
      </c>
      <c r="J197" s="965">
        <f t="shared" ref="J197:AG197" ca="1" si="159">IF(J$82&lt;=ROUNDUP($C197/$E$82,0),0,IF(AND(J$82&gt;ROUNDUP($C197/$E$82,0),MOD(J$7-$C197,$E$82)=0),OFFSET(J169,0,-$E$82)-J169+J141,0))*J$6</f>
        <v>0</v>
      </c>
      <c r="K197" s="965">
        <f t="shared" ca="1" si="159"/>
        <v>0</v>
      </c>
      <c r="L197" s="965">
        <f t="shared" ca="1" si="159"/>
        <v>0</v>
      </c>
      <c r="M197" s="965">
        <f t="shared" ca="1" si="159"/>
        <v>0</v>
      </c>
      <c r="N197" s="965">
        <f t="shared" ca="1" si="159"/>
        <v>0</v>
      </c>
      <c r="O197" s="965">
        <f t="shared" ca="1" si="159"/>
        <v>0</v>
      </c>
      <c r="P197" s="965">
        <f t="shared" ca="1" si="159"/>
        <v>0</v>
      </c>
      <c r="Q197" s="965">
        <f t="shared" ca="1" si="159"/>
        <v>0</v>
      </c>
      <c r="R197" s="965">
        <f t="shared" ca="1" si="159"/>
        <v>1.1875000000000036</v>
      </c>
      <c r="S197" s="965">
        <f t="shared" ca="1" si="159"/>
        <v>0</v>
      </c>
      <c r="T197" s="965">
        <f t="shared" ca="1" si="159"/>
        <v>0</v>
      </c>
      <c r="U197" s="965">
        <f t="shared" ca="1" si="159"/>
        <v>23.464999999999996</v>
      </c>
      <c r="V197" s="965">
        <f t="shared" ca="1" si="159"/>
        <v>0</v>
      </c>
      <c r="W197" s="965">
        <f t="shared" ca="1" si="159"/>
        <v>0</v>
      </c>
      <c r="X197" s="965">
        <f t="shared" ca="1" si="159"/>
        <v>17.833400000000005</v>
      </c>
      <c r="Y197" s="965">
        <f t="shared" ca="1" si="159"/>
        <v>0</v>
      </c>
      <c r="Z197" s="965">
        <f t="shared" ca="1" si="159"/>
        <v>0</v>
      </c>
      <c r="AA197" s="965">
        <f t="shared" ca="1" si="159"/>
        <v>13.553384000000005</v>
      </c>
      <c r="AB197" s="965">
        <f t="shared" ca="1" si="159"/>
        <v>0</v>
      </c>
      <c r="AC197" s="965">
        <f t="shared" ca="1" si="159"/>
        <v>0</v>
      </c>
      <c r="AD197" s="965">
        <f t="shared" ca="1" si="159"/>
        <v>10.30057184</v>
      </c>
      <c r="AE197" s="965">
        <f t="shared" ca="1" si="159"/>
        <v>0</v>
      </c>
      <c r="AF197" s="965">
        <f t="shared" ca="1" si="159"/>
        <v>0</v>
      </c>
      <c r="AG197" s="965">
        <f t="shared" ca="1" si="159"/>
        <v>0</v>
      </c>
    </row>
    <row r="198" spans="1:33" ht="17.25" customHeight="1" outlineLevel="2">
      <c r="A198" s="861"/>
      <c r="B198" s="861"/>
      <c r="C198" s="945">
        <f t="shared" si="157"/>
        <v>4</v>
      </c>
      <c r="D198" s="8" t="s">
        <v>39</v>
      </c>
      <c r="E198" s="878"/>
      <c r="F198" s="800"/>
      <c r="G198" s="800"/>
      <c r="H198" s="800"/>
      <c r="I198" s="943">
        <f t="shared" ca="1" si="154"/>
        <v>68.993450073600002</v>
      </c>
      <c r="J198" s="965">
        <f t="shared" ref="J198:AG198" ca="1" si="160">IF(J$82&lt;=ROUNDUP($C198/$E$82,0),0,IF(AND(J$82&gt;ROUNDUP($C198/$E$82,0),MOD(J$7-$C198,$E$82)=0),OFFSET(J170,0,-$E$82)-J170+J142,0))*J$6</f>
        <v>0</v>
      </c>
      <c r="K198" s="965">
        <f t="shared" ca="1" si="160"/>
        <v>0</v>
      </c>
      <c r="L198" s="965">
        <f t="shared" ca="1" si="160"/>
        <v>0</v>
      </c>
      <c r="M198" s="965">
        <f t="shared" ca="1" si="160"/>
        <v>0</v>
      </c>
      <c r="N198" s="965">
        <f t="shared" ca="1" si="160"/>
        <v>0</v>
      </c>
      <c r="O198" s="965">
        <f t="shared" ca="1" si="160"/>
        <v>0</v>
      </c>
      <c r="P198" s="965">
        <f t="shared" ca="1" si="160"/>
        <v>0</v>
      </c>
      <c r="Q198" s="965">
        <f t="shared" ca="1" si="160"/>
        <v>0</v>
      </c>
      <c r="R198" s="965">
        <f t="shared" ca="1" si="160"/>
        <v>0</v>
      </c>
      <c r="S198" s="965">
        <f t="shared" ca="1" si="160"/>
        <v>1.235000000000003</v>
      </c>
      <c r="T198" s="965">
        <f t="shared" ca="1" si="160"/>
        <v>0</v>
      </c>
      <c r="U198" s="965">
        <f t="shared" ca="1" si="160"/>
        <v>0</v>
      </c>
      <c r="V198" s="965">
        <f t="shared" ca="1" si="160"/>
        <v>24.403599999999997</v>
      </c>
      <c r="W198" s="965">
        <f t="shared" ca="1" si="160"/>
        <v>0</v>
      </c>
      <c r="X198" s="965">
        <f t="shared" ca="1" si="160"/>
        <v>0</v>
      </c>
      <c r="Y198" s="965">
        <f t="shared" ca="1" si="160"/>
        <v>18.546736000000003</v>
      </c>
      <c r="Z198" s="965">
        <f t="shared" ca="1" si="160"/>
        <v>0</v>
      </c>
      <c r="AA198" s="965">
        <f t="shared" ca="1" si="160"/>
        <v>0</v>
      </c>
      <c r="AB198" s="965">
        <f t="shared" ca="1" si="160"/>
        <v>14.095519360000003</v>
      </c>
      <c r="AC198" s="965">
        <f t="shared" ca="1" si="160"/>
        <v>0</v>
      </c>
      <c r="AD198" s="965">
        <f t="shared" ca="1" si="160"/>
        <v>0</v>
      </c>
      <c r="AE198" s="965">
        <f t="shared" ca="1" si="160"/>
        <v>10.712594713599998</v>
      </c>
      <c r="AF198" s="965">
        <f t="shared" ca="1" si="160"/>
        <v>0</v>
      </c>
      <c r="AG198" s="965">
        <f t="shared" ca="1" si="160"/>
        <v>0</v>
      </c>
    </row>
    <row r="199" spans="1:33" ht="17.25" customHeight="1" outlineLevel="2">
      <c r="A199" s="861"/>
      <c r="B199" s="861"/>
      <c r="C199" s="945">
        <f t="shared" si="157"/>
        <v>5</v>
      </c>
      <c r="D199" s="8" t="s">
        <v>39</v>
      </c>
      <c r="E199" s="878"/>
      <c r="F199" s="800"/>
      <c r="G199" s="800"/>
      <c r="H199" s="800"/>
      <c r="I199" s="943">
        <f t="shared" ca="1" si="154"/>
        <v>60.612089574400002</v>
      </c>
      <c r="J199" s="965">
        <f t="shared" ref="J199:AG199" ca="1" si="161">IF(J$82&lt;=ROUNDUP($C199/$E$82,0),0,IF(AND(J$82&gt;ROUNDUP($C199/$E$82,0),MOD(J$7-$C199,$E$82)=0),OFFSET(J171,0,-$E$82)-J171+J143,0))*J$6</f>
        <v>0</v>
      </c>
      <c r="K199" s="965">
        <f t="shared" ca="1" si="161"/>
        <v>0</v>
      </c>
      <c r="L199" s="965">
        <f t="shared" ca="1" si="161"/>
        <v>0</v>
      </c>
      <c r="M199" s="965">
        <f t="shared" ca="1" si="161"/>
        <v>0</v>
      </c>
      <c r="N199" s="965">
        <f t="shared" ca="1" si="161"/>
        <v>0</v>
      </c>
      <c r="O199" s="965">
        <f t="shared" ca="1" si="161"/>
        <v>0</v>
      </c>
      <c r="P199" s="965">
        <f t="shared" ca="1" si="161"/>
        <v>0</v>
      </c>
      <c r="Q199" s="965">
        <f t="shared" ca="1" si="161"/>
        <v>0</v>
      </c>
      <c r="R199" s="965">
        <f t="shared" ca="1" si="161"/>
        <v>0</v>
      </c>
      <c r="S199" s="965">
        <f t="shared" ca="1" si="161"/>
        <v>0</v>
      </c>
      <c r="T199" s="965">
        <f t="shared" ca="1" si="161"/>
        <v>1.2844000000000051</v>
      </c>
      <c r="U199" s="965">
        <f t="shared" ca="1" si="161"/>
        <v>0</v>
      </c>
      <c r="V199" s="965">
        <f t="shared" ca="1" si="161"/>
        <v>0</v>
      </c>
      <c r="W199" s="965">
        <f t="shared" ca="1" si="161"/>
        <v>25.379744000000002</v>
      </c>
      <c r="X199" s="965">
        <f t="shared" ca="1" si="161"/>
        <v>0</v>
      </c>
      <c r="Y199" s="965">
        <f t="shared" ca="1" si="161"/>
        <v>0</v>
      </c>
      <c r="Z199" s="965">
        <f t="shared" ca="1" si="161"/>
        <v>19.288605439999998</v>
      </c>
      <c r="AA199" s="965">
        <f t="shared" ca="1" si="161"/>
        <v>0</v>
      </c>
      <c r="AB199" s="965">
        <f t="shared" ca="1" si="161"/>
        <v>0</v>
      </c>
      <c r="AC199" s="965">
        <f t="shared" ca="1" si="161"/>
        <v>14.659340134399999</v>
      </c>
      <c r="AD199" s="965">
        <f t="shared" ca="1" si="161"/>
        <v>0</v>
      </c>
      <c r="AE199" s="965">
        <f t="shared" ca="1" si="161"/>
        <v>0</v>
      </c>
      <c r="AF199" s="965">
        <f t="shared" ca="1" si="161"/>
        <v>0</v>
      </c>
      <c r="AG199" s="965">
        <f t="shared" ca="1" si="161"/>
        <v>0</v>
      </c>
    </row>
    <row r="200" spans="1:33" ht="17.25" customHeight="1" outlineLevel="2">
      <c r="A200" s="861"/>
      <c r="B200" s="861"/>
      <c r="C200" s="945">
        <f t="shared" si="157"/>
        <v>6</v>
      </c>
      <c r="D200" s="8" t="s">
        <v>39</v>
      </c>
      <c r="E200" s="878"/>
      <c r="F200" s="800"/>
      <c r="G200" s="800"/>
      <c r="H200" s="800"/>
      <c r="I200" s="943">
        <f t="shared" ca="1" si="154"/>
        <v>63.036573157376004</v>
      </c>
      <c r="J200" s="965">
        <f t="shared" ref="J200:AG200" ca="1" si="162">IF(J$82&lt;=ROUNDUP($C200/$E$82,0),0,IF(AND(J$82&gt;ROUNDUP($C200/$E$82,0),MOD(J$7-$C200,$E$82)=0),OFFSET(J172,0,-$E$82)-J172+J144,0))*J$6</f>
        <v>0</v>
      </c>
      <c r="K200" s="965">
        <f t="shared" ca="1" si="162"/>
        <v>0</v>
      </c>
      <c r="L200" s="965">
        <f t="shared" ca="1" si="162"/>
        <v>0</v>
      </c>
      <c r="M200" s="965">
        <f t="shared" ca="1" si="162"/>
        <v>0</v>
      </c>
      <c r="N200" s="965">
        <f t="shared" ca="1" si="162"/>
        <v>0</v>
      </c>
      <c r="O200" s="965">
        <f t="shared" ca="1" si="162"/>
        <v>0</v>
      </c>
      <c r="P200" s="965">
        <f t="shared" ca="1" si="162"/>
        <v>0</v>
      </c>
      <c r="Q200" s="965">
        <f t="shared" ca="1" si="162"/>
        <v>0</v>
      </c>
      <c r="R200" s="965">
        <f t="shared" ca="1" si="162"/>
        <v>0</v>
      </c>
      <c r="S200" s="965">
        <f t="shared" ca="1" si="162"/>
        <v>0</v>
      </c>
      <c r="T200" s="965">
        <f t="shared" ca="1" si="162"/>
        <v>0</v>
      </c>
      <c r="U200" s="965">
        <f t="shared" ca="1" si="162"/>
        <v>1.3357760000000027</v>
      </c>
      <c r="V200" s="965">
        <f t="shared" ca="1" si="162"/>
        <v>0</v>
      </c>
      <c r="W200" s="965">
        <f t="shared" ca="1" si="162"/>
        <v>0</v>
      </c>
      <c r="X200" s="965">
        <f t="shared" ca="1" si="162"/>
        <v>26.394933760000001</v>
      </c>
      <c r="Y200" s="965">
        <f t="shared" ca="1" si="162"/>
        <v>0</v>
      </c>
      <c r="Z200" s="965">
        <f t="shared" ca="1" si="162"/>
        <v>0</v>
      </c>
      <c r="AA200" s="965">
        <f t="shared" ca="1" si="162"/>
        <v>20.060149657600004</v>
      </c>
      <c r="AB200" s="965">
        <f t="shared" ca="1" si="162"/>
        <v>0</v>
      </c>
      <c r="AC200" s="965">
        <f t="shared" ca="1" si="162"/>
        <v>0</v>
      </c>
      <c r="AD200" s="965">
        <f t="shared" ca="1" si="162"/>
        <v>15.245713739776003</v>
      </c>
      <c r="AE200" s="965">
        <f t="shared" ca="1" si="162"/>
        <v>0</v>
      </c>
      <c r="AF200" s="965">
        <f t="shared" ca="1" si="162"/>
        <v>0</v>
      </c>
      <c r="AG200" s="965">
        <f t="shared" ca="1" si="162"/>
        <v>0</v>
      </c>
    </row>
    <row r="201" spans="1:33" ht="17.25" customHeight="1" outlineLevel="2">
      <c r="A201" s="861"/>
      <c r="B201" s="861"/>
      <c r="C201" s="945">
        <f t="shared" si="157"/>
        <v>7</v>
      </c>
      <c r="D201" s="8" t="s">
        <v>39</v>
      </c>
      <c r="E201" s="878"/>
      <c r="F201" s="800"/>
      <c r="G201" s="800"/>
      <c r="H201" s="800"/>
      <c r="I201" s="943">
        <f t="shared" ca="1" si="154"/>
        <v>65.558036083671055</v>
      </c>
      <c r="J201" s="965">
        <f t="shared" ref="J201:AG201" ca="1" si="163">IF(J$82&lt;=ROUNDUP($C201/$E$82,0),0,IF(AND(J$82&gt;ROUNDUP($C201/$E$82,0),MOD(J$7-$C201,$E$82)=0),OFFSET(J173,0,-$E$82)-J173+J145,0))*J$6</f>
        <v>0</v>
      </c>
      <c r="K201" s="965">
        <f t="shared" ca="1" si="163"/>
        <v>0</v>
      </c>
      <c r="L201" s="965">
        <f t="shared" ca="1" si="163"/>
        <v>0</v>
      </c>
      <c r="M201" s="965">
        <f t="shared" ca="1" si="163"/>
        <v>0</v>
      </c>
      <c r="N201" s="965">
        <f t="shared" ca="1" si="163"/>
        <v>0</v>
      </c>
      <c r="O201" s="965">
        <f t="shared" ca="1" si="163"/>
        <v>0</v>
      </c>
      <c r="P201" s="965">
        <f t="shared" ca="1" si="163"/>
        <v>0</v>
      </c>
      <c r="Q201" s="965">
        <f t="shared" ca="1" si="163"/>
        <v>0</v>
      </c>
      <c r="R201" s="965">
        <f t="shared" ca="1" si="163"/>
        <v>0</v>
      </c>
      <c r="S201" s="965">
        <f t="shared" ca="1" si="163"/>
        <v>0</v>
      </c>
      <c r="T201" s="965">
        <f t="shared" ca="1" si="163"/>
        <v>0</v>
      </c>
      <c r="U201" s="965">
        <f t="shared" ca="1" si="163"/>
        <v>0</v>
      </c>
      <c r="V201" s="965">
        <f t="shared" ca="1" si="163"/>
        <v>1.3892070400000058</v>
      </c>
      <c r="W201" s="965">
        <f t="shared" ca="1" si="163"/>
        <v>0</v>
      </c>
      <c r="X201" s="965">
        <f t="shared" ca="1" si="163"/>
        <v>0</v>
      </c>
      <c r="Y201" s="965">
        <f t="shared" ca="1" si="163"/>
        <v>27.4507311104</v>
      </c>
      <c r="Z201" s="965">
        <f t="shared" ca="1" si="163"/>
        <v>0</v>
      </c>
      <c r="AA201" s="965">
        <f t="shared" ca="1" si="163"/>
        <v>0</v>
      </c>
      <c r="AB201" s="965">
        <f t="shared" ca="1" si="163"/>
        <v>20.862555643904006</v>
      </c>
      <c r="AC201" s="965">
        <f t="shared" ca="1" si="163"/>
        <v>0</v>
      </c>
      <c r="AD201" s="965">
        <f t="shared" ca="1" si="163"/>
        <v>0</v>
      </c>
      <c r="AE201" s="965">
        <f t="shared" ca="1" si="163"/>
        <v>15.855542289367046</v>
      </c>
      <c r="AF201" s="965">
        <f t="shared" ca="1" si="163"/>
        <v>0</v>
      </c>
      <c r="AG201" s="965">
        <f t="shared" ca="1" si="163"/>
        <v>0</v>
      </c>
    </row>
    <row r="202" spans="1:33" ht="17.25" customHeight="1" outlineLevel="2">
      <c r="A202" s="861"/>
      <c r="B202" s="861"/>
      <c r="C202" s="945">
        <f t="shared" si="157"/>
        <v>8</v>
      </c>
      <c r="D202" s="8" t="s">
        <v>39</v>
      </c>
      <c r="E202" s="878"/>
      <c r="F202" s="800"/>
      <c r="G202" s="800"/>
      <c r="H202" s="800"/>
      <c r="I202" s="943">
        <f t="shared" ca="1" si="154"/>
        <v>51.690593546076173</v>
      </c>
      <c r="J202" s="965">
        <f t="shared" ref="J202:AG202" ca="1" si="164">IF(J$82&lt;=ROUNDUP($C202/$E$82,0),0,IF(AND(J$82&gt;ROUNDUP($C202/$E$82,0),MOD(J$7-$C202,$E$82)=0),OFFSET(J174,0,-$E$82)-J174+J146,0))*J$6</f>
        <v>0</v>
      </c>
      <c r="K202" s="965">
        <f t="shared" ca="1" si="164"/>
        <v>0</v>
      </c>
      <c r="L202" s="965">
        <f t="shared" ca="1" si="164"/>
        <v>0</v>
      </c>
      <c r="M202" s="965">
        <f t="shared" ca="1" si="164"/>
        <v>0</v>
      </c>
      <c r="N202" s="965">
        <f t="shared" ca="1" si="164"/>
        <v>0</v>
      </c>
      <c r="O202" s="965">
        <f t="shared" ca="1" si="164"/>
        <v>0</v>
      </c>
      <c r="P202" s="965">
        <f t="shared" ca="1" si="164"/>
        <v>0</v>
      </c>
      <c r="Q202" s="965">
        <f t="shared" ca="1" si="164"/>
        <v>0</v>
      </c>
      <c r="R202" s="965">
        <f t="shared" ca="1" si="164"/>
        <v>0</v>
      </c>
      <c r="S202" s="965">
        <f t="shared" ca="1" si="164"/>
        <v>0</v>
      </c>
      <c r="T202" s="965">
        <f t="shared" ca="1" si="164"/>
        <v>0</v>
      </c>
      <c r="U202" s="965">
        <f t="shared" ca="1" si="164"/>
        <v>0</v>
      </c>
      <c r="V202" s="965">
        <f t="shared" ca="1" si="164"/>
        <v>0</v>
      </c>
      <c r="W202" s="965">
        <f t="shared" ca="1" si="164"/>
        <v>1.4447753216000017</v>
      </c>
      <c r="X202" s="965">
        <f t="shared" ca="1" si="164"/>
        <v>0</v>
      </c>
      <c r="Y202" s="965">
        <f t="shared" ca="1" si="164"/>
        <v>0</v>
      </c>
      <c r="Z202" s="965">
        <f t="shared" ca="1" si="164"/>
        <v>28.548760354816011</v>
      </c>
      <c r="AA202" s="965">
        <f t="shared" ca="1" si="164"/>
        <v>0</v>
      </c>
      <c r="AB202" s="965">
        <f t="shared" ca="1" si="164"/>
        <v>0</v>
      </c>
      <c r="AC202" s="965">
        <f t="shared" ca="1" si="164"/>
        <v>21.697057869660163</v>
      </c>
      <c r="AD202" s="965">
        <f t="shared" ca="1" si="164"/>
        <v>0</v>
      </c>
      <c r="AE202" s="965">
        <f t="shared" ca="1" si="164"/>
        <v>0</v>
      </c>
      <c r="AF202" s="965">
        <f t="shared" ca="1" si="164"/>
        <v>0</v>
      </c>
      <c r="AG202" s="965">
        <f t="shared" ca="1" si="164"/>
        <v>0</v>
      </c>
    </row>
    <row r="203" spans="1:33" ht="17.25" customHeight="1" outlineLevel="2">
      <c r="A203" s="861"/>
      <c r="B203" s="861"/>
      <c r="C203" s="945">
        <f t="shared" si="157"/>
        <v>9</v>
      </c>
      <c r="D203" s="8" t="s">
        <v>39</v>
      </c>
      <c r="E203" s="878"/>
      <c r="F203" s="800"/>
      <c r="G203" s="800"/>
      <c r="H203" s="800"/>
      <c r="I203" s="943">
        <f t="shared" ca="1" si="154"/>
        <v>53.758217287919223</v>
      </c>
      <c r="J203" s="965">
        <f t="shared" ref="J203:AG203" ca="1" si="165">IF(J$82&lt;=ROUNDUP($C203/$E$82,0),0,IF(AND(J$82&gt;ROUNDUP($C203/$E$82,0),MOD(J$7-$C203,$E$82)=0),OFFSET(J175,0,-$E$82)-J175+J147,0))*J$6</f>
        <v>0</v>
      </c>
      <c r="K203" s="965">
        <f t="shared" ca="1" si="165"/>
        <v>0</v>
      </c>
      <c r="L203" s="965">
        <f t="shared" ca="1" si="165"/>
        <v>0</v>
      </c>
      <c r="M203" s="965">
        <f t="shared" ca="1" si="165"/>
        <v>0</v>
      </c>
      <c r="N203" s="965">
        <f t="shared" ca="1" si="165"/>
        <v>0</v>
      </c>
      <c r="O203" s="965">
        <f t="shared" ca="1" si="165"/>
        <v>0</v>
      </c>
      <c r="P203" s="965">
        <f t="shared" ca="1" si="165"/>
        <v>0</v>
      </c>
      <c r="Q203" s="965">
        <f t="shared" ca="1" si="165"/>
        <v>0</v>
      </c>
      <c r="R203" s="965">
        <f t="shared" ca="1" si="165"/>
        <v>0</v>
      </c>
      <c r="S203" s="965">
        <f t="shared" ca="1" si="165"/>
        <v>0</v>
      </c>
      <c r="T203" s="965">
        <f t="shared" ca="1" si="165"/>
        <v>0</v>
      </c>
      <c r="U203" s="965">
        <f t="shared" ca="1" si="165"/>
        <v>0</v>
      </c>
      <c r="V203" s="965">
        <f t="shared" ca="1" si="165"/>
        <v>0</v>
      </c>
      <c r="W203" s="965">
        <f t="shared" ca="1" si="165"/>
        <v>0</v>
      </c>
      <c r="X203" s="965">
        <f t="shared" ca="1" si="165"/>
        <v>1.502566334464003</v>
      </c>
      <c r="Y203" s="965">
        <f t="shared" ca="1" si="165"/>
        <v>0</v>
      </c>
      <c r="Z203" s="965">
        <f t="shared" ca="1" si="165"/>
        <v>0</v>
      </c>
      <c r="AA203" s="965">
        <f t="shared" ca="1" si="165"/>
        <v>29.690710769008646</v>
      </c>
      <c r="AB203" s="965">
        <f t="shared" ca="1" si="165"/>
        <v>0</v>
      </c>
      <c r="AC203" s="965">
        <f t="shared" ca="1" si="165"/>
        <v>0</v>
      </c>
      <c r="AD203" s="965">
        <f t="shared" ca="1" si="165"/>
        <v>22.56494018444657</v>
      </c>
      <c r="AE203" s="965">
        <f t="shared" ca="1" si="165"/>
        <v>0</v>
      </c>
      <c r="AF203" s="965">
        <f t="shared" ca="1" si="165"/>
        <v>0</v>
      </c>
      <c r="AG203" s="965">
        <f t="shared" ca="1" si="165"/>
        <v>0</v>
      </c>
    </row>
    <row r="204" spans="1:33" ht="17.25" customHeight="1" outlineLevel="2">
      <c r="A204" s="861"/>
      <c r="B204" s="861"/>
      <c r="C204" s="945">
        <f t="shared" si="157"/>
        <v>10</v>
      </c>
      <c r="D204" s="8" t="s">
        <v>39</v>
      </c>
      <c r="E204" s="878"/>
      <c r="F204" s="800"/>
      <c r="G204" s="800"/>
      <c r="H204" s="800"/>
      <c r="I204" s="943">
        <f t="shared" ca="1" si="154"/>
        <v>55.908545979435985</v>
      </c>
      <c r="J204" s="965">
        <f t="shared" ref="J204:AG204" ca="1" si="166">IF(J$82&lt;=ROUNDUP($C204/$E$82,0),0,IF(AND(J$82&gt;ROUNDUP($C204/$E$82,0),MOD(J$7-$C204,$E$82)=0),OFFSET(J176,0,-$E$82)-J176+J148,0))*J$6</f>
        <v>0</v>
      </c>
      <c r="K204" s="965">
        <f t="shared" ca="1" si="166"/>
        <v>0</v>
      </c>
      <c r="L204" s="965">
        <f t="shared" ca="1" si="166"/>
        <v>0</v>
      </c>
      <c r="M204" s="965">
        <f t="shared" ca="1" si="166"/>
        <v>0</v>
      </c>
      <c r="N204" s="965">
        <f t="shared" ca="1" si="166"/>
        <v>0</v>
      </c>
      <c r="O204" s="965">
        <f t="shared" ca="1" si="166"/>
        <v>0</v>
      </c>
      <c r="P204" s="965">
        <f t="shared" ca="1" si="166"/>
        <v>0</v>
      </c>
      <c r="Q204" s="965">
        <f t="shared" ca="1" si="166"/>
        <v>0</v>
      </c>
      <c r="R204" s="965">
        <f t="shared" ca="1" si="166"/>
        <v>0</v>
      </c>
      <c r="S204" s="965">
        <f t="shared" ca="1" si="166"/>
        <v>0</v>
      </c>
      <c r="T204" s="965">
        <f t="shared" ca="1" si="166"/>
        <v>0</v>
      </c>
      <c r="U204" s="965">
        <f t="shared" ca="1" si="166"/>
        <v>0</v>
      </c>
      <c r="V204" s="965">
        <f t="shared" ca="1" si="166"/>
        <v>0</v>
      </c>
      <c r="W204" s="965">
        <f t="shared" ca="1" si="166"/>
        <v>0</v>
      </c>
      <c r="X204" s="965">
        <f t="shared" ca="1" si="166"/>
        <v>0</v>
      </c>
      <c r="Y204" s="965">
        <f t="shared" ca="1" si="166"/>
        <v>1.5626689878425601</v>
      </c>
      <c r="Z204" s="965">
        <f t="shared" ca="1" si="166"/>
        <v>0</v>
      </c>
      <c r="AA204" s="965">
        <f t="shared" ca="1" si="166"/>
        <v>0</v>
      </c>
      <c r="AB204" s="965">
        <f t="shared" ca="1" si="166"/>
        <v>30.878339199768991</v>
      </c>
      <c r="AC204" s="965">
        <f t="shared" ca="1" si="166"/>
        <v>0</v>
      </c>
      <c r="AD204" s="965">
        <f t="shared" ca="1" si="166"/>
        <v>0</v>
      </c>
      <c r="AE204" s="965">
        <f t="shared" ca="1" si="166"/>
        <v>23.467537791824437</v>
      </c>
      <c r="AF204" s="965">
        <f t="shared" ca="1" si="166"/>
        <v>0</v>
      </c>
      <c r="AG204" s="965">
        <f t="shared" ca="1" si="166"/>
        <v>0</v>
      </c>
    </row>
    <row r="205" spans="1:33" ht="17.25" customHeight="1" outlineLevel="2">
      <c r="A205" s="861"/>
      <c r="B205" s="861"/>
      <c r="C205" s="945">
        <f t="shared" si="157"/>
        <v>11</v>
      </c>
      <c r="D205" s="8" t="s">
        <v>39</v>
      </c>
      <c r="E205" s="878"/>
      <c r="F205" s="800"/>
      <c r="G205" s="800"/>
      <c r="H205" s="800"/>
      <c r="I205" s="943">
        <f t="shared" ca="1" si="154"/>
        <v>33.738648515116026</v>
      </c>
      <c r="J205" s="965">
        <f t="shared" ref="J205:AG205" ca="1" si="167">IF(J$82&lt;=ROUNDUP($C205/$E$82,0),0,IF(AND(J$82&gt;ROUNDUP($C205/$E$82,0),MOD(J$7-$C205,$E$82)=0),OFFSET(J177,0,-$E$82)-J177+J149,0))*J$6</f>
        <v>0</v>
      </c>
      <c r="K205" s="965">
        <f t="shared" ca="1" si="167"/>
        <v>0</v>
      </c>
      <c r="L205" s="965">
        <f t="shared" ca="1" si="167"/>
        <v>0</v>
      </c>
      <c r="M205" s="965">
        <f t="shared" ca="1" si="167"/>
        <v>0</v>
      </c>
      <c r="N205" s="965">
        <f t="shared" ca="1" si="167"/>
        <v>0</v>
      </c>
      <c r="O205" s="965">
        <f t="shared" ca="1" si="167"/>
        <v>0</v>
      </c>
      <c r="P205" s="965">
        <f t="shared" ca="1" si="167"/>
        <v>0</v>
      </c>
      <c r="Q205" s="965">
        <f t="shared" ca="1" si="167"/>
        <v>0</v>
      </c>
      <c r="R205" s="965">
        <f t="shared" ca="1" si="167"/>
        <v>0</v>
      </c>
      <c r="S205" s="965">
        <f t="shared" ca="1" si="167"/>
        <v>0</v>
      </c>
      <c r="T205" s="965">
        <f t="shared" ca="1" si="167"/>
        <v>0</v>
      </c>
      <c r="U205" s="965">
        <f t="shared" ca="1" si="167"/>
        <v>0</v>
      </c>
      <c r="V205" s="965">
        <f t="shared" ca="1" si="167"/>
        <v>0</v>
      </c>
      <c r="W205" s="965">
        <f t="shared" ca="1" si="167"/>
        <v>0</v>
      </c>
      <c r="X205" s="965">
        <f t="shared" ca="1" si="167"/>
        <v>0</v>
      </c>
      <c r="Y205" s="965">
        <f t="shared" ca="1" si="167"/>
        <v>0</v>
      </c>
      <c r="Z205" s="965">
        <f t="shared" ca="1" si="167"/>
        <v>1.6251757473562662</v>
      </c>
      <c r="AA205" s="965">
        <f t="shared" ca="1" si="167"/>
        <v>0</v>
      </c>
      <c r="AB205" s="965">
        <f t="shared" ca="1" si="167"/>
        <v>0</v>
      </c>
      <c r="AC205" s="965">
        <f t="shared" ca="1" si="167"/>
        <v>32.11347276775976</v>
      </c>
      <c r="AD205" s="965">
        <f t="shared" ca="1" si="167"/>
        <v>0</v>
      </c>
      <c r="AE205" s="965">
        <f t="shared" ca="1" si="167"/>
        <v>0</v>
      </c>
      <c r="AF205" s="965">
        <f t="shared" ca="1" si="167"/>
        <v>0</v>
      </c>
      <c r="AG205" s="965">
        <f t="shared" ca="1" si="167"/>
        <v>0</v>
      </c>
    </row>
    <row r="206" spans="1:33" ht="17.25" customHeight="1" outlineLevel="2">
      <c r="A206" s="861"/>
      <c r="B206" s="861"/>
      <c r="C206" s="945">
        <f t="shared" si="157"/>
        <v>12</v>
      </c>
      <c r="D206" s="8" t="s">
        <v>39</v>
      </c>
      <c r="E206" s="878"/>
      <c r="F206" s="800"/>
      <c r="G206" s="800"/>
      <c r="H206" s="800"/>
      <c r="I206" s="943">
        <f t="shared" ca="1" si="154"/>
        <v>35.088194455720668</v>
      </c>
      <c r="J206" s="965">
        <f t="shared" ref="J206:AG206" ca="1" si="168">IF(J$82&lt;=ROUNDUP($C206/$E$82,0),0,IF(AND(J$82&gt;ROUNDUP($C206/$E$82,0),MOD(J$7-$C206,$E$82)=0),OFFSET(J178,0,-$E$82)-J178+J150,0))*J$6</f>
        <v>0</v>
      </c>
      <c r="K206" s="965">
        <f t="shared" ca="1" si="168"/>
        <v>0</v>
      </c>
      <c r="L206" s="965">
        <f t="shared" ca="1" si="168"/>
        <v>0</v>
      </c>
      <c r="M206" s="965">
        <f t="shared" ca="1" si="168"/>
        <v>0</v>
      </c>
      <c r="N206" s="965">
        <f t="shared" ca="1" si="168"/>
        <v>0</v>
      </c>
      <c r="O206" s="965">
        <f t="shared" ca="1" si="168"/>
        <v>0</v>
      </c>
      <c r="P206" s="965">
        <f t="shared" ca="1" si="168"/>
        <v>0</v>
      </c>
      <c r="Q206" s="965">
        <f t="shared" ca="1" si="168"/>
        <v>0</v>
      </c>
      <c r="R206" s="965">
        <f t="shared" ca="1" si="168"/>
        <v>0</v>
      </c>
      <c r="S206" s="965">
        <f t="shared" ca="1" si="168"/>
        <v>0</v>
      </c>
      <c r="T206" s="965">
        <f t="shared" ca="1" si="168"/>
        <v>0</v>
      </c>
      <c r="U206" s="965">
        <f t="shared" ca="1" si="168"/>
        <v>0</v>
      </c>
      <c r="V206" s="965">
        <f t="shared" ca="1" si="168"/>
        <v>0</v>
      </c>
      <c r="W206" s="965">
        <f t="shared" ca="1" si="168"/>
        <v>0</v>
      </c>
      <c r="X206" s="965">
        <f t="shared" ca="1" si="168"/>
        <v>0</v>
      </c>
      <c r="Y206" s="965">
        <f t="shared" ca="1" si="168"/>
        <v>0</v>
      </c>
      <c r="Z206" s="965">
        <f t="shared" ca="1" si="168"/>
        <v>0</v>
      </c>
      <c r="AA206" s="965">
        <f t="shared" ca="1" si="168"/>
        <v>1.6901827772505129</v>
      </c>
      <c r="AB206" s="965">
        <f t="shared" ca="1" si="168"/>
        <v>0</v>
      </c>
      <c r="AC206" s="965">
        <f t="shared" ca="1" si="168"/>
        <v>0</v>
      </c>
      <c r="AD206" s="965">
        <f t="shared" ca="1" si="168"/>
        <v>33.398011678470155</v>
      </c>
      <c r="AE206" s="965">
        <f t="shared" ca="1" si="168"/>
        <v>0</v>
      </c>
      <c r="AF206" s="965">
        <f t="shared" ca="1" si="168"/>
        <v>0</v>
      </c>
      <c r="AG206" s="965">
        <f t="shared" ca="1" si="168"/>
        <v>0</v>
      </c>
    </row>
    <row r="207" spans="1:33" ht="17.25" customHeight="1" outlineLevel="2">
      <c r="A207" s="861"/>
      <c r="B207" s="861"/>
      <c r="C207" s="945">
        <f t="shared" si="157"/>
        <v>13</v>
      </c>
      <c r="D207" s="8" t="s">
        <v>39</v>
      </c>
      <c r="E207" s="878"/>
      <c r="F207" s="800"/>
      <c r="G207" s="800"/>
      <c r="H207" s="800"/>
      <c r="I207" s="943">
        <f t="shared" ca="1" si="154"/>
        <v>36.491722233949496</v>
      </c>
      <c r="J207" s="965">
        <f t="shared" ref="J207:AG207" ca="1" si="169">IF(J$82&lt;=ROUNDUP($C207/$E$82,0),0,IF(AND(J$82&gt;ROUNDUP($C207/$E$82,0),MOD(J$7-$C207,$E$82)=0),OFFSET(J179,0,-$E$82)-J179+J151,0))*J$6</f>
        <v>0</v>
      </c>
      <c r="K207" s="965">
        <f t="shared" ca="1" si="169"/>
        <v>0</v>
      </c>
      <c r="L207" s="965">
        <f t="shared" ca="1" si="169"/>
        <v>0</v>
      </c>
      <c r="M207" s="965">
        <f t="shared" ca="1" si="169"/>
        <v>0</v>
      </c>
      <c r="N207" s="965">
        <f t="shared" ca="1" si="169"/>
        <v>0</v>
      </c>
      <c r="O207" s="965">
        <f t="shared" ca="1" si="169"/>
        <v>0</v>
      </c>
      <c r="P207" s="965">
        <f t="shared" ca="1" si="169"/>
        <v>0</v>
      </c>
      <c r="Q207" s="965">
        <f t="shared" ca="1" si="169"/>
        <v>0</v>
      </c>
      <c r="R207" s="965">
        <f t="shared" ca="1" si="169"/>
        <v>0</v>
      </c>
      <c r="S207" s="965">
        <f t="shared" ca="1" si="169"/>
        <v>0</v>
      </c>
      <c r="T207" s="965">
        <f t="shared" ca="1" si="169"/>
        <v>0</v>
      </c>
      <c r="U207" s="965">
        <f t="shared" ca="1" si="169"/>
        <v>0</v>
      </c>
      <c r="V207" s="965">
        <f t="shared" ca="1" si="169"/>
        <v>0</v>
      </c>
      <c r="W207" s="965">
        <f t="shared" ca="1" si="169"/>
        <v>0</v>
      </c>
      <c r="X207" s="965">
        <f t="shared" ca="1" si="169"/>
        <v>0</v>
      </c>
      <c r="Y207" s="965">
        <f t="shared" ca="1" si="169"/>
        <v>0</v>
      </c>
      <c r="Z207" s="965">
        <f t="shared" ca="1" si="169"/>
        <v>0</v>
      </c>
      <c r="AA207" s="965">
        <f t="shared" ca="1" si="169"/>
        <v>0</v>
      </c>
      <c r="AB207" s="965">
        <f t="shared" ca="1" si="169"/>
        <v>1.7577900883405349</v>
      </c>
      <c r="AC207" s="965">
        <f t="shared" ca="1" si="169"/>
        <v>0</v>
      </c>
      <c r="AD207" s="965">
        <f t="shared" ca="1" si="169"/>
        <v>0</v>
      </c>
      <c r="AE207" s="965">
        <f t="shared" ca="1" si="169"/>
        <v>34.733932145608961</v>
      </c>
      <c r="AF207" s="965">
        <f t="shared" ca="1" si="169"/>
        <v>0</v>
      </c>
      <c r="AG207" s="965">
        <f t="shared" ca="1" si="169"/>
        <v>0</v>
      </c>
    </row>
    <row r="208" spans="1:33" ht="17.25" customHeight="1" outlineLevel="2">
      <c r="A208" s="861"/>
      <c r="B208" s="861"/>
      <c r="C208" s="945">
        <f t="shared" si="157"/>
        <v>14</v>
      </c>
      <c r="D208" s="8" t="s">
        <v>39</v>
      </c>
      <c r="E208" s="878"/>
      <c r="F208" s="800"/>
      <c r="G208" s="800"/>
      <c r="H208" s="800"/>
      <c r="I208" s="943">
        <f t="shared" ca="1" si="154"/>
        <v>1.8281016918741599</v>
      </c>
      <c r="J208" s="965">
        <f t="shared" ref="J208:AG208" ca="1" si="170">IF(J$82&lt;=ROUNDUP($C208/$E$82,0),0,IF(AND(J$82&gt;ROUNDUP($C208/$E$82,0),MOD(J$7-$C208,$E$82)=0),OFFSET(J180,0,-$E$82)-J180+J152,0))*J$6</f>
        <v>0</v>
      </c>
      <c r="K208" s="965">
        <f t="shared" ca="1" si="170"/>
        <v>0</v>
      </c>
      <c r="L208" s="965">
        <f t="shared" ca="1" si="170"/>
        <v>0</v>
      </c>
      <c r="M208" s="965">
        <f t="shared" ca="1" si="170"/>
        <v>0</v>
      </c>
      <c r="N208" s="965">
        <f t="shared" ca="1" si="170"/>
        <v>0</v>
      </c>
      <c r="O208" s="965">
        <f t="shared" ca="1" si="170"/>
        <v>0</v>
      </c>
      <c r="P208" s="965">
        <f t="shared" ca="1" si="170"/>
        <v>0</v>
      </c>
      <c r="Q208" s="965">
        <f t="shared" ca="1" si="170"/>
        <v>0</v>
      </c>
      <c r="R208" s="965">
        <f t="shared" ca="1" si="170"/>
        <v>0</v>
      </c>
      <c r="S208" s="965">
        <f t="shared" ca="1" si="170"/>
        <v>0</v>
      </c>
      <c r="T208" s="965">
        <f t="shared" ca="1" si="170"/>
        <v>0</v>
      </c>
      <c r="U208" s="965">
        <f t="shared" ca="1" si="170"/>
        <v>0</v>
      </c>
      <c r="V208" s="965">
        <f t="shared" ca="1" si="170"/>
        <v>0</v>
      </c>
      <c r="W208" s="965">
        <f t="shared" ca="1" si="170"/>
        <v>0</v>
      </c>
      <c r="X208" s="965">
        <f t="shared" ca="1" si="170"/>
        <v>0</v>
      </c>
      <c r="Y208" s="965">
        <f t="shared" ca="1" si="170"/>
        <v>0</v>
      </c>
      <c r="Z208" s="965">
        <f t="shared" ca="1" si="170"/>
        <v>0</v>
      </c>
      <c r="AA208" s="965">
        <f t="shared" ca="1" si="170"/>
        <v>0</v>
      </c>
      <c r="AB208" s="965">
        <f t="shared" ca="1" si="170"/>
        <v>0</v>
      </c>
      <c r="AC208" s="965">
        <f t="shared" ca="1" si="170"/>
        <v>1.8281016918741599</v>
      </c>
      <c r="AD208" s="965">
        <f t="shared" ca="1" si="170"/>
        <v>0</v>
      </c>
      <c r="AE208" s="965">
        <f t="shared" ca="1" si="170"/>
        <v>0</v>
      </c>
      <c r="AF208" s="965">
        <f t="shared" ca="1" si="170"/>
        <v>0</v>
      </c>
      <c r="AG208" s="965">
        <f t="shared" ca="1" si="170"/>
        <v>0</v>
      </c>
    </row>
    <row r="209" spans="1:33" ht="17.25" customHeight="1" outlineLevel="2">
      <c r="A209" s="861"/>
      <c r="B209" s="861"/>
      <c r="C209" s="945">
        <f t="shared" si="157"/>
        <v>15</v>
      </c>
      <c r="D209" s="8" t="s">
        <v>39</v>
      </c>
      <c r="E209" s="878"/>
      <c r="F209" s="800"/>
      <c r="G209" s="800"/>
      <c r="H209" s="800"/>
      <c r="I209" s="943">
        <f t="shared" ca="1" si="154"/>
        <v>1.9012257595491242</v>
      </c>
      <c r="J209" s="965">
        <f t="shared" ref="J209:AG209" ca="1" si="171">IF(J$82&lt;=ROUNDUP($C209/$E$82,0),0,IF(AND(J$82&gt;ROUNDUP($C209/$E$82,0),MOD(J$7-$C209,$E$82)=0),OFFSET(J181,0,-$E$82)-J181+J153,0))*J$6</f>
        <v>0</v>
      </c>
      <c r="K209" s="965">
        <f t="shared" ca="1" si="171"/>
        <v>0</v>
      </c>
      <c r="L209" s="965">
        <f t="shared" ca="1" si="171"/>
        <v>0</v>
      </c>
      <c r="M209" s="965">
        <f t="shared" ca="1" si="171"/>
        <v>0</v>
      </c>
      <c r="N209" s="965">
        <f t="shared" ca="1" si="171"/>
        <v>0</v>
      </c>
      <c r="O209" s="965">
        <f t="shared" ca="1" si="171"/>
        <v>0</v>
      </c>
      <c r="P209" s="965">
        <f t="shared" ca="1" si="171"/>
        <v>0</v>
      </c>
      <c r="Q209" s="965">
        <f t="shared" ca="1" si="171"/>
        <v>0</v>
      </c>
      <c r="R209" s="965">
        <f t="shared" ca="1" si="171"/>
        <v>0</v>
      </c>
      <c r="S209" s="965">
        <f t="shared" ca="1" si="171"/>
        <v>0</v>
      </c>
      <c r="T209" s="965">
        <f t="shared" ca="1" si="171"/>
        <v>0</v>
      </c>
      <c r="U209" s="965">
        <f t="shared" ca="1" si="171"/>
        <v>0</v>
      </c>
      <c r="V209" s="965">
        <f t="shared" ca="1" si="171"/>
        <v>0</v>
      </c>
      <c r="W209" s="965">
        <f t="shared" ca="1" si="171"/>
        <v>0</v>
      </c>
      <c r="X209" s="965">
        <f t="shared" ca="1" si="171"/>
        <v>0</v>
      </c>
      <c r="Y209" s="965">
        <f t="shared" ca="1" si="171"/>
        <v>0</v>
      </c>
      <c r="Z209" s="965">
        <f t="shared" ca="1" si="171"/>
        <v>0</v>
      </c>
      <c r="AA209" s="965">
        <f t="shared" ca="1" si="171"/>
        <v>0</v>
      </c>
      <c r="AB209" s="965">
        <f t="shared" ca="1" si="171"/>
        <v>0</v>
      </c>
      <c r="AC209" s="965">
        <f t="shared" ca="1" si="171"/>
        <v>0</v>
      </c>
      <c r="AD209" s="965">
        <f t="shared" ca="1" si="171"/>
        <v>1.9012257595491242</v>
      </c>
      <c r="AE209" s="965">
        <f t="shared" ca="1" si="171"/>
        <v>0</v>
      </c>
      <c r="AF209" s="965">
        <f t="shared" ca="1" si="171"/>
        <v>0</v>
      </c>
      <c r="AG209" s="965">
        <f t="shared" ca="1" si="171"/>
        <v>0</v>
      </c>
    </row>
    <row r="210" spans="1:33" ht="17.25" customHeight="1" outlineLevel="2">
      <c r="A210" s="861"/>
      <c r="B210" s="861"/>
      <c r="C210" s="945">
        <f t="shared" si="157"/>
        <v>16</v>
      </c>
      <c r="D210" s="8" t="s">
        <v>39</v>
      </c>
      <c r="E210" s="878"/>
      <c r="F210" s="800"/>
      <c r="G210" s="800"/>
      <c r="H210" s="800"/>
      <c r="I210" s="943">
        <f t="shared" ca="1" si="154"/>
        <v>1.9772747899310907</v>
      </c>
      <c r="J210" s="965">
        <f t="shared" ref="J210:AG210" ca="1" si="172">IF(J$82&lt;=ROUNDUP($C210/$E$82,0),0,IF(AND(J$82&gt;ROUNDUP($C210/$E$82,0),MOD(J$7-$C210,$E$82)=0),OFFSET(J182,0,-$E$82)-J182+J154,0))*J$6</f>
        <v>0</v>
      </c>
      <c r="K210" s="965">
        <f t="shared" ca="1" si="172"/>
        <v>0</v>
      </c>
      <c r="L210" s="965">
        <f t="shared" ca="1" si="172"/>
        <v>0</v>
      </c>
      <c r="M210" s="965">
        <f t="shared" ca="1" si="172"/>
        <v>0</v>
      </c>
      <c r="N210" s="965">
        <f t="shared" ca="1" si="172"/>
        <v>0</v>
      </c>
      <c r="O210" s="965">
        <f t="shared" ca="1" si="172"/>
        <v>0</v>
      </c>
      <c r="P210" s="965">
        <f t="shared" ca="1" si="172"/>
        <v>0</v>
      </c>
      <c r="Q210" s="965">
        <f t="shared" ca="1" si="172"/>
        <v>0</v>
      </c>
      <c r="R210" s="965">
        <f t="shared" ca="1" si="172"/>
        <v>0</v>
      </c>
      <c r="S210" s="965">
        <f t="shared" ca="1" si="172"/>
        <v>0</v>
      </c>
      <c r="T210" s="965">
        <f t="shared" ca="1" si="172"/>
        <v>0</v>
      </c>
      <c r="U210" s="965">
        <f t="shared" ca="1" si="172"/>
        <v>0</v>
      </c>
      <c r="V210" s="965">
        <f t="shared" ca="1" si="172"/>
        <v>0</v>
      </c>
      <c r="W210" s="965">
        <f t="shared" ca="1" si="172"/>
        <v>0</v>
      </c>
      <c r="X210" s="965">
        <f t="shared" ca="1" si="172"/>
        <v>0</v>
      </c>
      <c r="Y210" s="965">
        <f t="shared" ca="1" si="172"/>
        <v>0</v>
      </c>
      <c r="Z210" s="965">
        <f t="shared" ca="1" si="172"/>
        <v>0</v>
      </c>
      <c r="AA210" s="965">
        <f t="shared" ca="1" si="172"/>
        <v>0</v>
      </c>
      <c r="AB210" s="965">
        <f t="shared" ca="1" si="172"/>
        <v>0</v>
      </c>
      <c r="AC210" s="965">
        <f t="shared" ca="1" si="172"/>
        <v>0</v>
      </c>
      <c r="AD210" s="965">
        <f t="shared" ca="1" si="172"/>
        <v>0</v>
      </c>
      <c r="AE210" s="965">
        <f t="shared" ca="1" si="172"/>
        <v>1.9772747899310907</v>
      </c>
      <c r="AF210" s="965">
        <f t="shared" ca="1" si="172"/>
        <v>0</v>
      </c>
      <c r="AG210" s="965">
        <f t="shared" ca="1" si="172"/>
        <v>0</v>
      </c>
    </row>
    <row r="211" spans="1:33" ht="17.25" customHeight="1" outlineLevel="2">
      <c r="A211" s="861"/>
      <c r="B211" s="861"/>
      <c r="C211" s="945">
        <f t="shared" si="157"/>
        <v>17</v>
      </c>
      <c r="D211" s="8" t="s">
        <v>39</v>
      </c>
      <c r="E211" s="878"/>
      <c r="F211" s="800"/>
      <c r="G211" s="800"/>
      <c r="H211" s="800"/>
      <c r="I211" s="943">
        <f t="shared" ca="1" si="154"/>
        <v>0</v>
      </c>
      <c r="J211" s="965">
        <f t="shared" ref="J211:AG211" ca="1" si="173">IF(J$82&lt;=ROUNDUP($C211/$E$82,0),0,IF(AND(J$82&gt;ROUNDUP($C211/$E$82,0),MOD(J$7-$C211,$E$82)=0),OFFSET(J183,0,-$E$82)-J183+J155,0))*J$6</f>
        <v>0</v>
      </c>
      <c r="K211" s="965">
        <f t="shared" ca="1" si="173"/>
        <v>0</v>
      </c>
      <c r="L211" s="965">
        <f t="shared" ca="1" si="173"/>
        <v>0</v>
      </c>
      <c r="M211" s="965">
        <f t="shared" ca="1" si="173"/>
        <v>0</v>
      </c>
      <c r="N211" s="965">
        <f t="shared" ca="1" si="173"/>
        <v>0</v>
      </c>
      <c r="O211" s="965">
        <f t="shared" ca="1" si="173"/>
        <v>0</v>
      </c>
      <c r="P211" s="965">
        <f t="shared" ca="1" si="173"/>
        <v>0</v>
      </c>
      <c r="Q211" s="965">
        <f t="shared" ca="1" si="173"/>
        <v>0</v>
      </c>
      <c r="R211" s="965">
        <f t="shared" ca="1" si="173"/>
        <v>0</v>
      </c>
      <c r="S211" s="965">
        <f t="shared" ca="1" si="173"/>
        <v>0</v>
      </c>
      <c r="T211" s="965">
        <f t="shared" ca="1" si="173"/>
        <v>0</v>
      </c>
      <c r="U211" s="965">
        <f t="shared" ca="1" si="173"/>
        <v>0</v>
      </c>
      <c r="V211" s="965">
        <f t="shared" ca="1" si="173"/>
        <v>0</v>
      </c>
      <c r="W211" s="965">
        <f t="shared" ca="1" si="173"/>
        <v>0</v>
      </c>
      <c r="X211" s="965">
        <f t="shared" ca="1" si="173"/>
        <v>0</v>
      </c>
      <c r="Y211" s="965">
        <f t="shared" ca="1" si="173"/>
        <v>0</v>
      </c>
      <c r="Z211" s="965">
        <f t="shared" ca="1" si="173"/>
        <v>0</v>
      </c>
      <c r="AA211" s="965">
        <f t="shared" ca="1" si="173"/>
        <v>0</v>
      </c>
      <c r="AB211" s="965">
        <f t="shared" ca="1" si="173"/>
        <v>0</v>
      </c>
      <c r="AC211" s="965">
        <f t="shared" ca="1" si="173"/>
        <v>0</v>
      </c>
      <c r="AD211" s="965">
        <f t="shared" ca="1" si="173"/>
        <v>0</v>
      </c>
      <c r="AE211" s="965">
        <f t="shared" ca="1" si="173"/>
        <v>0</v>
      </c>
      <c r="AF211" s="965">
        <f t="shared" ca="1" si="173"/>
        <v>0</v>
      </c>
      <c r="AG211" s="965">
        <f t="shared" ca="1" si="173"/>
        <v>0</v>
      </c>
    </row>
    <row r="212" spans="1:33" ht="17.25" customHeight="1" outlineLevel="2">
      <c r="A212" s="861"/>
      <c r="B212" s="861"/>
      <c r="C212" s="945">
        <f t="shared" si="157"/>
        <v>18</v>
      </c>
      <c r="D212" s="8" t="s">
        <v>39</v>
      </c>
      <c r="E212" s="878"/>
      <c r="F212" s="800"/>
      <c r="G212" s="800"/>
      <c r="H212" s="800"/>
      <c r="I212" s="943">
        <f t="shared" ca="1" si="154"/>
        <v>0</v>
      </c>
      <c r="J212" s="965">
        <f t="shared" ref="J212:AG212" ca="1" si="174">IF(J$82&lt;=ROUNDUP($C212/$E$82,0),0,IF(AND(J$82&gt;ROUNDUP($C212/$E$82,0),MOD(J$7-$C212,$E$82)=0),OFFSET(J184,0,-$E$82)-J184+J156,0))*J$6</f>
        <v>0</v>
      </c>
      <c r="K212" s="965">
        <f t="shared" ca="1" si="174"/>
        <v>0</v>
      </c>
      <c r="L212" s="965">
        <f t="shared" ca="1" si="174"/>
        <v>0</v>
      </c>
      <c r="M212" s="965">
        <f t="shared" ca="1" si="174"/>
        <v>0</v>
      </c>
      <c r="N212" s="965">
        <f t="shared" ca="1" si="174"/>
        <v>0</v>
      </c>
      <c r="O212" s="965">
        <f t="shared" ca="1" si="174"/>
        <v>0</v>
      </c>
      <c r="P212" s="965">
        <f t="shared" ca="1" si="174"/>
        <v>0</v>
      </c>
      <c r="Q212" s="965">
        <f t="shared" ca="1" si="174"/>
        <v>0</v>
      </c>
      <c r="R212" s="965">
        <f t="shared" ca="1" si="174"/>
        <v>0</v>
      </c>
      <c r="S212" s="965">
        <f t="shared" ca="1" si="174"/>
        <v>0</v>
      </c>
      <c r="T212" s="965">
        <f t="shared" ca="1" si="174"/>
        <v>0</v>
      </c>
      <c r="U212" s="965">
        <f t="shared" ca="1" si="174"/>
        <v>0</v>
      </c>
      <c r="V212" s="965">
        <f t="shared" ca="1" si="174"/>
        <v>0</v>
      </c>
      <c r="W212" s="965">
        <f t="shared" ca="1" si="174"/>
        <v>0</v>
      </c>
      <c r="X212" s="965">
        <f t="shared" ca="1" si="174"/>
        <v>0</v>
      </c>
      <c r="Y212" s="965">
        <f t="shared" ca="1" si="174"/>
        <v>0</v>
      </c>
      <c r="Z212" s="965">
        <f t="shared" ca="1" si="174"/>
        <v>0</v>
      </c>
      <c r="AA212" s="965">
        <f t="shared" ca="1" si="174"/>
        <v>0</v>
      </c>
      <c r="AB212" s="965">
        <f t="shared" ca="1" si="174"/>
        <v>0</v>
      </c>
      <c r="AC212" s="965">
        <f t="shared" ca="1" si="174"/>
        <v>0</v>
      </c>
      <c r="AD212" s="965">
        <f t="shared" ca="1" si="174"/>
        <v>0</v>
      </c>
      <c r="AE212" s="965">
        <f t="shared" ca="1" si="174"/>
        <v>0</v>
      </c>
      <c r="AF212" s="965">
        <f t="shared" ca="1" si="174"/>
        <v>0</v>
      </c>
      <c r="AG212" s="965">
        <f t="shared" ca="1" si="174"/>
        <v>0</v>
      </c>
    </row>
    <row r="213" spans="1:33" ht="17.25" customHeight="1" outlineLevel="2">
      <c r="A213" s="861"/>
      <c r="B213" s="861"/>
      <c r="C213" s="945">
        <f t="shared" si="157"/>
        <v>19</v>
      </c>
      <c r="D213" s="8" t="s">
        <v>39</v>
      </c>
      <c r="E213" s="878"/>
      <c r="F213" s="800"/>
      <c r="G213" s="800"/>
      <c r="H213" s="800"/>
      <c r="I213" s="943">
        <f t="shared" ca="1" si="154"/>
        <v>0</v>
      </c>
      <c r="J213" s="965">
        <f t="shared" ref="J213:AG213" ca="1" si="175">IF(J$82&lt;=ROUNDUP($C213/$E$82,0),0,IF(AND(J$82&gt;ROUNDUP($C213/$E$82,0),MOD(J$7-$C213,$E$82)=0),OFFSET(J185,0,-$E$82)-J185+J157,0))*J$6</f>
        <v>0</v>
      </c>
      <c r="K213" s="965">
        <f t="shared" ca="1" si="175"/>
        <v>0</v>
      </c>
      <c r="L213" s="965">
        <f t="shared" ca="1" si="175"/>
        <v>0</v>
      </c>
      <c r="M213" s="965">
        <f t="shared" ca="1" si="175"/>
        <v>0</v>
      </c>
      <c r="N213" s="965">
        <f t="shared" ca="1" si="175"/>
        <v>0</v>
      </c>
      <c r="O213" s="965">
        <f t="shared" ca="1" si="175"/>
        <v>0</v>
      </c>
      <c r="P213" s="965">
        <f t="shared" ca="1" si="175"/>
        <v>0</v>
      </c>
      <c r="Q213" s="965">
        <f t="shared" ca="1" si="175"/>
        <v>0</v>
      </c>
      <c r="R213" s="965">
        <f t="shared" ca="1" si="175"/>
        <v>0</v>
      </c>
      <c r="S213" s="965">
        <f t="shared" ca="1" si="175"/>
        <v>0</v>
      </c>
      <c r="T213" s="965">
        <f t="shared" ca="1" si="175"/>
        <v>0</v>
      </c>
      <c r="U213" s="965">
        <f t="shared" ca="1" si="175"/>
        <v>0</v>
      </c>
      <c r="V213" s="965">
        <f t="shared" ca="1" si="175"/>
        <v>0</v>
      </c>
      <c r="W213" s="965">
        <f t="shared" ca="1" si="175"/>
        <v>0</v>
      </c>
      <c r="X213" s="965">
        <f t="shared" ca="1" si="175"/>
        <v>0</v>
      </c>
      <c r="Y213" s="965">
        <f t="shared" ca="1" si="175"/>
        <v>0</v>
      </c>
      <c r="Z213" s="965">
        <f t="shared" ca="1" si="175"/>
        <v>0</v>
      </c>
      <c r="AA213" s="965">
        <f t="shared" ca="1" si="175"/>
        <v>0</v>
      </c>
      <c r="AB213" s="965">
        <f t="shared" ca="1" si="175"/>
        <v>0</v>
      </c>
      <c r="AC213" s="965">
        <f t="shared" ca="1" si="175"/>
        <v>0</v>
      </c>
      <c r="AD213" s="965">
        <f t="shared" ca="1" si="175"/>
        <v>0</v>
      </c>
      <c r="AE213" s="965">
        <f t="shared" ca="1" si="175"/>
        <v>0</v>
      </c>
      <c r="AF213" s="965">
        <f t="shared" ca="1" si="175"/>
        <v>0</v>
      </c>
      <c r="AG213" s="965">
        <f t="shared" ca="1" si="175"/>
        <v>0</v>
      </c>
    </row>
    <row r="214" spans="1:33" ht="17.25" customHeight="1" outlineLevel="2">
      <c r="A214" s="861"/>
      <c r="B214" s="861"/>
      <c r="C214" s="945">
        <f t="shared" si="157"/>
        <v>20</v>
      </c>
      <c r="D214" s="8" t="s">
        <v>39</v>
      </c>
      <c r="E214" s="878"/>
      <c r="F214" s="800"/>
      <c r="G214" s="800"/>
      <c r="H214" s="800"/>
      <c r="I214" s="943">
        <f t="shared" ca="1" si="154"/>
        <v>0</v>
      </c>
      <c r="J214" s="965">
        <f t="shared" ref="J214:AG214" ca="1" si="176">IF(J$82&lt;=ROUNDUP($C214/$E$82,0),0,IF(AND(J$82&gt;ROUNDUP($C214/$E$82,0),MOD(J$7-$C214,$E$82)=0),OFFSET(J186,0,-$E$82)-J186+J158,0))*J$6</f>
        <v>0</v>
      </c>
      <c r="K214" s="965">
        <f t="shared" ca="1" si="176"/>
        <v>0</v>
      </c>
      <c r="L214" s="965">
        <f t="shared" ca="1" si="176"/>
        <v>0</v>
      </c>
      <c r="M214" s="965">
        <f t="shared" ca="1" si="176"/>
        <v>0</v>
      </c>
      <c r="N214" s="965">
        <f t="shared" ca="1" si="176"/>
        <v>0</v>
      </c>
      <c r="O214" s="965">
        <f t="shared" ca="1" si="176"/>
        <v>0</v>
      </c>
      <c r="P214" s="965">
        <f t="shared" ca="1" si="176"/>
        <v>0</v>
      </c>
      <c r="Q214" s="965">
        <f t="shared" ca="1" si="176"/>
        <v>0</v>
      </c>
      <c r="R214" s="965">
        <f t="shared" ca="1" si="176"/>
        <v>0</v>
      </c>
      <c r="S214" s="965">
        <f t="shared" ca="1" si="176"/>
        <v>0</v>
      </c>
      <c r="T214" s="965">
        <f t="shared" ca="1" si="176"/>
        <v>0</v>
      </c>
      <c r="U214" s="965">
        <f t="shared" ca="1" si="176"/>
        <v>0</v>
      </c>
      <c r="V214" s="965">
        <f t="shared" ca="1" si="176"/>
        <v>0</v>
      </c>
      <c r="W214" s="965">
        <f t="shared" ca="1" si="176"/>
        <v>0</v>
      </c>
      <c r="X214" s="965">
        <f t="shared" ca="1" si="176"/>
        <v>0</v>
      </c>
      <c r="Y214" s="965">
        <f t="shared" ca="1" si="176"/>
        <v>0</v>
      </c>
      <c r="Z214" s="965">
        <f t="shared" ca="1" si="176"/>
        <v>0</v>
      </c>
      <c r="AA214" s="965">
        <f t="shared" ca="1" si="176"/>
        <v>0</v>
      </c>
      <c r="AB214" s="965">
        <f t="shared" ca="1" si="176"/>
        <v>0</v>
      </c>
      <c r="AC214" s="965">
        <f t="shared" ca="1" si="176"/>
        <v>0</v>
      </c>
      <c r="AD214" s="965">
        <f t="shared" ca="1" si="176"/>
        <v>0</v>
      </c>
      <c r="AE214" s="965">
        <f t="shared" ca="1" si="176"/>
        <v>0</v>
      </c>
      <c r="AF214" s="965">
        <f t="shared" ca="1" si="176"/>
        <v>0</v>
      </c>
      <c r="AG214" s="965">
        <f t="shared" ca="1" si="176"/>
        <v>0</v>
      </c>
    </row>
    <row r="215" spans="1:33" ht="17.25" customHeight="1" outlineLevel="2">
      <c r="A215" s="861"/>
      <c r="B215" s="861"/>
      <c r="C215" s="945">
        <f t="shared" si="157"/>
        <v>21</v>
      </c>
      <c r="D215" s="8" t="s">
        <v>39</v>
      </c>
      <c r="E215" s="878"/>
      <c r="F215" s="800"/>
      <c r="G215" s="800"/>
      <c r="H215" s="800"/>
      <c r="I215" s="943">
        <f t="shared" ca="1" si="154"/>
        <v>0</v>
      </c>
      <c r="J215" s="965">
        <f t="shared" ref="J215:AG215" ca="1" si="177">IF(J$82&lt;=ROUNDUP($C215/$E$82,0),0,IF(AND(J$82&gt;ROUNDUP($C215/$E$82,0),MOD(J$7-$C215,$E$82)=0),OFFSET(J187,0,-$E$82)-J187+J159,0))*J$6</f>
        <v>0</v>
      </c>
      <c r="K215" s="965">
        <f t="shared" ca="1" si="177"/>
        <v>0</v>
      </c>
      <c r="L215" s="965">
        <f t="shared" ca="1" si="177"/>
        <v>0</v>
      </c>
      <c r="M215" s="965">
        <f t="shared" ca="1" si="177"/>
        <v>0</v>
      </c>
      <c r="N215" s="965">
        <f t="shared" ca="1" si="177"/>
        <v>0</v>
      </c>
      <c r="O215" s="965">
        <f t="shared" ca="1" si="177"/>
        <v>0</v>
      </c>
      <c r="P215" s="965">
        <f t="shared" ca="1" si="177"/>
        <v>0</v>
      </c>
      <c r="Q215" s="965">
        <f t="shared" ca="1" si="177"/>
        <v>0</v>
      </c>
      <c r="R215" s="965">
        <f t="shared" ca="1" si="177"/>
        <v>0</v>
      </c>
      <c r="S215" s="965">
        <f t="shared" ca="1" si="177"/>
        <v>0</v>
      </c>
      <c r="T215" s="965">
        <f t="shared" ca="1" si="177"/>
        <v>0</v>
      </c>
      <c r="U215" s="965">
        <f t="shared" ca="1" si="177"/>
        <v>0</v>
      </c>
      <c r="V215" s="965">
        <f t="shared" ca="1" si="177"/>
        <v>0</v>
      </c>
      <c r="W215" s="965">
        <f t="shared" ca="1" si="177"/>
        <v>0</v>
      </c>
      <c r="X215" s="965">
        <f t="shared" ca="1" si="177"/>
        <v>0</v>
      </c>
      <c r="Y215" s="965">
        <f t="shared" ca="1" si="177"/>
        <v>0</v>
      </c>
      <c r="Z215" s="965">
        <f t="shared" ca="1" si="177"/>
        <v>0</v>
      </c>
      <c r="AA215" s="965">
        <f t="shared" ca="1" si="177"/>
        <v>0</v>
      </c>
      <c r="AB215" s="965">
        <f t="shared" ca="1" si="177"/>
        <v>0</v>
      </c>
      <c r="AC215" s="965">
        <f t="shared" ca="1" si="177"/>
        <v>0</v>
      </c>
      <c r="AD215" s="965">
        <f t="shared" ca="1" si="177"/>
        <v>0</v>
      </c>
      <c r="AE215" s="965">
        <f t="shared" ca="1" si="177"/>
        <v>0</v>
      </c>
      <c r="AF215" s="965">
        <f t="shared" ca="1" si="177"/>
        <v>0</v>
      </c>
      <c r="AG215" s="965">
        <f t="shared" ca="1" si="177"/>
        <v>0</v>
      </c>
    </row>
    <row r="216" spans="1:33" ht="17.25" customHeight="1" outlineLevel="2">
      <c r="A216" s="861"/>
      <c r="B216" s="861"/>
      <c r="C216" s="945">
        <f t="shared" si="157"/>
        <v>22</v>
      </c>
      <c r="D216" s="8" t="s">
        <v>39</v>
      </c>
      <c r="E216" s="878"/>
      <c r="F216" s="800"/>
      <c r="G216" s="800"/>
      <c r="H216" s="800"/>
      <c r="I216" s="943">
        <f t="shared" ca="1" si="154"/>
        <v>0</v>
      </c>
      <c r="J216" s="965">
        <f t="shared" ref="J216:AG216" ca="1" si="178">IF(J$82&lt;=ROUNDUP($C216/$E$82,0),0,IF(AND(J$82&gt;ROUNDUP($C216/$E$82,0),MOD(J$7-$C216,$E$82)=0),OFFSET(J188,0,-$E$82)-J188+J160,0))*J$6</f>
        <v>0</v>
      </c>
      <c r="K216" s="965">
        <f t="shared" ca="1" si="178"/>
        <v>0</v>
      </c>
      <c r="L216" s="965">
        <f t="shared" ca="1" si="178"/>
        <v>0</v>
      </c>
      <c r="M216" s="965">
        <f t="shared" ca="1" si="178"/>
        <v>0</v>
      </c>
      <c r="N216" s="965">
        <f t="shared" ca="1" si="178"/>
        <v>0</v>
      </c>
      <c r="O216" s="965">
        <f t="shared" ca="1" si="178"/>
        <v>0</v>
      </c>
      <c r="P216" s="965">
        <f t="shared" ca="1" si="178"/>
        <v>0</v>
      </c>
      <c r="Q216" s="965">
        <f t="shared" ca="1" si="178"/>
        <v>0</v>
      </c>
      <c r="R216" s="965">
        <f t="shared" ca="1" si="178"/>
        <v>0</v>
      </c>
      <c r="S216" s="965">
        <f t="shared" ca="1" si="178"/>
        <v>0</v>
      </c>
      <c r="T216" s="965">
        <f t="shared" ca="1" si="178"/>
        <v>0</v>
      </c>
      <c r="U216" s="965">
        <f t="shared" ca="1" si="178"/>
        <v>0</v>
      </c>
      <c r="V216" s="965">
        <f t="shared" ca="1" si="178"/>
        <v>0</v>
      </c>
      <c r="W216" s="965">
        <f t="shared" ca="1" si="178"/>
        <v>0</v>
      </c>
      <c r="X216" s="965">
        <f t="shared" ca="1" si="178"/>
        <v>0</v>
      </c>
      <c r="Y216" s="965">
        <f t="shared" ca="1" si="178"/>
        <v>0</v>
      </c>
      <c r="Z216" s="965">
        <f t="shared" ca="1" si="178"/>
        <v>0</v>
      </c>
      <c r="AA216" s="965">
        <f t="shared" ca="1" si="178"/>
        <v>0</v>
      </c>
      <c r="AB216" s="965">
        <f t="shared" ca="1" si="178"/>
        <v>0</v>
      </c>
      <c r="AC216" s="965">
        <f t="shared" ca="1" si="178"/>
        <v>0</v>
      </c>
      <c r="AD216" s="965">
        <f t="shared" ca="1" si="178"/>
        <v>0</v>
      </c>
      <c r="AE216" s="965">
        <f t="shared" ca="1" si="178"/>
        <v>0</v>
      </c>
      <c r="AF216" s="965">
        <f t="shared" ca="1" si="178"/>
        <v>0</v>
      </c>
      <c r="AG216" s="965">
        <f t="shared" ca="1" si="178"/>
        <v>0</v>
      </c>
    </row>
    <row r="217" spans="1:33" ht="17.25" customHeight="1" outlineLevel="2">
      <c r="A217" s="861"/>
      <c r="B217" s="861"/>
      <c r="C217" s="945">
        <f t="shared" si="157"/>
        <v>23</v>
      </c>
      <c r="D217" s="8" t="s">
        <v>39</v>
      </c>
      <c r="E217" s="878"/>
      <c r="F217" s="800"/>
      <c r="G217" s="800"/>
      <c r="H217" s="800"/>
      <c r="I217" s="943">
        <f t="shared" ca="1" si="154"/>
        <v>0</v>
      </c>
      <c r="J217" s="965">
        <f t="shared" ref="J217:AG217" ca="1" si="179">IF(J$82&lt;=ROUNDUP($C217/$E$82,0),0,IF(AND(J$82&gt;ROUNDUP($C217/$E$82,0),MOD(J$7-$C217,$E$82)=0),OFFSET(J189,0,-$E$82)-J189+J161,0))*J$6</f>
        <v>0</v>
      </c>
      <c r="K217" s="965">
        <f t="shared" ca="1" si="179"/>
        <v>0</v>
      </c>
      <c r="L217" s="965">
        <f t="shared" ca="1" si="179"/>
        <v>0</v>
      </c>
      <c r="M217" s="965">
        <f t="shared" ca="1" si="179"/>
        <v>0</v>
      </c>
      <c r="N217" s="965">
        <f t="shared" ca="1" si="179"/>
        <v>0</v>
      </c>
      <c r="O217" s="965">
        <f t="shared" ca="1" si="179"/>
        <v>0</v>
      </c>
      <c r="P217" s="965">
        <f t="shared" ca="1" si="179"/>
        <v>0</v>
      </c>
      <c r="Q217" s="965">
        <f t="shared" ca="1" si="179"/>
        <v>0</v>
      </c>
      <c r="R217" s="965">
        <f t="shared" ca="1" si="179"/>
        <v>0</v>
      </c>
      <c r="S217" s="965">
        <f t="shared" ca="1" si="179"/>
        <v>0</v>
      </c>
      <c r="T217" s="965">
        <f t="shared" ca="1" si="179"/>
        <v>0</v>
      </c>
      <c r="U217" s="965">
        <f t="shared" ca="1" si="179"/>
        <v>0</v>
      </c>
      <c r="V217" s="965">
        <f t="shared" ca="1" si="179"/>
        <v>0</v>
      </c>
      <c r="W217" s="965">
        <f t="shared" ca="1" si="179"/>
        <v>0</v>
      </c>
      <c r="X217" s="965">
        <f t="shared" ca="1" si="179"/>
        <v>0</v>
      </c>
      <c r="Y217" s="965">
        <f t="shared" ca="1" si="179"/>
        <v>0</v>
      </c>
      <c r="Z217" s="965">
        <f t="shared" ca="1" si="179"/>
        <v>0</v>
      </c>
      <c r="AA217" s="965">
        <f t="shared" ca="1" si="179"/>
        <v>0</v>
      </c>
      <c r="AB217" s="965">
        <f t="shared" ca="1" si="179"/>
        <v>0</v>
      </c>
      <c r="AC217" s="965">
        <f t="shared" ca="1" si="179"/>
        <v>0</v>
      </c>
      <c r="AD217" s="965">
        <f t="shared" ca="1" si="179"/>
        <v>0</v>
      </c>
      <c r="AE217" s="965">
        <f t="shared" ca="1" si="179"/>
        <v>0</v>
      </c>
      <c r="AF217" s="965">
        <f t="shared" ca="1" si="179"/>
        <v>0</v>
      </c>
      <c r="AG217" s="965">
        <f t="shared" ca="1" si="179"/>
        <v>0</v>
      </c>
    </row>
    <row r="218" spans="1:33" ht="17.25" customHeight="1" outlineLevel="2">
      <c r="A218" s="861"/>
      <c r="B218" s="861"/>
      <c r="C218" s="945">
        <f t="shared" si="157"/>
        <v>24</v>
      </c>
      <c r="D218" s="8" t="s">
        <v>39</v>
      </c>
      <c r="E218" s="878"/>
      <c r="F218" s="800"/>
      <c r="G218" s="800"/>
      <c r="H218" s="800"/>
      <c r="I218" s="943">
        <f t="shared" ca="1" si="154"/>
        <v>0</v>
      </c>
      <c r="J218" s="965">
        <f t="shared" ref="J218:AG218" ca="1" si="180">IF(J$82&lt;=ROUNDUP($C218/$E$82,0),0,IF(AND(J$82&gt;ROUNDUP($C218/$E$82,0),MOD(J$7-$C218,$E$82)=0),OFFSET(J190,0,-$E$82)-J190+J162,0))*J$6</f>
        <v>0</v>
      </c>
      <c r="K218" s="965">
        <f t="shared" ca="1" si="180"/>
        <v>0</v>
      </c>
      <c r="L218" s="965">
        <f t="shared" ca="1" si="180"/>
        <v>0</v>
      </c>
      <c r="M218" s="965">
        <f t="shared" ca="1" si="180"/>
        <v>0</v>
      </c>
      <c r="N218" s="965">
        <f t="shared" ca="1" si="180"/>
        <v>0</v>
      </c>
      <c r="O218" s="965">
        <f t="shared" ca="1" si="180"/>
        <v>0</v>
      </c>
      <c r="P218" s="965">
        <f t="shared" ca="1" si="180"/>
        <v>0</v>
      </c>
      <c r="Q218" s="965">
        <f t="shared" ca="1" si="180"/>
        <v>0</v>
      </c>
      <c r="R218" s="965">
        <f t="shared" ca="1" si="180"/>
        <v>0</v>
      </c>
      <c r="S218" s="965">
        <f t="shared" ca="1" si="180"/>
        <v>0</v>
      </c>
      <c r="T218" s="965">
        <f t="shared" ca="1" si="180"/>
        <v>0</v>
      </c>
      <c r="U218" s="965">
        <f t="shared" ca="1" si="180"/>
        <v>0</v>
      </c>
      <c r="V218" s="965">
        <f t="shared" ca="1" si="180"/>
        <v>0</v>
      </c>
      <c r="W218" s="965">
        <f t="shared" ca="1" si="180"/>
        <v>0</v>
      </c>
      <c r="X218" s="965">
        <f t="shared" ca="1" si="180"/>
        <v>0</v>
      </c>
      <c r="Y218" s="965">
        <f t="shared" ca="1" si="180"/>
        <v>0</v>
      </c>
      <c r="Z218" s="965">
        <f t="shared" ca="1" si="180"/>
        <v>0</v>
      </c>
      <c r="AA218" s="965">
        <f t="shared" ca="1" si="180"/>
        <v>0</v>
      </c>
      <c r="AB218" s="965">
        <f t="shared" ca="1" si="180"/>
        <v>0</v>
      </c>
      <c r="AC218" s="965">
        <f t="shared" ca="1" si="180"/>
        <v>0</v>
      </c>
      <c r="AD218" s="965">
        <f t="shared" ca="1" si="180"/>
        <v>0</v>
      </c>
      <c r="AE218" s="965">
        <f t="shared" ca="1" si="180"/>
        <v>0</v>
      </c>
      <c r="AF218" s="965">
        <f t="shared" ca="1" si="180"/>
        <v>0</v>
      </c>
      <c r="AG218" s="965">
        <f t="shared" ca="1" si="180"/>
        <v>0</v>
      </c>
    </row>
    <row r="219" spans="1:33" ht="17.25" customHeight="1" outlineLevel="2">
      <c r="A219" s="861"/>
      <c r="B219" s="861"/>
      <c r="C219" s="944" t="s">
        <v>734</v>
      </c>
      <c r="D219" s="8" t="s">
        <v>39</v>
      </c>
      <c r="E219" s="318"/>
      <c r="F219" s="344"/>
      <c r="G219" s="344"/>
      <c r="H219" s="344"/>
      <c r="I219" s="943">
        <f t="shared" ref="I219" ca="1" si="181">SUM(J219:AG219)</f>
        <v>762.02480870137435</v>
      </c>
      <c r="J219" s="942">
        <f t="shared" ref="J219:AG219" ca="1" si="182">SUM(J194:J218)</f>
        <v>0</v>
      </c>
      <c r="K219" s="942">
        <f t="shared" ca="1" si="182"/>
        <v>0</v>
      </c>
      <c r="L219" s="942">
        <f t="shared" ca="1" si="182"/>
        <v>0</v>
      </c>
      <c r="M219" s="942">
        <f t="shared" ca="1" si="182"/>
        <v>1.8500000000000014</v>
      </c>
      <c r="N219" s="942">
        <f t="shared" ca="1" si="182"/>
        <v>0</v>
      </c>
      <c r="O219" s="942">
        <f t="shared" ca="1" si="182"/>
        <v>0</v>
      </c>
      <c r="P219" s="942">
        <f t="shared" ca="1" si="182"/>
        <v>3.3725000000000023</v>
      </c>
      <c r="Q219" s="942">
        <f t="shared" ca="1" si="182"/>
        <v>0.94999999999999929</v>
      </c>
      <c r="R219" s="942">
        <f t="shared" ca="1" si="182"/>
        <v>1.1875000000000036</v>
      </c>
      <c r="S219" s="942">
        <f t="shared" ca="1" si="182"/>
        <v>34.817025000000001</v>
      </c>
      <c r="T219" s="942">
        <f t="shared" ca="1" si="182"/>
        <v>20.056400000000011</v>
      </c>
      <c r="U219" s="942">
        <f t="shared" ca="1" si="182"/>
        <v>24.800775999999999</v>
      </c>
      <c r="V219" s="942">
        <f t="shared" ca="1" si="182"/>
        <v>51.63237479</v>
      </c>
      <c r="W219" s="942">
        <f t="shared" ca="1" si="182"/>
        <v>41.0912393216</v>
      </c>
      <c r="X219" s="942">
        <f t="shared" ca="1" si="182"/>
        <v>45.730900094464005</v>
      </c>
      <c r="Y219" s="942">
        <f t="shared" ca="1" si="182"/>
        <v>67.499574900742559</v>
      </c>
      <c r="Z219" s="942">
        <f t="shared" ca="1" si="182"/>
        <v>60.305248742172282</v>
      </c>
      <c r="AA219" s="942">
        <f t="shared" ca="1" si="182"/>
        <v>64.994427203859175</v>
      </c>
      <c r="AB219" s="942">
        <f t="shared" ca="1" si="182"/>
        <v>83.034476728788519</v>
      </c>
      <c r="AC219" s="942">
        <f t="shared" ca="1" si="182"/>
        <v>78.538429935694097</v>
      </c>
      <c r="AD219" s="942">
        <f t="shared" ca="1" si="182"/>
        <v>83.410463202241843</v>
      </c>
      <c r="AE219" s="942">
        <f t="shared" ca="1" si="182"/>
        <v>98.75347278181178</v>
      </c>
      <c r="AF219" s="942">
        <f t="shared" ca="1" si="182"/>
        <v>0</v>
      </c>
      <c r="AG219" s="942">
        <f t="shared" ca="1" si="182"/>
        <v>0</v>
      </c>
    </row>
    <row r="220" spans="1:33" ht="17.25" customHeight="1" outlineLevel="1">
      <c r="A220" s="861"/>
      <c r="B220" s="861"/>
      <c r="C220" s="861"/>
      <c r="D220" s="861"/>
      <c r="E220" s="861"/>
      <c r="F220" s="861"/>
      <c r="G220" s="861"/>
      <c r="H220" s="861"/>
      <c r="I220" s="861"/>
      <c r="J220" s="861"/>
      <c r="K220" s="861"/>
      <c r="L220" s="861"/>
      <c r="M220" s="861"/>
      <c r="N220" s="861"/>
      <c r="O220" s="941"/>
      <c r="P220" s="941"/>
      <c r="Q220" s="861"/>
      <c r="R220" s="861"/>
      <c r="S220" s="861"/>
      <c r="T220" s="861"/>
      <c r="U220" s="861"/>
      <c r="V220" s="861"/>
      <c r="W220" s="861"/>
      <c r="X220" s="861"/>
      <c r="Y220" s="861"/>
      <c r="Z220" s="861"/>
      <c r="AA220" s="861"/>
      <c r="AB220" s="861"/>
      <c r="AC220" s="861"/>
      <c r="AD220" s="861"/>
      <c r="AE220" s="861"/>
      <c r="AF220" s="861"/>
      <c r="AG220" s="861"/>
    </row>
    <row r="221" spans="1:33" ht="17.25" customHeight="1">
      <c r="A221" s="861"/>
      <c r="B221" s="861"/>
      <c r="C221" s="861"/>
      <c r="D221" s="861"/>
      <c r="E221" s="861"/>
      <c r="F221" s="861"/>
      <c r="G221" s="861"/>
      <c r="H221" s="861"/>
      <c r="I221" s="861"/>
      <c r="J221" s="861"/>
      <c r="K221" s="861"/>
      <c r="L221" s="861"/>
      <c r="M221" s="861"/>
      <c r="N221" s="861"/>
      <c r="O221" s="861"/>
      <c r="P221" s="861"/>
      <c r="Q221" s="861"/>
      <c r="R221" s="861"/>
      <c r="S221" s="861"/>
      <c r="T221" s="861"/>
      <c r="U221" s="861"/>
      <c r="V221" s="861"/>
      <c r="W221" s="861"/>
      <c r="X221" s="861"/>
      <c r="Y221" s="861"/>
      <c r="Z221" s="861"/>
      <c r="AA221" s="861"/>
      <c r="AB221" s="861"/>
      <c r="AC221" s="861"/>
      <c r="AD221" s="861"/>
      <c r="AE221" s="861"/>
      <c r="AF221" s="861"/>
      <c r="AG221" s="861"/>
    </row>
    <row r="222" spans="1:33" ht="17.25" customHeight="1">
      <c r="A222" s="861"/>
      <c r="B222" s="861"/>
      <c r="C222" s="861"/>
      <c r="D222" s="861"/>
      <c r="E222" s="861"/>
      <c r="F222" s="861"/>
      <c r="G222" s="861"/>
      <c r="H222" s="861"/>
      <c r="I222" s="861"/>
      <c r="J222" s="861"/>
      <c r="K222" s="861"/>
      <c r="L222" s="861"/>
      <c r="M222" s="861"/>
      <c r="N222" s="861"/>
      <c r="O222" s="861"/>
      <c r="P222" s="861"/>
      <c r="Q222" s="861"/>
      <c r="R222" s="861"/>
      <c r="S222" s="861"/>
      <c r="T222" s="861"/>
      <c r="U222" s="861"/>
      <c r="V222" s="861"/>
      <c r="W222" s="861"/>
      <c r="X222" s="861"/>
      <c r="Y222" s="861"/>
      <c r="Z222" s="861"/>
      <c r="AA222" s="861"/>
      <c r="AB222" s="861"/>
      <c r="AC222" s="861"/>
      <c r="AD222" s="861"/>
      <c r="AE222" s="861"/>
      <c r="AF222" s="861"/>
      <c r="AG222" s="861"/>
    </row>
    <row r="223" spans="1:33" ht="17.25" customHeight="1">
      <c r="A223" s="861"/>
      <c r="B223" s="861"/>
      <c r="C223" s="861"/>
      <c r="D223" s="861"/>
      <c r="E223" s="861"/>
      <c r="F223" s="861"/>
      <c r="G223" s="861"/>
      <c r="H223" s="861"/>
      <c r="I223" s="861"/>
      <c r="J223" s="861"/>
      <c r="K223" s="861"/>
      <c r="L223" s="861"/>
      <c r="M223" s="861"/>
      <c r="N223" s="861"/>
      <c r="O223" s="861"/>
      <c r="P223" s="861"/>
      <c r="Q223" s="861"/>
      <c r="R223" s="861"/>
      <c r="S223" s="861"/>
      <c r="T223" s="861"/>
      <c r="U223" s="861"/>
      <c r="V223" s="861"/>
      <c r="W223" s="861"/>
      <c r="X223" s="861"/>
      <c r="Y223" s="861"/>
      <c r="Z223" s="861"/>
      <c r="AA223" s="861"/>
      <c r="AB223" s="861"/>
      <c r="AC223" s="861"/>
      <c r="AD223" s="861"/>
      <c r="AE223" s="861"/>
      <c r="AF223" s="861"/>
      <c r="AG223" s="861"/>
    </row>
    <row r="224" spans="1:33" ht="17.25" customHeight="1">
      <c r="A224" s="861"/>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1"/>
      <c r="AA224" s="861"/>
      <c r="AB224" s="861"/>
      <c r="AC224" s="861"/>
      <c r="AD224" s="861"/>
      <c r="AE224" s="861"/>
      <c r="AF224" s="861"/>
      <c r="AG224" s="861"/>
    </row>
    <row r="225" spans="1:33" ht="17.25" customHeight="1">
      <c r="A225" s="861"/>
      <c r="B225" s="861"/>
      <c r="C225" s="861"/>
      <c r="D225" s="861"/>
      <c r="E225" s="861"/>
      <c r="F225" s="861"/>
      <c r="G225" s="861"/>
      <c r="H225" s="861"/>
      <c r="I225" s="861"/>
      <c r="J225" s="861"/>
      <c r="K225" s="861"/>
      <c r="L225" s="861"/>
      <c r="M225" s="861"/>
      <c r="N225" s="861"/>
      <c r="O225" s="861"/>
      <c r="P225" s="861"/>
      <c r="Q225" s="861"/>
      <c r="R225" s="861"/>
      <c r="S225" s="861"/>
      <c r="T225" s="861"/>
      <c r="U225" s="861"/>
      <c r="V225" s="861"/>
      <c r="W225" s="861"/>
      <c r="X225" s="861"/>
      <c r="Y225" s="861"/>
      <c r="Z225" s="861"/>
      <c r="AA225" s="861"/>
      <c r="AB225" s="861"/>
      <c r="AC225" s="861"/>
      <c r="AD225" s="861"/>
      <c r="AE225" s="861"/>
      <c r="AF225" s="861"/>
      <c r="AG225" s="861"/>
    </row>
    <row r="226" spans="1:33" ht="17.25" customHeight="1">
      <c r="A226" s="861"/>
      <c r="B226" s="861"/>
      <c r="C226" s="861"/>
      <c r="D226" s="861"/>
      <c r="E226" s="861"/>
      <c r="F226" s="861"/>
      <c r="G226" s="861"/>
      <c r="H226" s="861"/>
      <c r="I226" s="861"/>
      <c r="J226" s="861"/>
      <c r="K226" s="861"/>
      <c r="L226" s="861"/>
      <c r="M226" s="861"/>
      <c r="N226" s="861"/>
      <c r="O226" s="861"/>
      <c r="P226" s="861"/>
      <c r="Q226" s="861"/>
      <c r="R226" s="861"/>
      <c r="S226" s="861"/>
      <c r="T226" s="861"/>
      <c r="U226" s="861"/>
      <c r="V226" s="861"/>
      <c r="W226" s="861"/>
      <c r="X226" s="861"/>
      <c r="Y226" s="861"/>
      <c r="Z226" s="861"/>
      <c r="AA226" s="861"/>
      <c r="AB226" s="861"/>
      <c r="AC226" s="861"/>
      <c r="AD226" s="861"/>
      <c r="AE226" s="861"/>
      <c r="AF226" s="861"/>
      <c r="AG226" s="861"/>
    </row>
    <row r="227" spans="1:33" ht="17.25" customHeight="1">
      <c r="A227" s="861"/>
      <c r="B227" s="861"/>
      <c r="C227" s="861"/>
      <c r="D227" s="861"/>
      <c r="E227" s="861"/>
      <c r="F227" s="861"/>
      <c r="G227" s="861"/>
      <c r="H227" s="861"/>
      <c r="I227" s="861"/>
      <c r="J227" s="861"/>
      <c r="K227" s="861"/>
      <c r="L227" s="861"/>
      <c r="M227" s="861"/>
      <c r="N227" s="861"/>
      <c r="O227" s="861"/>
      <c r="P227" s="861"/>
      <c r="Q227" s="861"/>
      <c r="R227" s="861"/>
      <c r="S227" s="861"/>
      <c r="T227" s="861"/>
      <c r="U227" s="861"/>
      <c r="V227" s="861"/>
      <c r="W227" s="861"/>
      <c r="X227" s="861"/>
      <c r="Y227" s="861"/>
      <c r="Z227" s="861"/>
      <c r="AA227" s="861"/>
      <c r="AB227" s="861"/>
      <c r="AC227" s="861"/>
      <c r="AD227" s="861"/>
      <c r="AE227" s="861"/>
      <c r="AF227" s="861"/>
      <c r="AG227" s="861"/>
    </row>
    <row r="228" spans="1:33" s="878" customFormat="1" ht="17.25" customHeight="1">
      <c r="A228" s="861"/>
      <c r="B228" s="861"/>
      <c r="C228" s="861"/>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c r="AA228" s="861"/>
      <c r="AB228" s="861"/>
      <c r="AC228" s="861"/>
      <c r="AD228" s="861"/>
      <c r="AE228" s="861"/>
      <c r="AF228" s="861"/>
      <c r="AG228" s="861"/>
    </row>
    <row r="229" spans="1:33" s="878" customFormat="1" ht="17.25" customHeight="1">
      <c r="A229" s="861"/>
      <c r="B229" s="861"/>
      <c r="C229" s="861"/>
      <c r="D229" s="861"/>
      <c r="E229" s="861"/>
      <c r="F229" s="861"/>
      <c r="G229" s="861"/>
      <c r="H229" s="861"/>
      <c r="I229" s="861"/>
      <c r="J229" s="861"/>
      <c r="K229" s="861"/>
      <c r="L229" s="861"/>
      <c r="M229" s="861"/>
      <c r="N229" s="861"/>
      <c r="O229" s="861"/>
      <c r="P229" s="861"/>
      <c r="Q229" s="861"/>
      <c r="R229" s="861"/>
      <c r="S229" s="861"/>
      <c r="T229" s="861"/>
      <c r="U229" s="861"/>
      <c r="V229" s="861"/>
      <c r="W229" s="861"/>
      <c r="X229" s="861"/>
      <c r="Y229" s="861"/>
      <c r="Z229" s="861"/>
      <c r="AA229" s="861"/>
      <c r="AB229" s="861"/>
      <c r="AC229" s="861"/>
      <c r="AD229" s="861"/>
      <c r="AE229" s="861"/>
      <c r="AF229" s="861"/>
      <c r="AG229" s="861"/>
    </row>
    <row r="230" spans="1:33" s="878" customFormat="1" ht="17.25" customHeight="1">
      <c r="A230" s="861"/>
      <c r="B230" s="861"/>
      <c r="C230" s="861"/>
      <c r="D230" s="861"/>
      <c r="E230" s="861"/>
      <c r="F230" s="861"/>
      <c r="G230" s="861"/>
      <c r="H230" s="861"/>
      <c r="I230" s="861"/>
      <c r="J230" s="861"/>
      <c r="K230" s="861"/>
      <c r="L230" s="861"/>
      <c r="M230" s="861"/>
      <c r="N230" s="861"/>
      <c r="O230" s="861"/>
      <c r="P230" s="861"/>
      <c r="Q230" s="861"/>
      <c r="R230" s="861"/>
      <c r="S230" s="861"/>
      <c r="T230" s="861"/>
      <c r="U230" s="861"/>
      <c r="V230" s="861"/>
      <c r="W230" s="861"/>
      <c r="X230" s="861"/>
      <c r="Y230" s="861"/>
      <c r="Z230" s="861"/>
      <c r="AA230" s="861"/>
      <c r="AB230" s="861"/>
      <c r="AC230" s="861"/>
      <c r="AD230" s="861"/>
      <c r="AE230" s="861"/>
      <c r="AF230" s="861"/>
      <c r="AG230" s="861"/>
    </row>
    <row r="231" spans="1:33" s="878" customFormat="1" ht="17.25" customHeight="1">
      <c r="A231" s="861"/>
      <c r="B231" s="861"/>
      <c r="C231" s="861"/>
      <c r="D231" s="861"/>
      <c r="E231" s="861"/>
      <c r="F231" s="861"/>
      <c r="G231" s="861"/>
      <c r="H231" s="861"/>
      <c r="I231" s="861"/>
      <c r="J231" s="861"/>
      <c r="K231" s="861"/>
      <c r="L231" s="861"/>
      <c r="M231" s="861"/>
      <c r="N231" s="861"/>
      <c r="O231" s="861"/>
      <c r="P231" s="861"/>
      <c r="Q231" s="861"/>
      <c r="R231" s="861"/>
      <c r="S231" s="861"/>
      <c r="T231" s="861"/>
      <c r="U231" s="861"/>
      <c r="V231" s="861"/>
      <c r="W231" s="861"/>
      <c r="X231" s="861"/>
      <c r="Y231" s="861"/>
      <c r="Z231" s="861"/>
      <c r="AA231" s="861"/>
      <c r="AB231" s="861"/>
      <c r="AC231" s="861"/>
      <c r="AD231" s="861"/>
      <c r="AE231" s="861"/>
      <c r="AF231" s="861"/>
      <c r="AG231" s="861"/>
    </row>
    <row r="232" spans="1:33" s="878" customFormat="1" ht="17.25" customHeight="1">
      <c r="A232" s="861"/>
      <c r="B232" s="861"/>
      <c r="C232" s="861"/>
      <c r="D232" s="861"/>
      <c r="E232" s="861"/>
      <c r="F232" s="861"/>
      <c r="G232" s="861"/>
      <c r="H232" s="861"/>
      <c r="I232" s="861"/>
      <c r="J232" s="861"/>
      <c r="K232" s="861"/>
      <c r="L232" s="861"/>
      <c r="M232" s="861"/>
      <c r="N232" s="861"/>
      <c r="O232" s="861"/>
      <c r="P232" s="861"/>
      <c r="Q232" s="861"/>
      <c r="R232" s="861"/>
      <c r="S232" s="861"/>
      <c r="T232" s="861"/>
      <c r="U232" s="861"/>
      <c r="V232" s="861"/>
      <c r="W232" s="861"/>
      <c r="X232" s="861"/>
      <c r="Y232" s="861"/>
      <c r="Z232" s="861"/>
      <c r="AA232" s="861"/>
      <c r="AB232" s="861"/>
      <c r="AC232" s="861"/>
      <c r="AD232" s="861"/>
      <c r="AE232" s="861"/>
      <c r="AF232" s="861"/>
      <c r="AG232" s="861"/>
    </row>
    <row r="233" spans="1:33" s="878" customFormat="1" ht="17.25" customHeight="1">
      <c r="A233" s="861"/>
      <c r="B233" s="861"/>
      <c r="C233" s="861"/>
      <c r="D233" s="861"/>
      <c r="E233" s="861"/>
      <c r="F233" s="861"/>
      <c r="G233" s="861"/>
      <c r="H233" s="861"/>
      <c r="I233" s="861"/>
      <c r="J233" s="861"/>
      <c r="K233" s="861"/>
      <c r="L233" s="861"/>
      <c r="M233" s="861"/>
      <c r="N233" s="861"/>
      <c r="O233" s="861"/>
      <c r="P233" s="861"/>
      <c r="Q233" s="861"/>
      <c r="R233" s="861"/>
      <c r="S233" s="861"/>
      <c r="T233" s="861"/>
      <c r="U233" s="861"/>
      <c r="V233" s="861"/>
      <c r="W233" s="861"/>
      <c r="X233" s="861"/>
      <c r="Y233" s="861"/>
      <c r="Z233" s="861"/>
      <c r="AA233" s="861"/>
      <c r="AB233" s="861"/>
      <c r="AC233" s="861"/>
      <c r="AD233" s="861"/>
      <c r="AE233" s="861"/>
      <c r="AF233" s="861"/>
      <c r="AG233" s="861"/>
    </row>
    <row r="234" spans="1:33" s="878" customFormat="1" ht="17.25" customHeight="1">
      <c r="A234" s="861"/>
      <c r="B234" s="861"/>
      <c r="C234" s="861"/>
      <c r="D234" s="861"/>
      <c r="E234" s="861"/>
      <c r="F234" s="861"/>
      <c r="G234" s="861"/>
      <c r="H234" s="861"/>
      <c r="I234" s="861"/>
      <c r="J234" s="861"/>
      <c r="K234" s="861"/>
      <c r="L234" s="861"/>
      <c r="M234" s="861"/>
      <c r="N234" s="861"/>
      <c r="O234" s="861"/>
      <c r="P234" s="861"/>
      <c r="Q234" s="861"/>
      <c r="R234" s="861"/>
      <c r="S234" s="861"/>
      <c r="T234" s="861"/>
      <c r="U234" s="861"/>
      <c r="V234" s="861"/>
      <c r="W234" s="861"/>
      <c r="X234" s="861"/>
      <c r="Y234" s="861"/>
      <c r="Z234" s="861"/>
      <c r="AA234" s="861"/>
      <c r="AB234" s="861"/>
      <c r="AC234" s="861"/>
      <c r="AD234" s="861"/>
      <c r="AE234" s="861"/>
      <c r="AF234" s="861"/>
      <c r="AG234" s="861"/>
    </row>
    <row r="235" spans="1:33" s="878" customFormat="1" ht="17.25" customHeight="1">
      <c r="A235" s="861"/>
      <c r="B235" s="861"/>
      <c r="C235" s="861"/>
      <c r="D235" s="861"/>
      <c r="E235" s="861"/>
      <c r="F235" s="861"/>
      <c r="G235" s="861"/>
      <c r="H235" s="861"/>
      <c r="I235" s="861"/>
      <c r="J235" s="861"/>
      <c r="K235" s="861"/>
      <c r="L235" s="861"/>
      <c r="M235" s="861"/>
      <c r="N235" s="861"/>
      <c r="O235" s="861"/>
      <c r="P235" s="861"/>
      <c r="Q235" s="861"/>
      <c r="R235" s="861"/>
      <c r="S235" s="861"/>
      <c r="T235" s="861"/>
      <c r="U235" s="861"/>
      <c r="V235" s="861"/>
      <c r="W235" s="861"/>
      <c r="X235" s="861"/>
      <c r="Y235" s="861"/>
      <c r="Z235" s="861"/>
      <c r="AA235" s="861"/>
      <c r="AB235" s="861"/>
      <c r="AC235" s="861"/>
      <c r="AD235" s="861"/>
      <c r="AE235" s="861"/>
      <c r="AF235" s="861"/>
      <c r="AG235" s="861"/>
    </row>
    <row r="236" spans="1:33" s="878" customFormat="1" ht="17.25" customHeight="1">
      <c r="A236" s="861"/>
      <c r="B236" s="861"/>
      <c r="C236" s="861"/>
      <c r="D236" s="861"/>
      <c r="E236" s="861"/>
      <c r="F236" s="861"/>
      <c r="G236" s="861"/>
      <c r="H236" s="861"/>
      <c r="I236" s="861"/>
      <c r="J236" s="861"/>
      <c r="K236" s="861"/>
      <c r="L236" s="861"/>
      <c r="M236" s="861"/>
      <c r="N236" s="861"/>
      <c r="O236" s="861"/>
      <c r="P236" s="861"/>
      <c r="Q236" s="861"/>
      <c r="R236" s="861"/>
      <c r="S236" s="861"/>
      <c r="T236" s="861"/>
      <c r="U236" s="861"/>
      <c r="V236" s="861"/>
      <c r="W236" s="861"/>
      <c r="X236" s="861"/>
      <c r="Y236" s="861"/>
      <c r="Z236" s="861"/>
      <c r="AA236" s="861"/>
      <c r="AB236" s="861"/>
      <c r="AC236" s="861"/>
      <c r="AD236" s="861"/>
      <c r="AE236" s="861"/>
      <c r="AF236" s="861"/>
      <c r="AG236" s="861"/>
    </row>
    <row r="237" spans="1:33" s="878" customFormat="1" ht="17.25" customHeight="1">
      <c r="A237" s="861"/>
      <c r="B237" s="861"/>
      <c r="C237" s="861"/>
      <c r="D237" s="861"/>
      <c r="E237" s="861"/>
      <c r="F237" s="861"/>
      <c r="G237" s="861"/>
      <c r="H237" s="861"/>
      <c r="I237" s="861"/>
      <c r="J237" s="861"/>
      <c r="K237" s="861"/>
      <c r="L237" s="861"/>
      <c r="M237" s="861"/>
      <c r="N237" s="861"/>
      <c r="O237" s="861"/>
      <c r="P237" s="861"/>
      <c r="Q237" s="861"/>
      <c r="R237" s="861"/>
      <c r="S237" s="861"/>
      <c r="T237" s="861"/>
      <c r="U237" s="861"/>
      <c r="V237" s="861"/>
      <c r="W237" s="861"/>
      <c r="X237" s="861"/>
      <c r="Y237" s="861"/>
      <c r="Z237" s="861"/>
      <c r="AA237" s="861"/>
      <c r="AB237" s="861"/>
      <c r="AC237" s="861"/>
      <c r="AD237" s="861"/>
      <c r="AE237" s="861"/>
      <c r="AF237" s="861"/>
      <c r="AG237" s="861"/>
    </row>
    <row r="238" spans="1:33" s="878" customFormat="1" ht="17.25" customHeight="1">
      <c r="A238" s="861"/>
      <c r="B238" s="861"/>
      <c r="C238" s="861"/>
      <c r="D238" s="861"/>
      <c r="E238" s="861"/>
      <c r="F238" s="861"/>
      <c r="G238" s="861"/>
      <c r="H238" s="861"/>
      <c r="I238" s="861"/>
      <c r="J238" s="861"/>
      <c r="K238" s="861"/>
      <c r="L238" s="861"/>
      <c r="M238" s="861"/>
      <c r="N238" s="861"/>
      <c r="O238" s="861"/>
      <c r="P238" s="861"/>
      <c r="Q238" s="861"/>
      <c r="R238" s="861"/>
      <c r="S238" s="861"/>
      <c r="T238" s="861"/>
      <c r="U238" s="861"/>
      <c r="V238" s="861"/>
      <c r="W238" s="861"/>
      <c r="X238" s="861"/>
      <c r="Y238" s="861"/>
      <c r="Z238" s="861"/>
      <c r="AA238" s="861"/>
      <c r="AB238" s="861"/>
      <c r="AC238" s="861"/>
      <c r="AD238" s="861"/>
      <c r="AE238" s="861"/>
      <c r="AF238" s="861"/>
      <c r="AG238" s="861"/>
    </row>
    <row r="239" spans="1:33" s="878" customFormat="1" ht="17.25" customHeight="1">
      <c r="A239" s="861"/>
      <c r="B239" s="861"/>
      <c r="C239" s="861"/>
      <c r="D239" s="861"/>
      <c r="E239" s="861"/>
      <c r="F239" s="861"/>
      <c r="G239" s="861"/>
      <c r="H239" s="861"/>
      <c r="I239" s="861"/>
      <c r="J239" s="861"/>
      <c r="K239" s="861"/>
      <c r="L239" s="861"/>
      <c r="M239" s="861"/>
      <c r="N239" s="861"/>
      <c r="O239" s="861"/>
      <c r="P239" s="861"/>
      <c r="Q239" s="861"/>
      <c r="R239" s="861"/>
      <c r="S239" s="861"/>
      <c r="T239" s="861"/>
      <c r="U239" s="861"/>
      <c r="V239" s="861"/>
      <c r="W239" s="861"/>
      <c r="X239" s="861"/>
      <c r="Y239" s="861"/>
      <c r="Z239" s="861"/>
      <c r="AA239" s="861"/>
      <c r="AB239" s="861"/>
      <c r="AC239" s="861"/>
      <c r="AD239" s="861"/>
      <c r="AE239" s="861"/>
      <c r="AF239" s="861"/>
      <c r="AG239" s="861"/>
    </row>
    <row r="240" spans="1:33" s="878" customFormat="1" ht="17.25" customHeight="1">
      <c r="A240" s="861"/>
      <c r="B240" s="861"/>
      <c r="C240" s="861"/>
      <c r="D240" s="861"/>
      <c r="E240" s="861"/>
      <c r="F240" s="861"/>
      <c r="G240" s="861"/>
      <c r="H240" s="861"/>
      <c r="I240" s="861"/>
      <c r="J240" s="861"/>
      <c r="K240" s="861"/>
      <c r="L240" s="861"/>
      <c r="M240" s="861"/>
      <c r="N240" s="861"/>
      <c r="O240" s="861"/>
      <c r="P240" s="861"/>
      <c r="Q240" s="861"/>
      <c r="R240" s="861"/>
      <c r="S240" s="861"/>
      <c r="T240" s="861"/>
      <c r="U240" s="861"/>
      <c r="V240" s="861"/>
      <c r="W240" s="861"/>
      <c r="X240" s="861"/>
      <c r="Y240" s="861"/>
      <c r="Z240" s="861"/>
      <c r="AA240" s="861"/>
      <c r="AB240" s="861"/>
      <c r="AC240" s="861"/>
      <c r="AD240" s="861"/>
      <c r="AE240" s="861"/>
      <c r="AF240" s="861"/>
      <c r="AG240" s="861"/>
    </row>
    <row r="241" spans="1:33" s="878" customFormat="1" ht="17.25" customHeight="1">
      <c r="A241" s="861"/>
      <c r="B241" s="861"/>
      <c r="C241" s="861"/>
      <c r="D241" s="861"/>
      <c r="E241" s="861"/>
      <c r="F241" s="861"/>
      <c r="G241" s="861"/>
      <c r="H241" s="861"/>
      <c r="I241" s="861"/>
      <c r="J241" s="861"/>
      <c r="K241" s="861"/>
      <c r="L241" s="861"/>
      <c r="M241" s="861"/>
      <c r="N241" s="861"/>
      <c r="O241" s="861"/>
      <c r="P241" s="861"/>
      <c r="Q241" s="861"/>
      <c r="R241" s="861"/>
      <c r="S241" s="861"/>
      <c r="T241" s="861"/>
      <c r="U241" s="861"/>
      <c r="V241" s="861"/>
      <c r="W241" s="861"/>
      <c r="X241" s="861"/>
      <c r="Y241" s="861"/>
      <c r="Z241" s="861"/>
      <c r="AA241" s="861"/>
      <c r="AB241" s="861"/>
      <c r="AC241" s="861"/>
      <c r="AD241" s="861"/>
      <c r="AE241" s="861"/>
      <c r="AF241" s="861"/>
      <c r="AG241" s="861"/>
    </row>
    <row r="242" spans="1:33" s="878" customFormat="1" ht="17.25" customHeight="1">
      <c r="A242" s="861"/>
      <c r="B242" s="861"/>
      <c r="C242" s="861"/>
      <c r="D242" s="861"/>
      <c r="E242" s="861"/>
      <c r="F242" s="861"/>
      <c r="G242" s="861"/>
      <c r="H242" s="861"/>
      <c r="I242" s="861"/>
      <c r="J242" s="861"/>
      <c r="K242" s="861"/>
      <c r="L242" s="861"/>
      <c r="M242" s="861"/>
      <c r="N242" s="861"/>
      <c r="O242" s="861"/>
      <c r="P242" s="861"/>
      <c r="Q242" s="861"/>
      <c r="R242" s="861"/>
      <c r="S242" s="861"/>
      <c r="T242" s="861"/>
      <c r="U242" s="861"/>
      <c r="V242" s="861"/>
      <c r="W242" s="861"/>
      <c r="X242" s="861"/>
      <c r="Y242" s="861"/>
      <c r="Z242" s="861"/>
      <c r="AA242" s="861"/>
      <c r="AB242" s="861"/>
      <c r="AC242" s="861"/>
      <c r="AD242" s="861"/>
      <c r="AE242" s="861"/>
      <c r="AF242" s="861"/>
      <c r="AG242" s="861"/>
    </row>
    <row r="243" spans="1:33" ht="17.25" customHeight="1">
      <c r="A243" s="861"/>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c r="AA243" s="861"/>
      <c r="AB243" s="861"/>
      <c r="AC243" s="861"/>
      <c r="AD243" s="861"/>
      <c r="AE243" s="861"/>
      <c r="AF243" s="861"/>
      <c r="AG243" s="861"/>
    </row>
    <row r="244" spans="1:33" ht="17.25" customHeight="1">
      <c r="A244" s="861"/>
      <c r="B244" s="861"/>
      <c r="C244" s="861"/>
      <c r="D244" s="861"/>
      <c r="E244" s="861"/>
      <c r="F244" s="861"/>
      <c r="G244" s="861"/>
      <c r="H244" s="861"/>
      <c r="I244" s="861"/>
      <c r="J244" s="861"/>
      <c r="K244" s="861"/>
      <c r="L244" s="861"/>
      <c r="M244" s="861"/>
      <c r="N244" s="861"/>
      <c r="O244" s="861"/>
      <c r="P244" s="861"/>
      <c r="Q244" s="861"/>
      <c r="R244" s="861"/>
      <c r="S244" s="861"/>
      <c r="T244" s="861"/>
      <c r="U244" s="861"/>
      <c r="V244" s="861"/>
      <c r="W244" s="861"/>
      <c r="X244" s="861"/>
      <c r="Y244" s="861"/>
      <c r="Z244" s="861"/>
      <c r="AA244" s="861"/>
      <c r="AB244" s="861"/>
      <c r="AC244" s="861"/>
      <c r="AD244" s="861"/>
      <c r="AE244" s="861"/>
      <c r="AF244" s="861"/>
      <c r="AG244" s="861"/>
    </row>
    <row r="245" spans="1:33" ht="17.25" customHeight="1">
      <c r="A245" s="861"/>
      <c r="B245" s="861"/>
      <c r="C245" s="861"/>
      <c r="D245" s="861"/>
      <c r="E245" s="861"/>
      <c r="F245" s="861"/>
      <c r="G245" s="861"/>
      <c r="H245" s="861"/>
      <c r="I245" s="861"/>
      <c r="J245" s="861"/>
      <c r="K245" s="861"/>
      <c r="L245" s="861"/>
      <c r="M245" s="861"/>
      <c r="N245" s="861"/>
      <c r="O245" s="861"/>
      <c r="P245" s="861"/>
      <c r="Q245" s="861"/>
      <c r="R245" s="861"/>
      <c r="S245" s="861"/>
      <c r="T245" s="861"/>
      <c r="U245" s="861"/>
      <c r="V245" s="861"/>
      <c r="W245" s="861"/>
      <c r="X245" s="861"/>
      <c r="Y245" s="861"/>
      <c r="Z245" s="861"/>
      <c r="AA245" s="861"/>
      <c r="AB245" s="861"/>
      <c r="AC245" s="861"/>
      <c r="AD245" s="861"/>
      <c r="AE245" s="861"/>
      <c r="AF245" s="861"/>
      <c r="AG245" s="861"/>
    </row>
    <row r="246" spans="1:33" ht="17.25" customHeight="1">
      <c r="A246" s="861"/>
      <c r="B246" s="861"/>
      <c r="C246" s="861"/>
      <c r="D246" s="861"/>
      <c r="E246" s="861"/>
      <c r="F246" s="861"/>
      <c r="G246" s="861"/>
      <c r="H246" s="861"/>
      <c r="I246" s="861"/>
      <c r="J246" s="861"/>
      <c r="K246" s="861"/>
      <c r="L246" s="861"/>
      <c r="M246" s="861"/>
      <c r="N246" s="861"/>
      <c r="O246" s="861"/>
      <c r="P246" s="861"/>
      <c r="Q246" s="861"/>
      <c r="R246" s="861"/>
      <c r="S246" s="861"/>
      <c r="T246" s="861"/>
      <c r="U246" s="861"/>
      <c r="V246" s="861"/>
      <c r="W246" s="861"/>
      <c r="X246" s="861"/>
      <c r="Y246" s="861"/>
      <c r="Z246" s="861"/>
      <c r="AA246" s="861"/>
      <c r="AB246" s="861"/>
      <c r="AC246" s="861"/>
      <c r="AD246" s="861"/>
      <c r="AE246" s="861"/>
      <c r="AF246" s="861"/>
      <c r="AG246" s="861"/>
    </row>
    <row r="247" spans="1:33" ht="17.25" customHeight="1">
      <c r="A247" s="861"/>
      <c r="B247" s="861"/>
      <c r="C247" s="861"/>
      <c r="D247" s="861"/>
      <c r="E247" s="861"/>
      <c r="F247" s="861"/>
      <c r="G247" s="861"/>
      <c r="H247" s="861"/>
      <c r="I247" s="861"/>
      <c r="J247" s="861"/>
      <c r="K247" s="861"/>
      <c r="L247" s="861"/>
      <c r="M247" s="861"/>
      <c r="N247" s="861"/>
      <c r="O247" s="861"/>
      <c r="P247" s="861"/>
      <c r="Q247" s="861"/>
      <c r="R247" s="861"/>
      <c r="S247" s="861"/>
      <c r="T247" s="861"/>
      <c r="U247" s="861"/>
      <c r="V247" s="861"/>
      <c r="W247" s="861"/>
      <c r="X247" s="861"/>
      <c r="Y247" s="861"/>
      <c r="Z247" s="861"/>
      <c r="AA247" s="861"/>
      <c r="AB247" s="861"/>
      <c r="AC247" s="861"/>
      <c r="AD247" s="861"/>
      <c r="AE247" s="861"/>
      <c r="AF247" s="861"/>
      <c r="AG247" s="861"/>
    </row>
    <row r="248" spans="1:33" ht="17.25" customHeight="1">
      <c r="A248" s="861"/>
      <c r="B248" s="861"/>
      <c r="C248" s="861"/>
      <c r="D248" s="861"/>
      <c r="E248" s="861"/>
      <c r="F248" s="861"/>
      <c r="G248" s="861"/>
      <c r="H248" s="861"/>
      <c r="I248" s="861"/>
      <c r="J248" s="861"/>
      <c r="K248" s="861"/>
      <c r="L248" s="861"/>
      <c r="M248" s="861"/>
      <c r="N248" s="861"/>
      <c r="O248" s="861"/>
      <c r="P248" s="861"/>
      <c r="Q248" s="861"/>
      <c r="R248" s="861"/>
      <c r="S248" s="861"/>
      <c r="T248" s="861"/>
      <c r="U248" s="861"/>
      <c r="V248" s="861"/>
      <c r="W248" s="861"/>
      <c r="X248" s="861"/>
      <c r="Y248" s="861"/>
      <c r="Z248" s="861"/>
      <c r="AA248" s="861"/>
      <c r="AB248" s="861"/>
      <c r="AC248" s="861"/>
      <c r="AD248" s="861"/>
      <c r="AE248" s="861"/>
      <c r="AF248" s="861"/>
      <c r="AG248" s="861"/>
    </row>
    <row r="249" spans="1:33" ht="17.25" customHeight="1">
      <c r="A249" s="861"/>
      <c r="B249" s="861"/>
      <c r="C249" s="861"/>
      <c r="D249" s="861"/>
      <c r="E249" s="861"/>
      <c r="F249" s="861"/>
      <c r="G249" s="861"/>
      <c r="H249" s="861"/>
      <c r="I249" s="861"/>
      <c r="J249" s="861"/>
      <c r="K249" s="861"/>
      <c r="L249" s="861"/>
      <c r="M249" s="861"/>
      <c r="N249" s="861"/>
      <c r="O249" s="861"/>
      <c r="P249" s="861"/>
      <c r="Q249" s="861"/>
      <c r="R249" s="861"/>
      <c r="S249" s="861"/>
      <c r="T249" s="861"/>
      <c r="U249" s="861"/>
      <c r="V249" s="861"/>
      <c r="W249" s="861"/>
      <c r="X249" s="861"/>
      <c r="Y249" s="861"/>
      <c r="Z249" s="861"/>
      <c r="AA249" s="861"/>
      <c r="AB249" s="861"/>
      <c r="AC249" s="861"/>
      <c r="AD249" s="861"/>
      <c r="AE249" s="861"/>
      <c r="AF249" s="861"/>
      <c r="AG249" s="861"/>
    </row>
    <row r="250" spans="1:33" s="878" customFormat="1" ht="17.25" customHeight="1">
      <c r="A250" s="861"/>
      <c r="B250" s="861"/>
      <c r="C250" s="861"/>
      <c r="D250" s="861"/>
      <c r="E250" s="861"/>
      <c r="F250" s="861"/>
      <c r="G250" s="861"/>
      <c r="H250" s="861"/>
      <c r="I250" s="861"/>
      <c r="J250" s="861"/>
      <c r="K250" s="861"/>
      <c r="L250" s="861"/>
      <c r="M250" s="861"/>
      <c r="N250" s="861"/>
      <c r="O250" s="861"/>
      <c r="P250" s="861"/>
      <c r="Q250" s="861"/>
      <c r="R250" s="861"/>
      <c r="S250" s="861"/>
      <c r="T250" s="861"/>
      <c r="U250" s="861"/>
      <c r="V250" s="861"/>
      <c r="W250" s="861"/>
      <c r="X250" s="861"/>
      <c r="Y250" s="861"/>
      <c r="Z250" s="861"/>
      <c r="AA250" s="861"/>
      <c r="AB250" s="861"/>
      <c r="AC250" s="861"/>
      <c r="AD250" s="861"/>
      <c r="AE250" s="861"/>
      <c r="AF250" s="861"/>
      <c r="AG250" s="861"/>
    </row>
    <row r="251" spans="1:33" s="878" customFormat="1" ht="17.25" customHeight="1">
      <c r="A251" s="861"/>
      <c r="B251" s="861"/>
      <c r="C251" s="861"/>
      <c r="D251" s="861"/>
      <c r="E251" s="861"/>
      <c r="F251" s="861"/>
      <c r="G251" s="861"/>
      <c r="H251" s="861"/>
      <c r="I251" s="861"/>
      <c r="J251" s="861"/>
      <c r="K251" s="861"/>
      <c r="L251" s="861"/>
      <c r="M251" s="861"/>
      <c r="N251" s="861"/>
      <c r="O251" s="861"/>
      <c r="P251" s="861"/>
      <c r="Q251" s="861"/>
      <c r="R251" s="861"/>
      <c r="S251" s="861"/>
      <c r="T251" s="861"/>
      <c r="U251" s="861"/>
      <c r="V251" s="861"/>
      <c r="W251" s="861"/>
      <c r="X251" s="861"/>
      <c r="Y251" s="861"/>
      <c r="Z251" s="861"/>
      <c r="AA251" s="861"/>
      <c r="AB251" s="861"/>
      <c r="AC251" s="861"/>
      <c r="AD251" s="861"/>
      <c r="AE251" s="861"/>
      <c r="AF251" s="861"/>
      <c r="AG251" s="861"/>
    </row>
    <row r="252" spans="1:33" s="878" customFormat="1" ht="17.25" customHeight="1">
      <c r="A252" s="861"/>
      <c r="B252" s="861"/>
      <c r="C252" s="861"/>
      <c r="D252" s="861"/>
      <c r="E252" s="861"/>
      <c r="F252" s="861"/>
      <c r="G252" s="861"/>
      <c r="H252" s="861"/>
      <c r="I252" s="861"/>
      <c r="J252" s="861"/>
      <c r="K252" s="861"/>
      <c r="L252" s="861"/>
      <c r="M252" s="861"/>
      <c r="N252" s="861"/>
      <c r="O252" s="861"/>
      <c r="P252" s="861"/>
      <c r="Q252" s="861"/>
      <c r="R252" s="861"/>
      <c r="S252" s="861"/>
      <c r="T252" s="861"/>
      <c r="U252" s="861"/>
      <c r="V252" s="861"/>
      <c r="W252" s="861"/>
      <c r="X252" s="861"/>
      <c r="Y252" s="861"/>
      <c r="Z252" s="861"/>
      <c r="AA252" s="861"/>
      <c r="AB252" s="861"/>
      <c r="AC252" s="861"/>
      <c r="AD252" s="861"/>
      <c r="AE252" s="861"/>
      <c r="AF252" s="861"/>
      <c r="AG252" s="861"/>
    </row>
    <row r="253" spans="1:33" s="878" customFormat="1" ht="17.25" customHeight="1">
      <c r="A253" s="861"/>
      <c r="B253" s="861"/>
      <c r="C253" s="861"/>
      <c r="D253" s="861"/>
      <c r="E253" s="861"/>
      <c r="F253" s="861"/>
      <c r="G253" s="861"/>
      <c r="H253" s="861"/>
      <c r="I253" s="861"/>
      <c r="J253" s="861"/>
      <c r="K253" s="861"/>
      <c r="L253" s="861"/>
      <c r="M253" s="861"/>
      <c r="N253" s="861"/>
      <c r="O253" s="861"/>
      <c r="P253" s="861"/>
      <c r="Q253" s="861"/>
      <c r="R253" s="861"/>
      <c r="S253" s="861"/>
      <c r="T253" s="861"/>
      <c r="U253" s="861"/>
      <c r="V253" s="861"/>
      <c r="W253" s="861"/>
      <c r="X253" s="861"/>
      <c r="Y253" s="861"/>
      <c r="Z253" s="861"/>
      <c r="AA253" s="861"/>
      <c r="AB253" s="861"/>
      <c r="AC253" s="861"/>
      <c r="AD253" s="861"/>
      <c r="AE253" s="861"/>
      <c r="AF253" s="861"/>
      <c r="AG253" s="861"/>
    </row>
    <row r="254" spans="1:33" s="878" customFormat="1" ht="17.25" customHeight="1">
      <c r="A254" s="861"/>
      <c r="B254" s="861"/>
      <c r="C254" s="861"/>
      <c r="D254" s="861"/>
      <c r="E254" s="861"/>
      <c r="F254" s="861"/>
      <c r="G254" s="861"/>
      <c r="H254" s="861"/>
      <c r="I254" s="861"/>
      <c r="J254" s="861"/>
      <c r="K254" s="861"/>
      <c r="L254" s="861"/>
      <c r="M254" s="861"/>
      <c r="N254" s="861"/>
      <c r="O254" s="861"/>
      <c r="P254" s="861"/>
      <c r="Q254" s="861"/>
      <c r="R254" s="861"/>
      <c r="S254" s="861"/>
      <c r="T254" s="861"/>
      <c r="U254" s="861"/>
      <c r="V254" s="861"/>
      <c r="W254" s="861"/>
      <c r="X254" s="861"/>
      <c r="Y254" s="861"/>
      <c r="Z254" s="861"/>
      <c r="AA254" s="861"/>
      <c r="AB254" s="861"/>
      <c r="AC254" s="861"/>
      <c r="AD254" s="861"/>
      <c r="AE254" s="861"/>
      <c r="AF254" s="861"/>
      <c r="AG254" s="861"/>
    </row>
    <row r="255" spans="1:33" s="878" customFormat="1" ht="17.25" customHeight="1">
      <c r="A255" s="861"/>
      <c r="B255" s="861"/>
      <c r="C255" s="861"/>
      <c r="D255" s="861"/>
      <c r="E255" s="861"/>
      <c r="F255" s="861"/>
      <c r="G255" s="861"/>
      <c r="H255" s="861"/>
      <c r="I255" s="861"/>
      <c r="J255" s="861"/>
      <c r="K255" s="861"/>
      <c r="L255" s="861"/>
      <c r="M255" s="861"/>
      <c r="N255" s="861"/>
      <c r="O255" s="861"/>
      <c r="P255" s="861"/>
      <c r="Q255" s="861"/>
      <c r="R255" s="861"/>
      <c r="S255" s="861"/>
      <c r="T255" s="861"/>
      <c r="U255" s="861"/>
      <c r="V255" s="861"/>
      <c r="W255" s="861"/>
      <c r="X255" s="861"/>
      <c r="Y255" s="861"/>
      <c r="Z255" s="861"/>
      <c r="AA255" s="861"/>
      <c r="AB255" s="861"/>
      <c r="AC255" s="861"/>
      <c r="AD255" s="861"/>
      <c r="AE255" s="861"/>
      <c r="AF255" s="861"/>
      <c r="AG255" s="861"/>
    </row>
    <row r="256" spans="1:33" s="878" customFormat="1" ht="17.25" customHeight="1">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c r="AA256" s="861"/>
      <c r="AB256" s="861"/>
      <c r="AC256" s="861"/>
      <c r="AD256" s="861"/>
      <c r="AE256" s="861"/>
      <c r="AF256" s="861"/>
      <c r="AG256" s="861"/>
    </row>
    <row r="257" spans="1:33" s="878" customFormat="1" ht="17.25" customHeight="1">
      <c r="A257" s="861"/>
      <c r="B257" s="861"/>
      <c r="C257" s="861"/>
      <c r="D257" s="861"/>
      <c r="E257" s="861"/>
      <c r="F257" s="861"/>
      <c r="G257" s="861"/>
      <c r="H257" s="861"/>
      <c r="I257" s="861"/>
      <c r="J257" s="861"/>
      <c r="K257" s="861"/>
      <c r="L257" s="861"/>
      <c r="M257" s="861"/>
      <c r="N257" s="861"/>
      <c r="O257" s="861"/>
      <c r="P257" s="861"/>
      <c r="Q257" s="861"/>
      <c r="R257" s="861"/>
      <c r="S257" s="861"/>
      <c r="T257" s="861"/>
      <c r="U257" s="861"/>
      <c r="V257" s="861"/>
      <c r="W257" s="861"/>
      <c r="X257" s="861"/>
      <c r="Y257" s="861"/>
      <c r="Z257" s="861"/>
      <c r="AA257" s="861"/>
      <c r="AB257" s="861"/>
      <c r="AC257" s="861"/>
      <c r="AD257" s="861"/>
      <c r="AE257" s="861"/>
      <c r="AF257" s="861"/>
      <c r="AG257" s="861"/>
    </row>
    <row r="258" spans="1:33" s="878" customFormat="1" ht="17.25" customHeight="1">
      <c r="A258" s="861"/>
      <c r="B258" s="861"/>
      <c r="C258" s="861"/>
      <c r="D258" s="861"/>
      <c r="E258" s="861"/>
      <c r="F258" s="861"/>
      <c r="G258" s="861"/>
      <c r="H258" s="861"/>
      <c r="I258" s="861"/>
      <c r="J258" s="861"/>
      <c r="K258" s="861"/>
      <c r="L258" s="861"/>
      <c r="M258" s="861"/>
      <c r="N258" s="861"/>
      <c r="O258" s="861"/>
      <c r="P258" s="861"/>
      <c r="Q258" s="861"/>
      <c r="R258" s="861"/>
      <c r="S258" s="861"/>
      <c r="T258" s="861"/>
      <c r="U258" s="861"/>
      <c r="V258" s="861"/>
      <c r="W258" s="861"/>
      <c r="X258" s="861"/>
      <c r="Y258" s="861"/>
      <c r="Z258" s="861"/>
      <c r="AA258" s="861"/>
      <c r="AB258" s="861"/>
      <c r="AC258" s="861"/>
      <c r="AD258" s="861"/>
      <c r="AE258" s="861"/>
      <c r="AF258" s="861"/>
      <c r="AG258" s="861"/>
    </row>
    <row r="259" spans="1:33" s="878" customFormat="1" ht="17.25" customHeight="1">
      <c r="A259" s="861"/>
      <c r="B259" s="861"/>
      <c r="C259" s="861"/>
      <c r="D259" s="861"/>
      <c r="E259" s="861"/>
      <c r="F259" s="861"/>
      <c r="G259" s="861"/>
      <c r="H259" s="861"/>
      <c r="I259" s="861"/>
      <c r="J259" s="861"/>
      <c r="K259" s="861"/>
      <c r="L259" s="861"/>
      <c r="M259" s="861"/>
      <c r="N259" s="861"/>
      <c r="O259" s="861"/>
      <c r="P259" s="861"/>
      <c r="Q259" s="861"/>
      <c r="R259" s="861"/>
      <c r="S259" s="861"/>
      <c r="T259" s="861"/>
      <c r="U259" s="861"/>
      <c r="V259" s="861"/>
      <c r="W259" s="861"/>
      <c r="X259" s="861"/>
      <c r="Y259" s="861"/>
      <c r="Z259" s="861"/>
      <c r="AA259" s="861"/>
      <c r="AB259" s="861"/>
      <c r="AC259" s="861"/>
      <c r="AD259" s="861"/>
      <c r="AE259" s="861"/>
      <c r="AF259" s="861"/>
      <c r="AG259" s="861"/>
    </row>
    <row r="260" spans="1:33" s="878" customFormat="1" ht="17.25" customHeight="1">
      <c r="A260" s="861"/>
      <c r="B260" s="861"/>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c r="AA260" s="861"/>
      <c r="AB260" s="861"/>
      <c r="AC260" s="861"/>
      <c r="AD260" s="861"/>
      <c r="AE260" s="861"/>
      <c r="AF260" s="861"/>
      <c r="AG260" s="861"/>
    </row>
    <row r="261" spans="1:33" s="878" customFormat="1" ht="17.25" customHeight="1">
      <c r="A261" s="861"/>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861"/>
      <c r="AF261" s="861"/>
      <c r="AG261" s="861"/>
    </row>
    <row r="262" spans="1:33" s="878" customFormat="1" ht="17.25" customHeight="1">
      <c r="A262" s="861"/>
      <c r="B262" s="861"/>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c r="AA262" s="861"/>
      <c r="AB262" s="861"/>
      <c r="AC262" s="861"/>
      <c r="AD262" s="861"/>
      <c r="AE262" s="861"/>
      <c r="AF262" s="861"/>
      <c r="AG262" s="861"/>
    </row>
    <row r="263" spans="1:33" s="878" customFormat="1" ht="17.25" customHeight="1">
      <c r="A263" s="861"/>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c r="AA263" s="861"/>
      <c r="AB263" s="861"/>
      <c r="AC263" s="861"/>
      <c r="AD263" s="861"/>
      <c r="AE263" s="861"/>
      <c r="AF263" s="861"/>
      <c r="AG263" s="861"/>
    </row>
    <row r="264" spans="1:33" s="878" customFormat="1" ht="17.25" customHeight="1">
      <c r="A264" s="861"/>
      <c r="B264" s="861"/>
      <c r="C264" s="861"/>
      <c r="D264" s="861"/>
      <c r="E264" s="861"/>
      <c r="F264" s="861"/>
      <c r="G264" s="861"/>
      <c r="H264" s="861"/>
      <c r="I264" s="861"/>
      <c r="J264" s="861"/>
      <c r="K264" s="861"/>
      <c r="L264" s="861"/>
      <c r="M264" s="861"/>
      <c r="N264" s="861"/>
      <c r="O264" s="861"/>
      <c r="P264" s="861"/>
      <c r="Q264" s="861"/>
      <c r="R264" s="861"/>
      <c r="S264" s="861"/>
      <c r="T264" s="861"/>
      <c r="U264" s="861"/>
      <c r="V264" s="861"/>
      <c r="W264" s="861"/>
      <c r="X264" s="861"/>
      <c r="Y264" s="861"/>
      <c r="Z264" s="861"/>
      <c r="AA264" s="861"/>
      <c r="AB264" s="861"/>
      <c r="AC264" s="861"/>
      <c r="AD264" s="861"/>
      <c r="AE264" s="861"/>
      <c r="AF264" s="861"/>
      <c r="AG264" s="861"/>
    </row>
    <row r="265" spans="1:33" ht="17.25" customHeight="1">
      <c r="A265" s="861"/>
      <c r="B265" s="861"/>
      <c r="C265" s="861"/>
      <c r="D265" s="861"/>
      <c r="E265" s="861"/>
      <c r="F265" s="861"/>
      <c r="G265" s="861"/>
      <c r="H265" s="861"/>
      <c r="I265" s="861"/>
      <c r="J265" s="861"/>
      <c r="K265" s="861"/>
      <c r="L265" s="861"/>
      <c r="M265" s="861"/>
      <c r="N265" s="861"/>
      <c r="O265" s="861"/>
      <c r="P265" s="861"/>
      <c r="Q265" s="861"/>
      <c r="R265" s="861"/>
      <c r="S265" s="861"/>
      <c r="T265" s="861"/>
      <c r="U265" s="861"/>
      <c r="V265" s="861"/>
      <c r="W265" s="861"/>
      <c r="X265" s="861"/>
      <c r="Y265" s="861"/>
      <c r="Z265" s="861"/>
      <c r="AA265" s="861"/>
      <c r="AB265" s="861"/>
      <c r="AC265" s="861"/>
      <c r="AD265" s="861"/>
      <c r="AE265" s="861"/>
      <c r="AF265" s="861"/>
      <c r="AG265" s="861"/>
    </row>
    <row r="266" spans="1:33" ht="17.25" customHeight="1">
      <c r="A266" s="861"/>
      <c r="B266" s="861"/>
      <c r="C266" s="861"/>
      <c r="D266" s="861"/>
      <c r="E266" s="861"/>
      <c r="F266" s="861"/>
      <c r="G266" s="861"/>
      <c r="H266" s="861"/>
      <c r="I266" s="861"/>
      <c r="J266" s="861"/>
      <c r="K266" s="861"/>
      <c r="L266" s="861"/>
      <c r="M266" s="861"/>
      <c r="N266" s="861"/>
      <c r="O266" s="861"/>
      <c r="P266" s="861"/>
      <c r="Q266" s="861"/>
      <c r="R266" s="861"/>
      <c r="S266" s="861"/>
      <c r="T266" s="861"/>
      <c r="U266" s="861"/>
      <c r="V266" s="861"/>
      <c r="W266" s="861"/>
      <c r="X266" s="861"/>
      <c r="Y266" s="861"/>
      <c r="Z266" s="861"/>
      <c r="AA266" s="861"/>
      <c r="AB266" s="861"/>
      <c r="AC266" s="861"/>
      <c r="AD266" s="861"/>
      <c r="AE266" s="861"/>
      <c r="AF266" s="861"/>
      <c r="AG266" s="861"/>
    </row>
    <row r="267" spans="1:33" ht="17.25" customHeight="1">
      <c r="A267" s="861"/>
      <c r="B267" s="861"/>
      <c r="C267" s="861"/>
      <c r="D267" s="861"/>
      <c r="E267" s="861"/>
      <c r="F267" s="861"/>
      <c r="G267" s="861"/>
      <c r="H267" s="861"/>
      <c r="I267" s="861"/>
      <c r="J267" s="861"/>
      <c r="K267" s="861"/>
      <c r="L267" s="861"/>
      <c r="M267" s="861"/>
      <c r="N267" s="861"/>
      <c r="O267" s="861"/>
      <c r="P267" s="861"/>
      <c r="Q267" s="861"/>
      <c r="R267" s="861"/>
      <c r="S267" s="861"/>
      <c r="T267" s="861"/>
      <c r="U267" s="861"/>
      <c r="V267" s="861"/>
      <c r="W267" s="861"/>
      <c r="X267" s="861"/>
      <c r="Y267" s="861"/>
      <c r="Z267" s="861"/>
      <c r="AA267" s="861"/>
      <c r="AB267" s="861"/>
      <c r="AC267" s="861"/>
      <c r="AD267" s="861"/>
      <c r="AE267" s="861"/>
      <c r="AF267" s="861"/>
      <c r="AG267" s="861"/>
    </row>
    <row r="268" spans="1:33" ht="17.25" customHeight="1">
      <c r="A268" s="861"/>
      <c r="B268" s="861"/>
      <c r="C268" s="861"/>
      <c r="D268" s="861"/>
      <c r="E268" s="861"/>
      <c r="F268" s="861"/>
      <c r="G268" s="861"/>
      <c r="H268" s="861"/>
      <c r="I268" s="861"/>
      <c r="J268" s="861"/>
      <c r="K268" s="861"/>
      <c r="L268" s="861"/>
      <c r="M268" s="861"/>
      <c r="N268" s="861"/>
      <c r="O268" s="861"/>
      <c r="P268" s="861"/>
      <c r="Q268" s="861"/>
      <c r="R268" s="861"/>
      <c r="S268" s="861"/>
      <c r="T268" s="861"/>
      <c r="U268" s="861"/>
      <c r="V268" s="861"/>
      <c r="W268" s="861"/>
      <c r="X268" s="861"/>
      <c r="Y268" s="861"/>
      <c r="Z268" s="861"/>
      <c r="AA268" s="861"/>
      <c r="AB268" s="861"/>
      <c r="AC268" s="861"/>
      <c r="AD268" s="861"/>
      <c r="AE268" s="861"/>
      <c r="AF268" s="861"/>
      <c r="AG268" s="861"/>
    </row>
    <row r="269" spans="1:33" ht="17.25" customHeight="1">
      <c r="A269" s="861"/>
      <c r="B269" s="861"/>
      <c r="C269" s="861"/>
      <c r="D269" s="861"/>
      <c r="E269" s="861"/>
      <c r="F269" s="861"/>
      <c r="G269" s="861"/>
      <c r="H269" s="861"/>
      <c r="I269" s="861"/>
      <c r="J269" s="861"/>
      <c r="K269" s="861"/>
      <c r="L269" s="861"/>
      <c r="M269" s="861"/>
      <c r="N269" s="861"/>
      <c r="O269" s="861"/>
      <c r="P269" s="861"/>
      <c r="Q269" s="861"/>
      <c r="R269" s="861"/>
      <c r="S269" s="861"/>
      <c r="T269" s="861"/>
      <c r="U269" s="861"/>
      <c r="V269" s="861"/>
      <c r="W269" s="861"/>
      <c r="X269" s="861"/>
      <c r="Y269" s="861"/>
      <c r="Z269" s="861"/>
      <c r="AA269" s="861"/>
      <c r="AB269" s="861"/>
      <c r="AC269" s="861"/>
      <c r="AD269" s="861"/>
      <c r="AE269" s="861"/>
      <c r="AF269" s="861"/>
      <c r="AG269" s="861"/>
    </row>
    <row r="270" spans="1:33">
      <c r="A270" s="861"/>
      <c r="B270" s="861"/>
      <c r="C270" s="861"/>
      <c r="D270" s="861"/>
      <c r="E270" s="861"/>
      <c r="F270" s="861"/>
      <c r="G270" s="861"/>
      <c r="H270" s="861"/>
      <c r="I270" s="861"/>
      <c r="J270" s="861"/>
      <c r="K270" s="861"/>
      <c r="L270" s="861"/>
      <c r="M270" s="861"/>
      <c r="N270" s="861"/>
      <c r="O270" s="861"/>
      <c r="P270" s="861"/>
      <c r="Q270" s="861"/>
      <c r="R270" s="861"/>
      <c r="S270" s="861"/>
      <c r="T270" s="861"/>
      <c r="U270" s="861"/>
      <c r="V270" s="861"/>
      <c r="W270" s="861"/>
      <c r="X270" s="861"/>
      <c r="Y270" s="861"/>
      <c r="Z270" s="861"/>
      <c r="AA270" s="861"/>
      <c r="AB270" s="861"/>
      <c r="AC270" s="861"/>
      <c r="AD270" s="861"/>
      <c r="AE270" s="861"/>
      <c r="AF270" s="861"/>
      <c r="AG270" s="861"/>
    </row>
    <row r="271" spans="1:33">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c r="AB271" s="878"/>
      <c r="AC271" s="878"/>
      <c r="AD271" s="878"/>
      <c r="AE271" s="878"/>
      <c r="AF271" s="878"/>
      <c r="AG271" s="878"/>
    </row>
  </sheetData>
  <sheetProtection password="F66A" sheet="1"/>
  <conditionalFormatting sqref="E163">
    <cfRule type="expression" dxfId="332" priority="176">
      <formula>B163=1</formula>
    </cfRule>
  </conditionalFormatting>
  <conditionalFormatting sqref="E191">
    <cfRule type="expression" dxfId="331" priority="175">
      <formula>B191=1</formula>
    </cfRule>
  </conditionalFormatting>
  <conditionalFormatting sqref="E219">
    <cfRule type="expression" dxfId="330" priority="174">
      <formula>B219=1</formula>
    </cfRule>
  </conditionalFormatting>
  <conditionalFormatting sqref="E109">
    <cfRule type="expression" dxfId="329" priority="173">
      <formula>B109=1</formula>
    </cfRule>
  </conditionalFormatting>
  <conditionalFormatting sqref="J24:AG24 J46:AG46">
    <cfRule type="cellIs" dxfId="328" priority="172" stopIfTrue="1" operator="equal">
      <formula>1</formula>
    </cfRule>
  </conditionalFormatting>
  <conditionalFormatting sqref="E31">
    <cfRule type="expression" dxfId="327" priority="170">
      <formula>B31=1</formula>
    </cfRule>
  </conditionalFormatting>
  <conditionalFormatting sqref="E49">
    <cfRule type="expression" dxfId="326" priority="166">
      <formula>B49=1</formula>
    </cfRule>
  </conditionalFormatting>
  <conditionalFormatting sqref="E50">
    <cfRule type="expression" dxfId="325" priority="165">
      <formula>B50=1</formula>
    </cfRule>
  </conditionalFormatting>
  <conditionalFormatting sqref="E51">
    <cfRule type="expression" dxfId="324" priority="164">
      <formula>B51=1</formula>
    </cfRule>
  </conditionalFormatting>
  <conditionalFormatting sqref="E53">
    <cfRule type="expression" dxfId="323" priority="163">
      <formula>B53=1</formula>
    </cfRule>
  </conditionalFormatting>
  <conditionalFormatting sqref="E54">
    <cfRule type="expression" dxfId="322" priority="162">
      <formula>B54=1</formula>
    </cfRule>
  </conditionalFormatting>
  <conditionalFormatting sqref="E55">
    <cfRule type="expression" dxfId="321" priority="161">
      <formula>B55=1</formula>
    </cfRule>
  </conditionalFormatting>
  <conditionalFormatting sqref="E136">
    <cfRule type="expression" dxfId="320" priority="158">
      <formula>B136=1</formula>
    </cfRule>
  </conditionalFormatting>
  <conditionalFormatting sqref="E57">
    <cfRule type="expression" dxfId="319" priority="150">
      <formula>B57=1</formula>
    </cfRule>
  </conditionalFormatting>
  <conditionalFormatting sqref="B29">
    <cfRule type="cellIs" dxfId="318" priority="149" stopIfTrue="1" operator="notEqual">
      <formula>1</formula>
    </cfRule>
  </conditionalFormatting>
  <conditionalFormatting sqref="B28">
    <cfRule type="cellIs" dxfId="317" priority="148" stopIfTrue="1" operator="notEqual">
      <formula>1</formula>
    </cfRule>
  </conditionalFormatting>
  <conditionalFormatting sqref="B30">
    <cfRule type="cellIs" dxfId="316" priority="147" stopIfTrue="1" operator="notEqual">
      <formula>1</formula>
    </cfRule>
  </conditionalFormatting>
  <conditionalFormatting sqref="D3">
    <cfRule type="cellIs" dxfId="315" priority="136" operator="notEqual">
      <formula>0</formula>
    </cfRule>
  </conditionalFormatting>
  <conditionalFormatting sqref="E33">
    <cfRule type="expression" dxfId="314" priority="125">
      <formula>B33=1</formula>
    </cfRule>
  </conditionalFormatting>
  <conditionalFormatting sqref="I24">
    <cfRule type="cellIs" dxfId="313" priority="124" operator="notEqual">
      <formula>0</formula>
    </cfRule>
  </conditionalFormatting>
  <conditionalFormatting sqref="E40">
    <cfRule type="expression" dxfId="312" priority="118">
      <formula>B40=1</formula>
    </cfRule>
  </conditionalFormatting>
  <conditionalFormatting sqref="F10">
    <cfRule type="cellIs" dxfId="311" priority="112" stopIfTrue="1" operator="equal">
      <formula>1</formula>
    </cfRule>
  </conditionalFormatting>
  <conditionalFormatting sqref="C67:C68 C38:C39">
    <cfRule type="expression" dxfId="310" priority="751" stopIfTrue="1">
      <formula>$F$10=0</formula>
    </cfRule>
  </conditionalFormatting>
  <conditionalFormatting sqref="J67:AG68 J14:AG14 J38:AG39">
    <cfRule type="expression" dxfId="309" priority="753" stopIfTrue="1">
      <formula>$F$10=0</formula>
    </cfRule>
    <cfRule type="expression" dxfId="308" priority="754" stopIfTrue="1">
      <formula>J$6=0</formula>
    </cfRule>
  </conditionalFormatting>
  <conditionalFormatting sqref="E39">
    <cfRule type="expression" dxfId="307" priority="9">
      <formula>B39=1</formula>
    </cfRule>
  </conditionalFormatting>
  <conditionalFormatting sqref="E38">
    <cfRule type="expression" dxfId="306" priority="8">
      <formula>B38=1</formula>
    </cfRule>
  </conditionalFormatting>
  <conditionalFormatting sqref="K6:L6 R6:AG6">
    <cfRule type="cellIs" dxfId="305" priority="5" stopIfTrue="1" operator="equal">
      <formula>1</formula>
    </cfRule>
  </conditionalFormatting>
  <conditionalFormatting sqref="J4 K4:AG5">
    <cfRule type="expression" dxfId="304" priority="4" stopIfTrue="1">
      <formula>J$6=1</formula>
    </cfRule>
  </conditionalFormatting>
  <conditionalFormatting sqref="M6:Q6">
    <cfRule type="cellIs" dxfId="303" priority="3" stopIfTrue="1" operator="equal">
      <formula>1</formula>
    </cfRule>
  </conditionalFormatting>
  <conditionalFormatting sqref="J5">
    <cfRule type="expression" dxfId="302" priority="2" stopIfTrue="1">
      <formula>J$6=1</formula>
    </cfRule>
  </conditionalFormatting>
  <conditionalFormatting sqref="J6:AG6">
    <cfRule type="cellIs" dxfId="301" priority="1" stopIfTrue="1" operator="equal">
      <formula>1</formula>
    </cfRule>
  </conditionalFormatting>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ffering2">
    <tabColor rgb="FFFFFF00"/>
    <pageSetUpPr autoPageBreaks="0"/>
  </sheetPr>
  <dimension ref="A1:BU470"/>
  <sheetViews>
    <sheetView showGridLines="0" zoomScale="85" zoomScaleNormal="85"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cols>
    <col min="1" max="1" width="3.7109375" style="878" customWidth="1"/>
    <col min="2" max="2" width="3.85546875" style="878" customWidth="1"/>
    <col min="3" max="3" width="59.42578125" style="878" customWidth="1"/>
    <col min="4" max="4" width="11.42578125" style="878" customWidth="1"/>
    <col min="5" max="5" width="19" style="878" customWidth="1"/>
    <col min="6" max="6" width="17.28515625" style="878" customWidth="1"/>
    <col min="7" max="7" width="14" style="878" customWidth="1"/>
    <col min="8" max="8" width="7.7109375" style="878" customWidth="1"/>
    <col min="9" max="33" width="11.42578125" style="878" customWidth="1"/>
    <col min="34" max="73" width="0" style="878" hidden="1" customWidth="1"/>
    <col min="74" max="16384" width="11.42578125" style="878" hidden="1"/>
  </cols>
  <sheetData>
    <row r="1" spans="1:33" ht="20.25">
      <c r="A1" s="41" t="s">
        <v>963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6.5" customHeight="1">
      <c r="A2" s="127"/>
      <c r="B2" s="127"/>
      <c r="C2" s="268" t="str">
        <f>Timing!C2</f>
        <v>Model: Fictitious 5 Year Forecast</v>
      </c>
      <c r="D2" s="268"/>
      <c r="E2" s="429" t="s">
        <v>148</v>
      </c>
      <c r="F2" s="127"/>
      <c r="G2" s="127"/>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row>
    <row r="3" spans="1:33" ht="16.5" customHeight="1">
      <c r="A3" s="127"/>
      <c r="B3" s="127"/>
      <c r="C3" s="268" t="str">
        <f>Timing!C3</f>
        <v>Model Integrity:</v>
      </c>
      <c r="D3" s="668">
        <f ca="1">Timing!D3</f>
        <v>0</v>
      </c>
      <c r="E3" s="429" t="s">
        <v>149</v>
      </c>
      <c r="F3" s="127"/>
      <c r="G3" s="280"/>
      <c r="H3" s="280"/>
      <c r="I3" s="277"/>
      <c r="J3" s="281"/>
      <c r="K3" s="861"/>
      <c r="L3" s="281"/>
      <c r="M3" s="861"/>
      <c r="N3" s="281"/>
      <c r="O3" s="861"/>
      <c r="P3" s="281"/>
      <c r="Q3" s="861"/>
      <c r="R3" s="281"/>
      <c r="S3" s="861"/>
      <c r="T3" s="281"/>
      <c r="U3" s="861"/>
      <c r="V3" s="281"/>
      <c r="W3" s="861"/>
      <c r="X3" s="281"/>
      <c r="Y3" s="861"/>
      <c r="Z3" s="281"/>
      <c r="AA3" s="861"/>
      <c r="AB3" s="281"/>
      <c r="AC3" s="861"/>
      <c r="AD3" s="281"/>
      <c r="AE3" s="861"/>
      <c r="AF3" s="281"/>
      <c r="AG3" s="861"/>
    </row>
    <row r="4" spans="1:33" ht="16.5" customHeight="1">
      <c r="A4" s="275"/>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6.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6.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16.5" customHeight="1">
      <c r="A7" s="861"/>
      <c r="B7" s="861"/>
      <c r="C7" s="861" t="str">
        <f>Timing!C17</f>
        <v>Month of model</v>
      </c>
      <c r="D7" s="270" t="str">
        <f>Timing!D17</f>
        <v>#</v>
      </c>
      <c r="E7" s="861"/>
      <c r="F7" s="861"/>
      <c r="G7" s="861"/>
      <c r="H7" s="861"/>
      <c r="I7" s="861"/>
      <c r="J7" s="861">
        <f>Timing!J17</f>
        <v>1</v>
      </c>
      <c r="K7" s="861">
        <f>Timing!K17</f>
        <v>2</v>
      </c>
      <c r="L7" s="861">
        <f>Timing!L17</f>
        <v>3</v>
      </c>
      <c r="M7" s="861">
        <f>Timing!M17</f>
        <v>4</v>
      </c>
      <c r="N7" s="861">
        <f>Timing!N17</f>
        <v>5</v>
      </c>
      <c r="O7" s="861">
        <f>Timing!O17</f>
        <v>6</v>
      </c>
      <c r="P7" s="861">
        <f>Timing!P17</f>
        <v>7</v>
      </c>
      <c r="Q7" s="861">
        <f>Timing!Q17</f>
        <v>8</v>
      </c>
      <c r="R7" s="861">
        <f>Timing!R17</f>
        <v>9</v>
      </c>
      <c r="S7" s="861">
        <f>Timing!S17</f>
        <v>10</v>
      </c>
      <c r="T7" s="861">
        <f>Timing!T17</f>
        <v>11</v>
      </c>
      <c r="U7" s="861">
        <f>Timing!U17</f>
        <v>12</v>
      </c>
      <c r="V7" s="861">
        <f>Timing!V17</f>
        <v>13</v>
      </c>
      <c r="W7" s="861">
        <f>Timing!W17</f>
        <v>14</v>
      </c>
      <c r="X7" s="861">
        <f>Timing!X17</f>
        <v>15</v>
      </c>
      <c r="Y7" s="861">
        <f>Timing!Y17</f>
        <v>16</v>
      </c>
      <c r="Z7" s="861">
        <f>Timing!Z17</f>
        <v>17</v>
      </c>
      <c r="AA7" s="861">
        <f>Timing!AA17</f>
        <v>18</v>
      </c>
      <c r="AB7" s="861">
        <f>Timing!AB17</f>
        <v>19</v>
      </c>
      <c r="AC7" s="861">
        <f>Timing!AC17</f>
        <v>20</v>
      </c>
      <c r="AD7" s="861">
        <f>Timing!AD17</f>
        <v>21</v>
      </c>
      <c r="AE7" s="861">
        <f>Timing!AE17</f>
        <v>22</v>
      </c>
      <c r="AF7" s="861">
        <f>Timing!AF17</f>
        <v>23</v>
      </c>
      <c r="AG7" s="861">
        <f>Timing!AG17</f>
        <v>24</v>
      </c>
    </row>
    <row r="8" spans="1:33" ht="16.5" customHeight="1">
      <c r="A8" s="861"/>
      <c r="B8" s="861"/>
      <c r="C8" s="861" t="str">
        <f>Timing!C11</f>
        <v>Calendar Year (Counter)</v>
      </c>
      <c r="D8" s="270" t="str">
        <f>Timing!D11</f>
        <v>#</v>
      </c>
      <c r="E8" s="861"/>
      <c r="F8" s="861"/>
      <c r="G8" s="861"/>
      <c r="H8" s="861"/>
      <c r="I8" s="861"/>
      <c r="J8" s="861">
        <f>Timing!J11</f>
        <v>1</v>
      </c>
      <c r="K8" s="861">
        <f>Timing!K11</f>
        <v>1</v>
      </c>
      <c r="L8" s="861">
        <f>Timing!L11</f>
        <v>1</v>
      </c>
      <c r="M8" s="861">
        <f>Timing!M11</f>
        <v>1</v>
      </c>
      <c r="N8" s="861">
        <f>Timing!N11</f>
        <v>1</v>
      </c>
      <c r="O8" s="861">
        <f>Timing!O11</f>
        <v>1</v>
      </c>
      <c r="P8" s="861">
        <f>Timing!P11</f>
        <v>1</v>
      </c>
      <c r="Q8" s="861">
        <f>Timing!Q11</f>
        <v>1</v>
      </c>
      <c r="R8" s="861">
        <f>Timing!R11</f>
        <v>1</v>
      </c>
      <c r="S8" s="861">
        <f>Timing!S11</f>
        <v>1</v>
      </c>
      <c r="T8" s="861">
        <f>Timing!T11</f>
        <v>1</v>
      </c>
      <c r="U8" s="861">
        <f>Timing!U11</f>
        <v>2</v>
      </c>
      <c r="V8" s="861">
        <f>Timing!V11</f>
        <v>2</v>
      </c>
      <c r="W8" s="861">
        <f>Timing!W11</f>
        <v>2</v>
      </c>
      <c r="X8" s="861">
        <f>Timing!X11</f>
        <v>2</v>
      </c>
      <c r="Y8" s="861">
        <f>Timing!Y11</f>
        <v>2</v>
      </c>
      <c r="Z8" s="861">
        <f>Timing!Z11</f>
        <v>2</v>
      </c>
      <c r="AA8" s="861">
        <f>Timing!AA11</f>
        <v>2</v>
      </c>
      <c r="AB8" s="861">
        <f>Timing!AB11</f>
        <v>2</v>
      </c>
      <c r="AC8" s="861">
        <f>Timing!AC11</f>
        <v>2</v>
      </c>
      <c r="AD8" s="861">
        <f>Timing!AD11</f>
        <v>2</v>
      </c>
      <c r="AE8" s="861">
        <f>Timing!AE11</f>
        <v>2</v>
      </c>
      <c r="AF8" s="861">
        <f>Timing!AF11</f>
        <v>2</v>
      </c>
      <c r="AG8" s="861">
        <f>Timing!AG11</f>
        <v>3</v>
      </c>
    </row>
    <row r="9" spans="1:33" s="737" customFormat="1" ht="17.25" customHeight="1">
      <c r="A9" s="786"/>
      <c r="B9" s="786"/>
      <c r="C9" s="786"/>
      <c r="D9" s="512"/>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row>
    <row r="10" spans="1:33" ht="29.25" customHeight="1" thickBot="1">
      <c r="A10" s="427"/>
      <c r="B10" s="427"/>
      <c r="C10" s="427" t="str">
        <f>"Product/Service 2: "&amp;Inputs!$F$93</f>
        <v>Product/Service 2: WonderMoreX</v>
      </c>
      <c r="D10" s="427"/>
      <c r="E10" s="1043" t="s">
        <v>1011</v>
      </c>
      <c r="F10" s="1019">
        <f>OnOff_PS2</f>
        <v>0</v>
      </c>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row>
    <row r="11" spans="1:33" ht="9.75" customHeight="1">
      <c r="A11" s="861"/>
      <c r="B11" s="861"/>
      <c r="C11" s="861"/>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row>
    <row r="12" spans="1:33" ht="21.75" customHeight="1">
      <c r="A12" s="861"/>
      <c r="B12" s="861"/>
      <c r="C12" s="861"/>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61"/>
      <c r="AC12" s="861"/>
      <c r="AD12" s="861"/>
      <c r="AE12" s="861"/>
      <c r="AF12" s="861"/>
      <c r="AG12" s="861"/>
    </row>
    <row r="13" spans="1:33" ht="17.25" customHeight="1">
      <c r="A13" s="861"/>
      <c r="B13" s="861"/>
      <c r="C13" s="861"/>
      <c r="D13" s="861"/>
      <c r="E13" s="861"/>
      <c r="F13" s="861"/>
      <c r="G13" s="861"/>
      <c r="H13" s="861"/>
      <c r="I13" s="861"/>
      <c r="J13" s="861"/>
      <c r="K13" s="861"/>
      <c r="L13" s="861"/>
      <c r="M13" s="861"/>
      <c r="N13" s="861"/>
      <c r="O13" s="861"/>
      <c r="P13" s="861"/>
      <c r="Q13" s="861"/>
      <c r="R13" s="861"/>
      <c r="S13" s="861"/>
      <c r="T13" s="861"/>
      <c r="U13" s="861"/>
      <c r="V13" s="861"/>
      <c r="W13" s="861"/>
      <c r="X13" s="861"/>
      <c r="Y13" s="861"/>
      <c r="Z13" s="861"/>
      <c r="AA13" s="861"/>
      <c r="AB13" s="861"/>
      <c r="AC13" s="861"/>
      <c r="AD13" s="861"/>
      <c r="AE13" s="861"/>
      <c r="AF13" s="861"/>
      <c r="AG13" s="861"/>
    </row>
    <row r="14" spans="1:33" ht="17.25" customHeight="1">
      <c r="A14" s="861"/>
      <c r="B14" s="861"/>
      <c r="C14" s="861"/>
      <c r="D14" s="861"/>
      <c r="E14" s="861"/>
      <c r="F14" s="861"/>
      <c r="G14" s="861"/>
      <c r="H14" s="861"/>
      <c r="I14" s="861"/>
      <c r="J14" s="861"/>
      <c r="K14" s="861"/>
      <c r="L14" s="861"/>
      <c r="M14" s="861"/>
      <c r="N14" s="861"/>
      <c r="O14" s="861"/>
      <c r="P14" s="861"/>
      <c r="Q14" s="861"/>
      <c r="R14" s="861"/>
      <c r="S14" s="861"/>
      <c r="T14" s="861"/>
      <c r="U14" s="861"/>
      <c r="V14" s="861"/>
      <c r="W14" s="861"/>
      <c r="X14" s="861"/>
      <c r="Y14" s="861"/>
      <c r="Z14" s="861"/>
      <c r="AA14" s="861"/>
      <c r="AB14" s="861"/>
      <c r="AC14" s="861"/>
      <c r="AD14" s="861"/>
      <c r="AE14" s="861"/>
      <c r="AF14" s="861"/>
      <c r="AG14" s="861"/>
    </row>
    <row r="15" spans="1:33" ht="17.25" customHeight="1">
      <c r="A15" s="861"/>
      <c r="B15" s="861"/>
      <c r="C15" s="861"/>
      <c r="D15" s="861"/>
      <c r="E15" s="861"/>
      <c r="F15" s="861"/>
      <c r="G15" s="861"/>
      <c r="H15" s="861"/>
      <c r="I15" s="861"/>
      <c r="J15" s="861"/>
      <c r="K15" s="861"/>
      <c r="L15" s="861"/>
      <c r="M15" s="861"/>
      <c r="N15" s="861"/>
      <c r="O15" s="861"/>
      <c r="P15" s="861"/>
      <c r="Q15" s="861"/>
      <c r="R15" s="861"/>
      <c r="S15" s="861"/>
      <c r="T15" s="861"/>
      <c r="U15" s="861"/>
      <c r="V15" s="861"/>
      <c r="W15" s="861"/>
      <c r="X15" s="861"/>
      <c r="Y15" s="861"/>
      <c r="Z15" s="861"/>
      <c r="AA15" s="861"/>
      <c r="AB15" s="861"/>
      <c r="AC15" s="861"/>
      <c r="AD15" s="861"/>
      <c r="AE15" s="861"/>
      <c r="AF15" s="861"/>
      <c r="AG15" s="861"/>
    </row>
    <row r="16" spans="1:33" ht="17.25" customHeight="1">
      <c r="A16" s="861"/>
      <c r="B16" s="861"/>
      <c r="C16" s="861"/>
      <c r="D16" s="861"/>
      <c r="E16" s="861"/>
      <c r="F16" s="861"/>
      <c r="G16" s="861"/>
      <c r="H16" s="861"/>
      <c r="I16" s="861"/>
      <c r="J16" s="861"/>
      <c r="K16" s="861"/>
      <c r="L16" s="861"/>
      <c r="M16" s="861"/>
      <c r="N16" s="861"/>
      <c r="O16" s="861"/>
      <c r="P16" s="861"/>
      <c r="Q16" s="861"/>
      <c r="R16" s="861"/>
      <c r="S16" s="861"/>
      <c r="T16" s="861"/>
      <c r="U16" s="861"/>
      <c r="V16" s="861"/>
      <c r="W16" s="861"/>
      <c r="X16" s="861"/>
      <c r="Y16" s="861"/>
      <c r="Z16" s="861"/>
      <c r="AA16" s="861"/>
      <c r="AB16" s="861"/>
      <c r="AC16" s="861"/>
      <c r="AD16" s="861"/>
      <c r="AE16" s="861"/>
      <c r="AF16" s="861"/>
      <c r="AG16" s="861"/>
    </row>
    <row r="17" spans="1:33" ht="9" customHeight="1">
      <c r="A17" s="861"/>
      <c r="B17" s="861"/>
      <c r="C17" s="861"/>
      <c r="D17" s="861"/>
      <c r="E17" s="861"/>
      <c r="F17" s="861"/>
      <c r="G17" s="861"/>
      <c r="H17" s="861"/>
      <c r="I17" s="861"/>
      <c r="J17" s="861"/>
      <c r="K17" s="861"/>
      <c r="L17" s="861"/>
      <c r="M17" s="861"/>
      <c r="N17" s="861"/>
      <c r="O17" s="861"/>
      <c r="P17" s="861"/>
      <c r="Q17" s="861"/>
      <c r="R17" s="861"/>
      <c r="S17" s="861"/>
      <c r="T17" s="861"/>
      <c r="U17" s="861"/>
      <c r="V17" s="861"/>
      <c r="W17" s="861"/>
      <c r="X17" s="861"/>
      <c r="Y17" s="861"/>
      <c r="Z17" s="861"/>
      <c r="AA17" s="861"/>
      <c r="AB17" s="861"/>
      <c r="AC17" s="861"/>
      <c r="AD17" s="861"/>
      <c r="AE17" s="861"/>
      <c r="AF17" s="861"/>
      <c r="AG17" s="861"/>
    </row>
    <row r="18" spans="1:33" ht="17.25" customHeight="1">
      <c r="A18" s="861"/>
      <c r="B18" s="861"/>
      <c r="C18" s="861"/>
      <c r="D18" s="861"/>
      <c r="E18" s="861"/>
      <c r="F18" s="861"/>
      <c r="G18" s="861"/>
      <c r="H18" s="861"/>
      <c r="I18" s="861"/>
      <c r="J18" s="861"/>
      <c r="K18" s="861"/>
      <c r="L18" s="861"/>
      <c r="M18" s="861"/>
      <c r="N18" s="861"/>
      <c r="O18" s="861"/>
      <c r="P18" s="861"/>
      <c r="Q18" s="861"/>
      <c r="R18" s="861"/>
      <c r="S18" s="861"/>
      <c r="T18" s="861"/>
      <c r="U18" s="861"/>
      <c r="V18" s="861"/>
      <c r="W18" s="861"/>
      <c r="X18" s="861"/>
      <c r="Y18" s="861"/>
      <c r="Z18" s="861"/>
      <c r="AA18" s="861"/>
      <c r="AB18" s="861"/>
      <c r="AC18" s="861"/>
      <c r="AD18" s="861"/>
      <c r="AE18" s="861"/>
      <c r="AF18" s="861"/>
      <c r="AG18" s="861"/>
    </row>
    <row r="19" spans="1:33" ht="17.25" customHeight="1">
      <c r="A19" s="861"/>
      <c r="B19" s="861"/>
      <c r="C19" s="861"/>
      <c r="D19" s="861"/>
      <c r="E19" s="861"/>
      <c r="F19" s="861"/>
      <c r="G19" s="861"/>
      <c r="H19" s="861"/>
      <c r="I19" s="861"/>
      <c r="J19" s="861"/>
      <c r="K19" s="861"/>
      <c r="L19" s="861"/>
      <c r="M19" s="861"/>
      <c r="N19" s="861"/>
      <c r="O19" s="861"/>
      <c r="P19" s="861"/>
      <c r="Q19" s="861"/>
      <c r="R19" s="861"/>
      <c r="S19" s="861"/>
      <c r="T19" s="861"/>
      <c r="U19" s="861"/>
      <c r="V19" s="861"/>
      <c r="W19" s="861"/>
      <c r="X19" s="861"/>
      <c r="Y19" s="861"/>
      <c r="Z19" s="861"/>
      <c r="AA19" s="861"/>
      <c r="AB19" s="861"/>
      <c r="AC19" s="861"/>
      <c r="AD19" s="861"/>
      <c r="AE19" s="861"/>
      <c r="AF19" s="861"/>
      <c r="AG19" s="861"/>
    </row>
    <row r="20" spans="1:33" ht="21.75" customHeight="1">
      <c r="A20" s="861"/>
      <c r="B20" s="861"/>
      <c r="C20" s="861"/>
      <c r="D20" s="861"/>
      <c r="E20" s="861"/>
      <c r="F20" s="861"/>
      <c r="G20" s="861"/>
      <c r="H20" s="861"/>
      <c r="I20" s="861"/>
      <c r="J20" s="861"/>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row>
    <row r="21" spans="1:33" ht="17.25" customHeight="1">
      <c r="A21" s="861"/>
      <c r="B21" s="861"/>
      <c r="C21" s="861"/>
      <c r="D21" s="861"/>
      <c r="E21" s="861"/>
      <c r="F21" s="861"/>
      <c r="G21" s="861"/>
      <c r="H21" s="861"/>
      <c r="I21" s="861"/>
      <c r="J21" s="861"/>
      <c r="K21" s="861"/>
      <c r="L21" s="861"/>
      <c r="M21" s="861"/>
      <c r="N21" s="861"/>
      <c r="O21" s="861"/>
      <c r="P21" s="861"/>
      <c r="Q21" s="861"/>
      <c r="R21" s="861"/>
      <c r="S21" s="861"/>
      <c r="T21" s="861"/>
      <c r="U21" s="861"/>
      <c r="V21" s="861"/>
      <c r="W21" s="861"/>
      <c r="X21" s="861"/>
      <c r="Y21" s="861"/>
      <c r="Z21" s="861"/>
      <c r="AA21" s="861"/>
      <c r="AB21" s="861"/>
      <c r="AC21" s="861"/>
      <c r="AD21" s="861"/>
      <c r="AE21" s="861"/>
      <c r="AF21" s="861"/>
      <c r="AG21" s="861"/>
    </row>
    <row r="22" spans="1:33" ht="17.25" customHeight="1">
      <c r="A22" s="861"/>
      <c r="B22" s="861"/>
      <c r="C22" s="861"/>
      <c r="D22" s="861"/>
      <c r="E22" s="861"/>
      <c r="F22" s="861"/>
      <c r="G22" s="861"/>
      <c r="H22" s="861"/>
      <c r="I22" s="861"/>
      <c r="J22" s="861"/>
      <c r="K22" s="861"/>
      <c r="L22" s="861"/>
      <c r="M22" s="861"/>
      <c r="N22" s="861"/>
      <c r="O22" s="861"/>
      <c r="P22" s="861"/>
      <c r="Q22" s="861"/>
      <c r="R22" s="861"/>
      <c r="S22" s="861"/>
      <c r="T22" s="861"/>
      <c r="U22" s="861"/>
      <c r="V22" s="861"/>
      <c r="W22" s="861"/>
      <c r="X22" s="861"/>
      <c r="Y22" s="861"/>
      <c r="Z22" s="861"/>
      <c r="AA22" s="861"/>
      <c r="AB22" s="861"/>
      <c r="AC22" s="861"/>
      <c r="AD22" s="861"/>
      <c r="AE22" s="861"/>
      <c r="AF22" s="861"/>
      <c r="AG22" s="861"/>
    </row>
    <row r="23" spans="1:33" ht="17.25" customHeight="1">
      <c r="A23" s="861"/>
      <c r="B23" s="861"/>
      <c r="C23" s="861"/>
      <c r="D23" s="861"/>
      <c r="E23" s="861"/>
      <c r="F23" s="861"/>
      <c r="G23" s="861"/>
      <c r="H23" s="861"/>
      <c r="I23" s="861"/>
      <c r="J23" s="861"/>
      <c r="K23" s="861"/>
      <c r="L23" s="861"/>
      <c r="M23" s="861"/>
      <c r="N23" s="861"/>
      <c r="O23" s="861"/>
      <c r="P23" s="861"/>
      <c r="Q23" s="861"/>
      <c r="R23" s="861"/>
      <c r="S23" s="861"/>
      <c r="T23" s="861"/>
      <c r="U23" s="861"/>
      <c r="V23" s="861"/>
      <c r="W23" s="861"/>
      <c r="X23" s="861"/>
      <c r="Y23" s="861"/>
      <c r="Z23" s="861"/>
      <c r="AA23" s="861"/>
      <c r="AB23" s="861"/>
      <c r="AC23" s="861"/>
      <c r="AD23" s="861"/>
      <c r="AE23" s="861"/>
      <c r="AF23" s="861"/>
      <c r="AG23" s="861"/>
    </row>
    <row r="24" spans="1:33" ht="17.25" customHeight="1">
      <c r="A24" s="861"/>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row>
    <row r="25" spans="1:33" ht="17.25" customHeight="1">
      <c r="A25" s="861"/>
      <c r="B25" s="861"/>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row>
    <row r="26" spans="1:33" ht="17.25" customHeight="1">
      <c r="A26" s="861"/>
      <c r="B26" s="861"/>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row>
    <row r="27" spans="1:33" ht="17.25" customHeight="1">
      <c r="A27" s="861"/>
      <c r="B27" s="861"/>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row>
    <row r="28" spans="1:33" ht="17.25" customHeight="1">
      <c r="A28" s="861"/>
      <c r="B28" s="861"/>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row>
    <row r="29" spans="1:33" ht="17.25" customHeight="1">
      <c r="A29" s="861"/>
      <c r="B29" s="861"/>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row>
    <row r="30" spans="1:33" ht="17.25" customHeight="1">
      <c r="A30" s="861"/>
      <c r="B30" s="861"/>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row>
    <row r="31" spans="1:33" ht="17.25" customHeight="1">
      <c r="A31" s="861"/>
      <c r="B31" s="861"/>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row>
    <row r="32" spans="1:33" ht="17.25" customHeight="1">
      <c r="A32" s="861"/>
      <c r="B32" s="861"/>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row>
    <row r="33" spans="1:33" ht="17.25" customHeight="1">
      <c r="A33" s="861"/>
      <c r="B33" s="861"/>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row>
    <row r="34" spans="1:33" ht="17.25" customHeight="1">
      <c r="A34" s="861"/>
      <c r="B34" s="861"/>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row>
    <row r="35" spans="1:33" ht="17.25" customHeight="1">
      <c r="A35" s="861"/>
      <c r="B35" s="861"/>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row>
    <row r="36" spans="1:33" ht="17.25" customHeight="1">
      <c r="A36" s="861"/>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row>
    <row r="37" spans="1:33" ht="17.25" customHeight="1">
      <c r="A37" s="861"/>
      <c r="B37" s="861"/>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row>
    <row r="38" spans="1:33" ht="17.25" customHeight="1">
      <c r="A38" s="861"/>
      <c r="B38" s="861"/>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row>
    <row r="39" spans="1:33" ht="17.25" customHeight="1">
      <c r="A39" s="861"/>
      <c r="B39" s="861"/>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row>
    <row r="40" spans="1:33" ht="17.25" customHeight="1">
      <c r="A40" s="861"/>
      <c r="B40" s="861"/>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row>
    <row r="41" spans="1:33" ht="17.25" customHeight="1">
      <c r="A41" s="861"/>
      <c r="B41" s="861"/>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row>
    <row r="42" spans="1:33" ht="17.25" customHeight="1">
      <c r="A42" s="861"/>
      <c r="B42" s="861"/>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row>
    <row r="43" spans="1:33" ht="17.25" customHeight="1">
      <c r="A43" s="861"/>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row>
    <row r="44" spans="1:33" ht="21.75" customHeight="1">
      <c r="A44" s="861"/>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row>
    <row r="45" spans="1:33" ht="17.25" customHeight="1">
      <c r="A45" s="861"/>
      <c r="B45" s="861"/>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row>
    <row r="46" spans="1:33" ht="17.25" customHeight="1">
      <c r="A46" s="861"/>
      <c r="B46" s="861"/>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row>
    <row r="47" spans="1:33" ht="17.25" customHeight="1">
      <c r="A47" s="861"/>
      <c r="B47" s="861"/>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row>
    <row r="48" spans="1:33" ht="17.25" customHeight="1">
      <c r="A48" s="861"/>
      <c r="B48" s="861"/>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row>
    <row r="49" spans="1:33" ht="17.25" customHeight="1">
      <c r="A49" s="861"/>
      <c r="B49" s="861"/>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row>
    <row r="50" spans="1:33" ht="17.25" customHeight="1">
      <c r="A50" s="861"/>
      <c r="B50" s="861"/>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row>
    <row r="51" spans="1:33" ht="17.25" customHeight="1">
      <c r="A51" s="861"/>
      <c r="B51" s="861"/>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row>
    <row r="52" spans="1:33" ht="17.25" customHeight="1">
      <c r="A52" s="861"/>
      <c r="B52" s="861"/>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row>
    <row r="53" spans="1:33" ht="17.25" customHeight="1">
      <c r="A53" s="861"/>
      <c r="B53" s="861"/>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row>
    <row r="54" spans="1:33" ht="17.25" customHeight="1">
      <c r="A54" s="861"/>
      <c r="B54" s="861"/>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row>
    <row r="55" spans="1:33" ht="17.25" customHeight="1">
      <c r="A55" s="861"/>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row>
    <row r="56" spans="1:33" ht="17.25" customHeight="1">
      <c r="A56" s="861"/>
      <c r="B56" s="861"/>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row>
    <row r="57" spans="1:33" ht="17.25" customHeight="1">
      <c r="A57" s="861"/>
      <c r="B57" s="861"/>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row>
    <row r="58" spans="1:33" ht="17.25" customHeight="1">
      <c r="A58" s="861"/>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row>
    <row r="59" spans="1:33" ht="21.75" customHeight="1">
      <c r="A59" s="861"/>
      <c r="B59" s="861"/>
      <c r="C59" s="861"/>
      <c r="D59" s="861"/>
      <c r="E59" s="861"/>
      <c r="F59" s="861"/>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row>
    <row r="60" spans="1:33" ht="17.25" customHeight="1">
      <c r="A60" s="861"/>
      <c r="B60" s="861"/>
      <c r="C60" s="861"/>
      <c r="D60" s="861"/>
      <c r="E60" s="861"/>
      <c r="F60" s="861"/>
      <c r="G60" s="861"/>
      <c r="H60" s="861"/>
      <c r="I60" s="861"/>
      <c r="J60" s="861"/>
      <c r="K60" s="861"/>
      <c r="L60" s="861"/>
      <c r="M60" s="861"/>
      <c r="N60" s="861"/>
      <c r="O60" s="861"/>
      <c r="P60" s="861"/>
      <c r="Q60" s="861"/>
      <c r="R60" s="861"/>
      <c r="S60" s="861"/>
      <c r="T60" s="861"/>
      <c r="U60" s="861"/>
      <c r="V60" s="861"/>
      <c r="W60" s="861"/>
      <c r="X60" s="861"/>
      <c r="Y60" s="861"/>
      <c r="Z60" s="861"/>
      <c r="AA60" s="861"/>
      <c r="AB60" s="861"/>
      <c r="AC60" s="861"/>
      <c r="AD60" s="861"/>
      <c r="AE60" s="861"/>
      <c r="AF60" s="861"/>
      <c r="AG60" s="861"/>
    </row>
    <row r="61" spans="1:33" ht="17.25" customHeight="1">
      <c r="A61" s="861"/>
      <c r="B61" s="861"/>
      <c r="C61" s="861"/>
      <c r="D61" s="861"/>
      <c r="E61" s="861"/>
      <c r="F61" s="861"/>
      <c r="G61" s="861"/>
      <c r="H61" s="861"/>
      <c r="I61" s="861"/>
      <c r="J61" s="861"/>
      <c r="K61" s="861"/>
      <c r="L61" s="861"/>
      <c r="M61" s="861"/>
      <c r="N61" s="861"/>
      <c r="O61" s="861"/>
      <c r="P61" s="861"/>
      <c r="Q61" s="861"/>
      <c r="R61" s="861"/>
      <c r="S61" s="861"/>
      <c r="T61" s="861"/>
      <c r="U61" s="861"/>
      <c r="V61" s="861"/>
      <c r="W61" s="861"/>
      <c r="X61" s="861"/>
      <c r="Y61" s="861"/>
      <c r="Z61" s="861"/>
      <c r="AA61" s="861"/>
      <c r="AB61" s="861"/>
      <c r="AC61" s="861"/>
      <c r="AD61" s="861"/>
      <c r="AE61" s="861"/>
      <c r="AF61" s="861"/>
      <c r="AG61" s="861"/>
    </row>
    <row r="62" spans="1:33" ht="17.25" customHeight="1">
      <c r="A62" s="861"/>
      <c r="B62" s="861"/>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row>
    <row r="63" spans="1:33" ht="17.25" customHeight="1">
      <c r="A63" s="861"/>
      <c r="B63" s="861"/>
      <c r="C63" s="861"/>
      <c r="D63" s="861"/>
      <c r="E63" s="861"/>
      <c r="F63" s="86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row>
    <row r="64" spans="1:33" ht="17.25" customHeight="1">
      <c r="A64" s="861"/>
      <c r="B64" s="861"/>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row>
    <row r="65" spans="1:33" ht="17.25" customHeight="1">
      <c r="A65" s="861"/>
      <c r="B65" s="861"/>
      <c r="C65" s="861"/>
      <c r="D65" s="861"/>
      <c r="E65" s="861"/>
      <c r="F65" s="861"/>
      <c r="G65" s="861"/>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row>
    <row r="66" spans="1:33" ht="17.25" customHeight="1">
      <c r="A66" s="861"/>
      <c r="B66" s="861"/>
      <c r="C66" s="861"/>
      <c r="D66" s="861"/>
      <c r="E66" s="861"/>
      <c r="F66" s="861"/>
      <c r="G66" s="861"/>
      <c r="H66" s="861"/>
      <c r="I66" s="861"/>
      <c r="J66" s="861"/>
      <c r="K66" s="861"/>
      <c r="L66" s="861"/>
      <c r="M66" s="861"/>
      <c r="N66" s="861"/>
      <c r="O66" s="861"/>
      <c r="P66" s="861"/>
      <c r="Q66" s="861"/>
      <c r="R66" s="861"/>
      <c r="S66" s="861"/>
      <c r="T66" s="861"/>
      <c r="U66" s="861"/>
      <c r="V66" s="861"/>
      <c r="W66" s="861"/>
      <c r="X66" s="861"/>
      <c r="Y66" s="861"/>
      <c r="Z66" s="861"/>
      <c r="AA66" s="861"/>
      <c r="AB66" s="861"/>
      <c r="AC66" s="861"/>
      <c r="AD66" s="861"/>
      <c r="AE66" s="861"/>
      <c r="AF66" s="861"/>
      <c r="AG66" s="861"/>
    </row>
    <row r="67" spans="1:33" ht="17.25" customHeight="1">
      <c r="A67" s="861"/>
      <c r="B67" s="861"/>
      <c r="C67" s="861"/>
      <c r="D67" s="861"/>
      <c r="E67" s="861"/>
      <c r="F67" s="861"/>
      <c r="G67" s="861"/>
      <c r="H67" s="861"/>
      <c r="I67" s="861"/>
      <c r="J67" s="861"/>
      <c r="K67" s="861"/>
      <c r="L67" s="861"/>
      <c r="M67" s="861"/>
      <c r="N67" s="861"/>
      <c r="O67" s="861"/>
      <c r="P67" s="861"/>
      <c r="Q67" s="861"/>
      <c r="R67" s="861"/>
      <c r="S67" s="861"/>
      <c r="T67" s="861"/>
      <c r="U67" s="861"/>
      <c r="V67" s="861"/>
      <c r="W67" s="861"/>
      <c r="X67" s="861"/>
      <c r="Y67" s="861"/>
      <c r="Z67" s="861"/>
      <c r="AA67" s="861"/>
      <c r="AB67" s="861"/>
      <c r="AC67" s="861"/>
      <c r="AD67" s="861"/>
      <c r="AE67" s="861"/>
      <c r="AF67" s="861"/>
      <c r="AG67" s="861"/>
    </row>
    <row r="68" spans="1:33" ht="17.25" customHeight="1">
      <c r="A68" s="861"/>
      <c r="B68" s="861"/>
      <c r="C68" s="861"/>
      <c r="D68" s="861"/>
      <c r="E68" s="861"/>
      <c r="F68" s="861"/>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row>
    <row r="69" spans="1:33" ht="17.25" customHeight="1">
      <c r="A69" s="861"/>
      <c r="B69" s="861"/>
      <c r="C69" s="861"/>
      <c r="D69" s="861"/>
      <c r="E69" s="861"/>
      <c r="F69" s="861"/>
      <c r="G69" s="861"/>
      <c r="H69" s="861"/>
      <c r="I69" s="861"/>
      <c r="J69" s="861"/>
      <c r="K69" s="861"/>
      <c r="L69" s="861"/>
      <c r="M69" s="861"/>
      <c r="N69" s="861"/>
      <c r="O69" s="861"/>
      <c r="P69" s="861"/>
      <c r="Q69" s="861"/>
      <c r="R69" s="861"/>
      <c r="S69" s="861"/>
      <c r="T69" s="861"/>
      <c r="U69" s="861"/>
      <c r="V69" s="861"/>
      <c r="W69" s="861"/>
      <c r="X69" s="861"/>
      <c r="Y69" s="861"/>
      <c r="Z69" s="861"/>
      <c r="AA69" s="861"/>
      <c r="AB69" s="861"/>
      <c r="AC69" s="861"/>
      <c r="AD69" s="861"/>
      <c r="AE69" s="861"/>
      <c r="AF69" s="861"/>
      <c r="AG69" s="861"/>
    </row>
    <row r="70" spans="1:33" ht="17.25" customHeight="1">
      <c r="A70" s="861"/>
      <c r="B70" s="861"/>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AE70" s="861"/>
      <c r="AF70" s="861"/>
      <c r="AG70" s="861"/>
    </row>
    <row r="71" spans="1:33" ht="17.25" customHeight="1">
      <c r="A71" s="861"/>
      <c r="B71" s="861"/>
      <c r="C71" s="861"/>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row>
    <row r="72" spans="1:33" ht="17.25" customHeight="1">
      <c r="A72" s="861"/>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row>
    <row r="73" spans="1:33" ht="17.25" customHeight="1">
      <c r="A73" s="861"/>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row>
    <row r="74" spans="1:33" ht="21.75" customHeight="1">
      <c r="A74" s="861"/>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row>
    <row r="75" spans="1:33" ht="17.25" customHeight="1">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row>
    <row r="76" spans="1:33" ht="17.25" customHeight="1">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row>
    <row r="77" spans="1:33" ht="17.25" customHeight="1">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row>
    <row r="78" spans="1:33" ht="17.25" customHeight="1">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row>
    <row r="79" spans="1:33" ht="17.25" customHeight="1">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row>
    <row r="80" spans="1:33" ht="21.75" customHeight="1">
      <c r="A80" s="861"/>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row>
    <row r="81" spans="1:33" ht="17.25" customHeight="1">
      <c r="A81" s="861"/>
      <c r="B81" s="861"/>
      <c r="C81" s="861"/>
      <c r="D81" s="861"/>
      <c r="E81" s="861"/>
      <c r="F81" s="861"/>
      <c r="G81" s="861"/>
      <c r="H81" s="861"/>
      <c r="I81" s="861"/>
      <c r="J81" s="861"/>
      <c r="K81" s="861"/>
      <c r="L81" s="861"/>
      <c r="M81" s="861"/>
      <c r="N81" s="861"/>
      <c r="O81" s="861"/>
      <c r="P81" s="861"/>
      <c r="Q81" s="861"/>
      <c r="R81" s="861"/>
      <c r="S81" s="861"/>
      <c r="T81" s="861"/>
      <c r="U81" s="861"/>
      <c r="V81" s="861"/>
      <c r="W81" s="861"/>
      <c r="X81" s="861"/>
      <c r="Y81" s="861"/>
      <c r="Z81" s="861"/>
      <c r="AA81" s="861"/>
      <c r="AB81" s="861"/>
      <c r="AC81" s="861"/>
      <c r="AD81" s="861"/>
      <c r="AE81" s="861"/>
      <c r="AF81" s="861"/>
      <c r="AG81" s="861"/>
    </row>
    <row r="82" spans="1:33" ht="17.25" customHeight="1">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row>
    <row r="83" spans="1:33" ht="17.25" customHeight="1">
      <c r="A83" s="861"/>
      <c r="B83" s="861"/>
      <c r="C83" s="861"/>
      <c r="D83" s="861"/>
      <c r="E83" s="861"/>
      <c r="F83" s="861"/>
      <c r="G83" s="861"/>
      <c r="H83" s="861"/>
      <c r="I83" s="861"/>
      <c r="J83" s="861"/>
      <c r="K83" s="861"/>
      <c r="L83" s="861"/>
      <c r="M83" s="861"/>
      <c r="N83" s="861"/>
      <c r="O83" s="861"/>
      <c r="P83" s="861"/>
      <c r="Q83" s="861"/>
      <c r="R83" s="861"/>
      <c r="S83" s="861"/>
      <c r="T83" s="861"/>
      <c r="U83" s="861"/>
      <c r="V83" s="861"/>
      <c r="W83" s="861"/>
      <c r="X83" s="861"/>
      <c r="Y83" s="861"/>
      <c r="Z83" s="861"/>
      <c r="AA83" s="861"/>
      <c r="AB83" s="861"/>
      <c r="AC83" s="861"/>
      <c r="AD83" s="861"/>
      <c r="AE83" s="861"/>
      <c r="AF83" s="861"/>
      <c r="AG83" s="861"/>
    </row>
    <row r="84" spans="1:33" ht="17.25" customHeight="1">
      <c r="A84" s="861"/>
      <c r="B84" s="861"/>
      <c r="C84" s="861"/>
      <c r="D84" s="861"/>
      <c r="E84" s="861"/>
      <c r="F84" s="861"/>
      <c r="G84" s="861"/>
      <c r="H84" s="861"/>
      <c r="I84" s="861"/>
      <c r="J84" s="861"/>
      <c r="K84" s="861"/>
      <c r="L84" s="861"/>
      <c r="M84" s="861"/>
      <c r="N84" s="861"/>
      <c r="O84" s="861"/>
      <c r="P84" s="861"/>
      <c r="Q84" s="861"/>
      <c r="R84" s="861"/>
      <c r="S84" s="861"/>
      <c r="T84" s="861"/>
      <c r="U84" s="861"/>
      <c r="V84" s="861"/>
      <c r="W84" s="861"/>
      <c r="X84" s="861"/>
      <c r="Y84" s="861"/>
      <c r="Z84" s="861"/>
      <c r="AA84" s="861"/>
      <c r="AB84" s="861"/>
      <c r="AC84" s="861"/>
      <c r="AD84" s="861"/>
      <c r="AE84" s="861"/>
      <c r="AF84" s="861"/>
      <c r="AG84" s="861"/>
    </row>
    <row r="85" spans="1:33" ht="17.25" customHeight="1">
      <c r="A85" s="861"/>
      <c r="B85" s="861"/>
      <c r="C85" s="861"/>
      <c r="D85" s="861"/>
      <c r="E85" s="861"/>
      <c r="F85" s="861"/>
      <c r="G85" s="861"/>
      <c r="H85" s="861"/>
      <c r="I85" s="861"/>
      <c r="J85" s="861"/>
      <c r="K85" s="861"/>
      <c r="L85" s="861"/>
      <c r="M85" s="861"/>
      <c r="N85" s="861"/>
      <c r="O85" s="861"/>
      <c r="P85" s="861"/>
      <c r="Q85" s="861"/>
      <c r="R85" s="861"/>
      <c r="S85" s="861"/>
      <c r="T85" s="861"/>
      <c r="U85" s="861"/>
      <c r="V85" s="861"/>
      <c r="W85" s="861"/>
      <c r="X85" s="861"/>
      <c r="Y85" s="861"/>
      <c r="Z85" s="861"/>
      <c r="AA85" s="861"/>
      <c r="AB85" s="861"/>
      <c r="AC85" s="861"/>
      <c r="AD85" s="861"/>
      <c r="AE85" s="861"/>
      <c r="AF85" s="861"/>
      <c r="AG85" s="861"/>
    </row>
    <row r="86" spans="1:33" ht="17.25" customHeight="1">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row>
    <row r="87" spans="1:33" ht="17.25" customHeight="1">
      <c r="A87" s="861"/>
      <c r="B87" s="861"/>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row>
    <row r="88" spans="1:33" ht="17.25" customHeight="1">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c r="Z88" s="861"/>
      <c r="AA88" s="861"/>
      <c r="AB88" s="861"/>
      <c r="AC88" s="861"/>
      <c r="AD88" s="861"/>
      <c r="AE88" s="861"/>
      <c r="AF88" s="861"/>
      <c r="AG88" s="861"/>
    </row>
    <row r="89" spans="1:33" ht="17.25" customHeight="1">
      <c r="A89" s="861"/>
      <c r="B89" s="861"/>
      <c r="C89" s="861"/>
      <c r="D89" s="861"/>
      <c r="E89" s="861"/>
      <c r="F89" s="861"/>
      <c r="G89" s="861"/>
      <c r="H89" s="861"/>
      <c r="I89" s="861"/>
      <c r="J89" s="861"/>
      <c r="K89" s="861"/>
      <c r="L89" s="861"/>
      <c r="M89" s="861"/>
      <c r="N89" s="861"/>
      <c r="O89" s="861"/>
      <c r="P89" s="861"/>
      <c r="Q89" s="861"/>
      <c r="R89" s="861"/>
      <c r="S89" s="861"/>
      <c r="T89" s="861"/>
      <c r="U89" s="861"/>
      <c r="V89" s="861"/>
      <c r="W89" s="861"/>
      <c r="X89" s="861"/>
      <c r="Y89" s="861"/>
      <c r="Z89" s="861"/>
      <c r="AA89" s="861"/>
      <c r="AB89" s="861"/>
      <c r="AC89" s="861"/>
      <c r="AD89" s="861"/>
      <c r="AE89" s="861"/>
      <c r="AF89" s="861"/>
      <c r="AG89" s="861"/>
    </row>
    <row r="90" spans="1:33" ht="17.25" customHeight="1">
      <c r="A90" s="861"/>
      <c r="B90" s="861"/>
      <c r="C90" s="861"/>
      <c r="D90" s="861"/>
      <c r="E90" s="861"/>
      <c r="F90" s="861"/>
      <c r="G90" s="861"/>
      <c r="H90" s="861"/>
      <c r="I90" s="861"/>
      <c r="J90" s="861"/>
      <c r="K90" s="861"/>
      <c r="L90" s="861"/>
      <c r="M90" s="861"/>
      <c r="N90" s="861"/>
      <c r="O90" s="861"/>
      <c r="P90" s="861"/>
      <c r="Q90" s="861"/>
      <c r="R90" s="861"/>
      <c r="S90" s="861"/>
      <c r="T90" s="861"/>
      <c r="U90" s="861"/>
      <c r="V90" s="861"/>
      <c r="W90" s="861"/>
      <c r="X90" s="861"/>
      <c r="Y90" s="861"/>
      <c r="Z90" s="861"/>
      <c r="AA90" s="861"/>
      <c r="AB90" s="861"/>
      <c r="AC90" s="861"/>
      <c r="AD90" s="861"/>
      <c r="AE90" s="861"/>
      <c r="AF90" s="861"/>
      <c r="AG90" s="861"/>
    </row>
    <row r="91" spans="1:33" ht="17.25" customHeight="1">
      <c r="A91" s="861"/>
      <c r="B91" s="861"/>
      <c r="C91" s="861"/>
      <c r="D91" s="861"/>
      <c r="E91" s="861"/>
      <c r="F91" s="861"/>
      <c r="G91" s="861"/>
      <c r="H91" s="861"/>
      <c r="I91" s="861"/>
      <c r="J91" s="861"/>
      <c r="K91" s="861"/>
      <c r="L91" s="861"/>
      <c r="M91" s="861"/>
      <c r="N91" s="861"/>
      <c r="O91" s="861"/>
      <c r="P91" s="861"/>
      <c r="Q91" s="861"/>
      <c r="R91" s="861"/>
      <c r="S91" s="861"/>
      <c r="T91" s="861"/>
      <c r="U91" s="861"/>
      <c r="V91" s="861"/>
      <c r="W91" s="861"/>
      <c r="X91" s="861"/>
      <c r="Y91" s="861"/>
      <c r="Z91" s="861"/>
      <c r="AA91" s="861"/>
      <c r="AB91" s="861"/>
      <c r="AC91" s="861"/>
      <c r="AD91" s="861"/>
      <c r="AE91" s="861"/>
      <c r="AF91" s="861"/>
      <c r="AG91" s="861"/>
    </row>
    <row r="92" spans="1:33" ht="17.25" customHeight="1">
      <c r="A92" s="861"/>
      <c r="B92" s="861"/>
      <c r="C92" s="861"/>
      <c r="D92" s="861"/>
      <c r="E92" s="861"/>
      <c r="F92" s="861"/>
      <c r="G92" s="861"/>
      <c r="H92" s="861"/>
      <c r="I92" s="861"/>
      <c r="J92" s="861"/>
      <c r="K92" s="861"/>
      <c r="L92" s="861"/>
      <c r="M92" s="861"/>
      <c r="N92" s="861"/>
      <c r="O92" s="861"/>
      <c r="P92" s="861"/>
      <c r="Q92" s="861"/>
      <c r="R92" s="861"/>
      <c r="S92" s="861"/>
      <c r="T92" s="861"/>
      <c r="U92" s="861"/>
      <c r="V92" s="861"/>
      <c r="W92" s="861"/>
      <c r="X92" s="861"/>
      <c r="Y92" s="861"/>
      <c r="Z92" s="861"/>
      <c r="AA92" s="861"/>
      <c r="AB92" s="861"/>
      <c r="AC92" s="861"/>
      <c r="AD92" s="861"/>
      <c r="AE92" s="861"/>
      <c r="AF92" s="861"/>
      <c r="AG92" s="861"/>
    </row>
    <row r="93" spans="1:33" ht="17.25" customHeight="1">
      <c r="A93" s="861"/>
      <c r="B93" s="861"/>
      <c r="C93" s="861"/>
      <c r="D93" s="861"/>
      <c r="E93" s="861"/>
      <c r="F93" s="861"/>
      <c r="G93" s="861"/>
      <c r="H93" s="861"/>
      <c r="I93" s="861"/>
      <c r="J93" s="861"/>
      <c r="K93" s="861"/>
      <c r="L93" s="861"/>
      <c r="M93" s="861"/>
      <c r="N93" s="861"/>
      <c r="O93" s="861"/>
      <c r="P93" s="861"/>
      <c r="Q93" s="861"/>
      <c r="R93" s="861"/>
      <c r="S93" s="861"/>
      <c r="T93" s="861"/>
      <c r="U93" s="861"/>
      <c r="V93" s="861"/>
      <c r="W93" s="861"/>
      <c r="X93" s="861"/>
      <c r="Y93" s="861"/>
      <c r="Z93" s="861"/>
      <c r="AA93" s="861"/>
      <c r="AB93" s="861"/>
      <c r="AC93" s="861"/>
      <c r="AD93" s="861"/>
      <c r="AE93" s="861"/>
      <c r="AF93" s="861"/>
      <c r="AG93" s="861"/>
    </row>
    <row r="94" spans="1:33" ht="17.25" customHeight="1">
      <c r="A94" s="861"/>
      <c r="B94" s="861"/>
      <c r="C94" s="861"/>
      <c r="D94" s="861"/>
      <c r="E94" s="861"/>
      <c r="F94" s="861"/>
      <c r="G94" s="861"/>
      <c r="H94" s="861"/>
      <c r="I94" s="861"/>
      <c r="J94" s="861"/>
      <c r="K94" s="861"/>
      <c r="L94" s="861"/>
      <c r="M94" s="861"/>
      <c r="N94" s="861"/>
      <c r="O94" s="861"/>
      <c r="P94" s="861"/>
      <c r="Q94" s="861"/>
      <c r="R94" s="861"/>
      <c r="S94" s="861"/>
      <c r="T94" s="861"/>
      <c r="U94" s="861"/>
      <c r="V94" s="861"/>
      <c r="W94" s="861"/>
      <c r="X94" s="861"/>
      <c r="Y94" s="861"/>
      <c r="Z94" s="861"/>
      <c r="AA94" s="861"/>
      <c r="AB94" s="861"/>
      <c r="AC94" s="861"/>
      <c r="AD94" s="861"/>
      <c r="AE94" s="861"/>
      <c r="AF94" s="861"/>
      <c r="AG94" s="861"/>
    </row>
    <row r="95" spans="1:33" ht="17.25" customHeight="1">
      <c r="A95" s="861"/>
      <c r="B95" s="861"/>
      <c r="C95" s="861"/>
      <c r="D95" s="861"/>
      <c r="E95" s="861"/>
      <c r="F95" s="861"/>
      <c r="G95" s="861"/>
      <c r="H95" s="861"/>
      <c r="I95" s="861"/>
      <c r="J95" s="861"/>
      <c r="K95" s="861"/>
      <c r="L95" s="861"/>
      <c r="M95" s="861"/>
      <c r="N95" s="861"/>
      <c r="O95" s="861"/>
      <c r="P95" s="861"/>
      <c r="Q95" s="861"/>
      <c r="R95" s="861"/>
      <c r="S95" s="861"/>
      <c r="T95" s="861"/>
      <c r="U95" s="861"/>
      <c r="V95" s="861"/>
      <c r="W95" s="861"/>
      <c r="X95" s="861"/>
      <c r="Y95" s="861"/>
      <c r="Z95" s="861"/>
      <c r="AA95" s="861"/>
      <c r="AB95" s="861"/>
      <c r="AC95" s="861"/>
      <c r="AD95" s="861"/>
      <c r="AE95" s="861"/>
      <c r="AF95" s="861"/>
      <c r="AG95" s="861"/>
    </row>
    <row r="96" spans="1:33" ht="17.25" customHeight="1">
      <c r="A96" s="861"/>
      <c r="B96" s="861"/>
      <c r="C96" s="861"/>
      <c r="D96" s="861"/>
      <c r="E96" s="861"/>
      <c r="F96" s="861"/>
      <c r="G96" s="861"/>
      <c r="H96" s="861"/>
      <c r="I96" s="861"/>
      <c r="J96" s="861"/>
      <c r="K96" s="861"/>
      <c r="L96" s="861"/>
      <c r="M96" s="861"/>
      <c r="N96" s="861"/>
      <c r="O96" s="861"/>
      <c r="P96" s="861"/>
      <c r="Q96" s="861"/>
      <c r="R96" s="861"/>
      <c r="S96" s="861"/>
      <c r="T96" s="861"/>
      <c r="U96" s="861"/>
      <c r="V96" s="861"/>
      <c r="W96" s="861"/>
      <c r="X96" s="861"/>
      <c r="Y96" s="861"/>
      <c r="Z96" s="861"/>
      <c r="AA96" s="861"/>
      <c r="AB96" s="861"/>
      <c r="AC96" s="861"/>
      <c r="AD96" s="861"/>
      <c r="AE96" s="861"/>
      <c r="AF96" s="861"/>
      <c r="AG96" s="861"/>
    </row>
    <row r="97" spans="1:33" ht="17.25" customHeight="1">
      <c r="A97" s="861"/>
      <c r="B97" s="861"/>
      <c r="C97" s="861"/>
      <c r="D97" s="861"/>
      <c r="E97" s="861"/>
      <c r="F97" s="861"/>
      <c r="G97" s="861"/>
      <c r="H97" s="861"/>
      <c r="I97" s="861"/>
      <c r="J97" s="861"/>
      <c r="K97" s="861"/>
      <c r="L97" s="861"/>
      <c r="M97" s="861"/>
      <c r="N97" s="861"/>
      <c r="O97" s="861"/>
      <c r="P97" s="861"/>
      <c r="Q97" s="861"/>
      <c r="R97" s="861"/>
      <c r="S97" s="861"/>
      <c r="T97" s="861"/>
      <c r="U97" s="861"/>
      <c r="V97" s="861"/>
      <c r="W97" s="861"/>
      <c r="X97" s="861"/>
      <c r="Y97" s="861"/>
      <c r="Z97" s="861"/>
      <c r="AA97" s="861"/>
      <c r="AB97" s="861"/>
      <c r="AC97" s="861"/>
      <c r="AD97" s="861"/>
      <c r="AE97" s="861"/>
      <c r="AF97" s="861"/>
      <c r="AG97" s="861"/>
    </row>
    <row r="98" spans="1:33" ht="17.25" customHeight="1">
      <c r="A98" s="861"/>
      <c r="B98" s="861"/>
      <c r="C98" s="861"/>
      <c r="D98" s="861"/>
      <c r="E98" s="861"/>
      <c r="F98" s="861"/>
      <c r="G98" s="861"/>
      <c r="H98" s="861"/>
      <c r="I98" s="861"/>
      <c r="J98" s="861"/>
      <c r="K98" s="861"/>
      <c r="L98" s="861"/>
      <c r="M98" s="861"/>
      <c r="N98" s="861"/>
      <c r="O98" s="861"/>
      <c r="P98" s="861"/>
      <c r="Q98" s="861"/>
      <c r="R98" s="861"/>
      <c r="S98" s="861"/>
      <c r="T98" s="861"/>
      <c r="U98" s="861"/>
      <c r="V98" s="861"/>
      <c r="W98" s="861"/>
      <c r="X98" s="861"/>
      <c r="Y98" s="861"/>
      <c r="Z98" s="861"/>
      <c r="AA98" s="861"/>
      <c r="AB98" s="861"/>
      <c r="AC98" s="861"/>
      <c r="AD98" s="861"/>
      <c r="AE98" s="861"/>
      <c r="AF98" s="861"/>
      <c r="AG98" s="861"/>
    </row>
    <row r="99" spans="1:33" ht="17.25" customHeight="1">
      <c r="A99" s="861"/>
      <c r="B99" s="861"/>
      <c r="C99" s="861"/>
      <c r="D99" s="861"/>
      <c r="E99" s="861"/>
      <c r="F99" s="861"/>
      <c r="G99" s="861"/>
      <c r="H99" s="861"/>
      <c r="I99" s="861"/>
      <c r="J99" s="861"/>
      <c r="K99" s="861"/>
      <c r="L99" s="861"/>
      <c r="M99" s="861"/>
      <c r="N99" s="861"/>
      <c r="O99" s="861"/>
      <c r="P99" s="861"/>
      <c r="Q99" s="861"/>
      <c r="R99" s="861"/>
      <c r="S99" s="861"/>
      <c r="T99" s="861"/>
      <c r="U99" s="861"/>
      <c r="V99" s="861"/>
      <c r="W99" s="861"/>
      <c r="X99" s="861"/>
      <c r="Y99" s="861"/>
      <c r="Z99" s="861"/>
      <c r="AA99" s="861"/>
      <c r="AB99" s="861"/>
      <c r="AC99" s="861"/>
      <c r="AD99" s="861"/>
      <c r="AE99" s="861"/>
      <c r="AF99" s="861"/>
      <c r="AG99" s="861"/>
    </row>
    <row r="100" spans="1:33" ht="17.25" customHeight="1">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c r="Z100" s="861"/>
      <c r="AA100" s="861"/>
      <c r="AB100" s="861"/>
      <c r="AC100" s="861"/>
      <c r="AD100" s="861"/>
      <c r="AE100" s="861"/>
      <c r="AF100" s="861"/>
      <c r="AG100" s="861"/>
    </row>
    <row r="101" spans="1:33" ht="17.25" customHeight="1">
      <c r="A101" s="861"/>
      <c r="B101" s="861"/>
      <c r="C101" s="861"/>
      <c r="D101" s="861"/>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row>
    <row r="102" spans="1:33" ht="17.25" customHeight="1">
      <c r="A102" s="861"/>
      <c r="B102" s="861"/>
      <c r="C102" s="861"/>
      <c r="D102" s="861"/>
      <c r="E102" s="861"/>
      <c r="F102" s="861"/>
      <c r="G102" s="861"/>
      <c r="H102" s="861"/>
      <c r="I102" s="861"/>
      <c r="J102" s="861"/>
      <c r="K102" s="861"/>
      <c r="L102" s="861"/>
      <c r="M102" s="861"/>
      <c r="N102" s="861"/>
      <c r="O102" s="861"/>
      <c r="P102" s="861"/>
      <c r="Q102" s="861"/>
      <c r="R102" s="861"/>
      <c r="S102" s="861"/>
      <c r="T102" s="861"/>
      <c r="U102" s="861"/>
      <c r="V102" s="861"/>
      <c r="W102" s="861"/>
      <c r="X102" s="861"/>
      <c r="Y102" s="861"/>
      <c r="Z102" s="861"/>
      <c r="AA102" s="861"/>
      <c r="AB102" s="861"/>
      <c r="AC102" s="861"/>
      <c r="AD102" s="861"/>
      <c r="AE102" s="861"/>
      <c r="AF102" s="861"/>
      <c r="AG102" s="861"/>
    </row>
    <row r="103" spans="1:33" ht="17.25" customHeight="1">
      <c r="A103" s="861"/>
      <c r="B103" s="861"/>
      <c r="C103" s="861"/>
      <c r="D103" s="861"/>
      <c r="E103" s="861"/>
      <c r="F103" s="861"/>
      <c r="G103" s="861"/>
      <c r="H103" s="861"/>
      <c r="I103" s="861"/>
      <c r="J103" s="861"/>
      <c r="K103" s="861"/>
      <c r="L103" s="861"/>
      <c r="M103" s="861"/>
      <c r="N103" s="861"/>
      <c r="O103" s="861"/>
      <c r="P103" s="861"/>
      <c r="Q103" s="861"/>
      <c r="R103" s="861"/>
      <c r="S103" s="861"/>
      <c r="T103" s="861"/>
      <c r="U103" s="861"/>
      <c r="V103" s="861"/>
      <c r="W103" s="861"/>
      <c r="X103" s="861"/>
      <c r="Y103" s="861"/>
      <c r="Z103" s="861"/>
      <c r="AA103" s="861"/>
      <c r="AB103" s="861"/>
      <c r="AC103" s="861"/>
      <c r="AD103" s="861"/>
      <c r="AE103" s="861"/>
      <c r="AF103" s="861"/>
      <c r="AG103" s="861"/>
    </row>
    <row r="104" spans="1:33" ht="17.25" customHeight="1">
      <c r="A104" s="861"/>
      <c r="B104" s="861"/>
      <c r="C104" s="861"/>
      <c r="D104" s="861"/>
      <c r="E104" s="861"/>
      <c r="F104" s="861"/>
      <c r="G104" s="861"/>
      <c r="H104" s="861"/>
      <c r="I104" s="861"/>
      <c r="J104" s="861"/>
      <c r="K104" s="861"/>
      <c r="L104" s="861"/>
      <c r="M104" s="861"/>
      <c r="N104" s="861"/>
      <c r="O104" s="861"/>
      <c r="P104" s="861"/>
      <c r="Q104" s="861"/>
      <c r="R104" s="861"/>
      <c r="S104" s="861"/>
      <c r="T104" s="861"/>
      <c r="U104" s="861"/>
      <c r="V104" s="861"/>
      <c r="W104" s="861"/>
      <c r="X104" s="861"/>
      <c r="Y104" s="861"/>
      <c r="Z104" s="861"/>
      <c r="AA104" s="861"/>
      <c r="AB104" s="861"/>
      <c r="AC104" s="861"/>
      <c r="AD104" s="861"/>
      <c r="AE104" s="861"/>
      <c r="AF104" s="861"/>
      <c r="AG104" s="861"/>
    </row>
    <row r="105" spans="1:33" ht="17.25" customHeight="1">
      <c r="A105" s="861"/>
      <c r="B105" s="861"/>
      <c r="C105" s="861"/>
      <c r="D105" s="861"/>
      <c r="E105" s="861"/>
      <c r="F105" s="861"/>
      <c r="G105" s="861"/>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row>
    <row r="106" spans="1:33" ht="17.25" customHeight="1">
      <c r="A106" s="861"/>
      <c r="B106" s="861"/>
      <c r="C106" s="861"/>
      <c r="D106" s="861"/>
      <c r="E106" s="861"/>
      <c r="F106" s="861"/>
      <c r="G106" s="861"/>
      <c r="H106" s="861"/>
      <c r="I106" s="861"/>
      <c r="J106" s="861"/>
      <c r="K106" s="861"/>
      <c r="L106" s="861"/>
      <c r="M106" s="861"/>
      <c r="N106" s="861"/>
      <c r="O106" s="861"/>
      <c r="P106" s="861"/>
      <c r="Q106" s="861"/>
      <c r="R106" s="861"/>
      <c r="S106" s="861"/>
      <c r="T106" s="861"/>
      <c r="U106" s="861"/>
      <c r="V106" s="861"/>
      <c r="W106" s="861"/>
      <c r="X106" s="861"/>
      <c r="Y106" s="861"/>
      <c r="Z106" s="861"/>
      <c r="AA106" s="861"/>
      <c r="AB106" s="861"/>
      <c r="AC106" s="861"/>
      <c r="AD106" s="861"/>
      <c r="AE106" s="861"/>
      <c r="AF106" s="861"/>
      <c r="AG106" s="861"/>
    </row>
    <row r="107" spans="1:33" ht="17.25" customHeight="1">
      <c r="A107" s="861"/>
      <c r="B107" s="861"/>
      <c r="C107" s="861"/>
      <c r="D107" s="861"/>
      <c r="E107" s="861"/>
      <c r="F107" s="861"/>
      <c r="G107" s="861"/>
      <c r="H107" s="861"/>
      <c r="I107" s="861"/>
      <c r="J107" s="861"/>
      <c r="K107" s="861"/>
      <c r="L107" s="861"/>
      <c r="M107" s="861"/>
      <c r="N107" s="861"/>
      <c r="O107" s="861"/>
      <c r="P107" s="861"/>
      <c r="Q107" s="861"/>
      <c r="R107" s="861"/>
      <c r="S107" s="861"/>
      <c r="T107" s="861"/>
      <c r="U107" s="861"/>
      <c r="V107" s="861"/>
      <c r="W107" s="861"/>
      <c r="X107" s="861"/>
      <c r="Y107" s="861"/>
      <c r="Z107" s="861"/>
      <c r="AA107" s="861"/>
      <c r="AB107" s="861"/>
      <c r="AC107" s="861"/>
      <c r="AD107" s="861"/>
      <c r="AE107" s="861"/>
      <c r="AF107" s="861"/>
      <c r="AG107" s="861"/>
    </row>
    <row r="108" spans="1:33" ht="17.25" customHeight="1">
      <c r="A108" s="861"/>
      <c r="B108" s="861"/>
      <c r="C108" s="861"/>
      <c r="D108" s="861"/>
      <c r="E108" s="861"/>
      <c r="F108" s="861"/>
      <c r="G108" s="861"/>
      <c r="H108" s="861"/>
      <c r="I108" s="861"/>
      <c r="J108" s="861"/>
      <c r="K108" s="861"/>
      <c r="L108" s="861"/>
      <c r="M108" s="861"/>
      <c r="N108" s="861"/>
      <c r="O108" s="861"/>
      <c r="P108" s="861"/>
      <c r="Q108" s="861"/>
      <c r="R108" s="861"/>
      <c r="S108" s="861"/>
      <c r="T108" s="861"/>
      <c r="U108" s="861"/>
      <c r="V108" s="861"/>
      <c r="W108" s="861"/>
      <c r="X108" s="861"/>
      <c r="Y108" s="861"/>
      <c r="Z108" s="861"/>
      <c r="AA108" s="861"/>
      <c r="AB108" s="861"/>
      <c r="AC108" s="861"/>
      <c r="AD108" s="861"/>
      <c r="AE108" s="861"/>
      <c r="AF108" s="861"/>
      <c r="AG108" s="861"/>
    </row>
    <row r="109" spans="1:33" ht="17.25" customHeight="1">
      <c r="A109" s="861"/>
      <c r="B109" s="861"/>
      <c r="C109" s="861"/>
      <c r="D109" s="861"/>
      <c r="E109" s="861"/>
      <c r="F109" s="861"/>
      <c r="G109" s="861"/>
      <c r="H109" s="861"/>
      <c r="I109" s="861"/>
      <c r="J109" s="861"/>
      <c r="K109" s="861"/>
      <c r="L109" s="861"/>
      <c r="M109" s="861"/>
      <c r="N109" s="861"/>
      <c r="O109" s="861"/>
      <c r="P109" s="861"/>
      <c r="Q109" s="861"/>
      <c r="R109" s="861"/>
      <c r="S109" s="861"/>
      <c r="T109" s="861"/>
      <c r="U109" s="861"/>
      <c r="V109" s="861"/>
      <c r="W109" s="861"/>
      <c r="X109" s="861"/>
      <c r="Y109" s="861"/>
      <c r="Z109" s="861"/>
      <c r="AA109" s="861"/>
      <c r="AB109" s="861"/>
      <c r="AC109" s="861"/>
      <c r="AD109" s="861"/>
      <c r="AE109" s="861"/>
      <c r="AF109" s="861"/>
      <c r="AG109" s="861"/>
    </row>
    <row r="110" spans="1:33" ht="17.25" customHeight="1">
      <c r="A110" s="861"/>
      <c r="B110" s="861"/>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row>
    <row r="111" spans="1:33" ht="17.25" customHeight="1">
      <c r="A111" s="861"/>
      <c r="B111" s="861"/>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c r="Z111" s="861"/>
      <c r="AA111" s="861"/>
      <c r="AB111" s="861"/>
      <c r="AC111" s="861"/>
      <c r="AD111" s="861"/>
      <c r="AE111" s="861"/>
      <c r="AF111" s="861"/>
      <c r="AG111" s="861"/>
    </row>
    <row r="112" spans="1:33" ht="17.25" customHeight="1">
      <c r="A112" s="861"/>
      <c r="B112" s="861"/>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row>
    <row r="113" spans="1:33" ht="17.25" customHeight="1">
      <c r="A113" s="861"/>
      <c r="B113" s="861"/>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row>
    <row r="114" spans="1:33" ht="17.25" customHeight="1">
      <c r="A114" s="861"/>
      <c r="B114" s="861"/>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c r="Z114" s="861"/>
      <c r="AA114" s="861"/>
      <c r="AB114" s="861"/>
      <c r="AC114" s="861"/>
      <c r="AD114" s="861"/>
      <c r="AE114" s="861"/>
      <c r="AF114" s="861"/>
      <c r="AG114" s="861"/>
    </row>
    <row r="115" spans="1:33" ht="17.25" customHeight="1">
      <c r="A115" s="861"/>
      <c r="B115" s="861"/>
      <c r="C115" s="861"/>
      <c r="D115" s="861"/>
      <c r="E115" s="861"/>
      <c r="F115" s="861"/>
      <c r="G115" s="861"/>
      <c r="H115" s="861"/>
      <c r="I115" s="861"/>
      <c r="J115" s="861"/>
      <c r="K115" s="861"/>
      <c r="L115" s="861"/>
      <c r="M115" s="861"/>
      <c r="N115" s="861"/>
      <c r="O115" s="861"/>
      <c r="P115" s="861"/>
      <c r="Q115" s="861"/>
      <c r="R115" s="861"/>
      <c r="S115" s="861"/>
      <c r="T115" s="861"/>
      <c r="U115" s="861"/>
      <c r="V115" s="861"/>
      <c r="W115" s="861"/>
      <c r="X115" s="861"/>
      <c r="Y115" s="861"/>
      <c r="Z115" s="861"/>
      <c r="AA115" s="861"/>
      <c r="AB115" s="861"/>
      <c r="AC115" s="861"/>
      <c r="AD115" s="861"/>
      <c r="AE115" s="861"/>
      <c r="AF115" s="861"/>
      <c r="AG115" s="861"/>
    </row>
    <row r="116" spans="1:33" ht="17.25" customHeight="1">
      <c r="A116" s="861"/>
      <c r="B116" s="861"/>
      <c r="C116" s="861"/>
      <c r="D116" s="861"/>
      <c r="E116" s="861"/>
      <c r="F116" s="861"/>
      <c r="G116" s="861"/>
      <c r="H116" s="861"/>
      <c r="I116" s="861"/>
      <c r="J116" s="861"/>
      <c r="K116" s="861"/>
      <c r="L116" s="861"/>
      <c r="M116" s="861"/>
      <c r="N116" s="861"/>
      <c r="O116" s="861"/>
      <c r="P116" s="861"/>
      <c r="Q116" s="861"/>
      <c r="R116" s="861"/>
      <c r="S116" s="861"/>
      <c r="T116" s="861"/>
      <c r="U116" s="861"/>
      <c r="V116" s="861"/>
      <c r="W116" s="861"/>
      <c r="X116" s="861"/>
      <c r="Y116" s="861"/>
      <c r="Z116" s="861"/>
      <c r="AA116" s="861"/>
      <c r="AB116" s="861"/>
      <c r="AC116" s="861"/>
      <c r="AD116" s="861"/>
      <c r="AE116" s="861"/>
      <c r="AF116" s="861"/>
      <c r="AG116" s="861"/>
    </row>
    <row r="117" spans="1:33" ht="17.25" customHeight="1">
      <c r="A117" s="861"/>
      <c r="B117" s="861"/>
      <c r="C117" s="861"/>
      <c r="D117" s="861"/>
      <c r="E117" s="861"/>
      <c r="F117" s="861"/>
      <c r="G117" s="861"/>
      <c r="H117" s="861"/>
      <c r="I117" s="861"/>
      <c r="J117" s="861"/>
      <c r="K117" s="861"/>
      <c r="L117" s="861"/>
      <c r="M117" s="861"/>
      <c r="N117" s="861"/>
      <c r="O117" s="861"/>
      <c r="P117" s="861"/>
      <c r="Q117" s="861"/>
      <c r="R117" s="861"/>
      <c r="S117" s="861"/>
      <c r="T117" s="861"/>
      <c r="U117" s="861"/>
      <c r="V117" s="861"/>
      <c r="W117" s="861"/>
      <c r="X117" s="861"/>
      <c r="Y117" s="861"/>
      <c r="Z117" s="861"/>
      <c r="AA117" s="861"/>
      <c r="AB117" s="861"/>
      <c r="AC117" s="861"/>
      <c r="AD117" s="861"/>
      <c r="AE117" s="861"/>
      <c r="AF117" s="861"/>
      <c r="AG117" s="861"/>
    </row>
    <row r="118" spans="1:33" ht="17.25" customHeight="1">
      <c r="A118" s="861"/>
      <c r="B118" s="861"/>
      <c r="C118" s="861"/>
      <c r="D118" s="861"/>
      <c r="E118" s="861"/>
      <c r="F118" s="861"/>
      <c r="G118" s="861"/>
      <c r="H118" s="861"/>
      <c r="I118" s="861"/>
      <c r="J118" s="861"/>
      <c r="K118" s="861"/>
      <c r="L118" s="861"/>
      <c r="M118" s="861"/>
      <c r="N118" s="861"/>
      <c r="O118" s="861"/>
      <c r="P118" s="861"/>
      <c r="Q118" s="861"/>
      <c r="R118" s="861"/>
      <c r="S118" s="861"/>
      <c r="T118" s="861"/>
      <c r="U118" s="861"/>
      <c r="V118" s="861"/>
      <c r="W118" s="861"/>
      <c r="X118" s="861"/>
      <c r="Y118" s="861"/>
      <c r="Z118" s="861"/>
      <c r="AA118" s="861"/>
      <c r="AB118" s="861"/>
      <c r="AC118" s="861"/>
      <c r="AD118" s="861"/>
      <c r="AE118" s="861"/>
      <c r="AF118" s="861"/>
      <c r="AG118" s="861"/>
    </row>
    <row r="119" spans="1:33" ht="17.25" customHeight="1">
      <c r="A119" s="861"/>
      <c r="B119" s="861"/>
      <c r="C119" s="861"/>
      <c r="D119" s="861"/>
      <c r="E119" s="861"/>
      <c r="F119" s="861"/>
      <c r="G119" s="861"/>
      <c r="H119" s="861"/>
      <c r="I119" s="861"/>
      <c r="J119" s="861"/>
      <c r="K119" s="861"/>
      <c r="L119" s="861"/>
      <c r="M119" s="861"/>
      <c r="N119" s="861"/>
      <c r="O119" s="861"/>
      <c r="P119" s="861"/>
      <c r="Q119" s="861"/>
      <c r="R119" s="861"/>
      <c r="S119" s="861"/>
      <c r="T119" s="861"/>
      <c r="U119" s="861"/>
      <c r="V119" s="861"/>
      <c r="W119" s="861"/>
      <c r="X119" s="861"/>
      <c r="Y119" s="861"/>
      <c r="Z119" s="861"/>
      <c r="AA119" s="861"/>
      <c r="AB119" s="861"/>
      <c r="AC119" s="861"/>
      <c r="AD119" s="861"/>
      <c r="AE119" s="861"/>
      <c r="AF119" s="861"/>
      <c r="AG119" s="861"/>
    </row>
    <row r="120" spans="1:33" ht="17.25" customHeight="1">
      <c r="A120" s="861"/>
      <c r="B120" s="861"/>
      <c r="C120" s="861"/>
      <c r="D120" s="861"/>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row>
    <row r="121" spans="1:33" ht="17.25" customHeight="1">
      <c r="A121" s="861"/>
      <c r="B121" s="861"/>
      <c r="C121" s="861"/>
      <c r="D121" s="861"/>
      <c r="E121" s="861"/>
      <c r="F121" s="861"/>
      <c r="G121" s="861"/>
      <c r="H121" s="861"/>
      <c r="I121" s="861"/>
      <c r="J121" s="861"/>
      <c r="K121" s="861"/>
      <c r="L121" s="861"/>
      <c r="M121" s="861"/>
      <c r="N121" s="861"/>
      <c r="O121" s="861"/>
      <c r="P121" s="861"/>
      <c r="Q121" s="861"/>
      <c r="R121" s="861"/>
      <c r="S121" s="861"/>
      <c r="T121" s="861"/>
      <c r="U121" s="861"/>
      <c r="V121" s="861"/>
      <c r="W121" s="861"/>
      <c r="X121" s="861"/>
      <c r="Y121" s="861"/>
      <c r="Z121" s="861"/>
      <c r="AA121" s="861"/>
      <c r="AB121" s="861"/>
      <c r="AC121" s="861"/>
      <c r="AD121" s="861"/>
      <c r="AE121" s="861"/>
      <c r="AF121" s="861"/>
      <c r="AG121" s="861"/>
    </row>
    <row r="122" spans="1:33" ht="17.25" customHeight="1">
      <c r="A122" s="861"/>
      <c r="B122" s="861"/>
      <c r="C122" s="861"/>
      <c r="D122" s="861"/>
      <c r="E122" s="861"/>
      <c r="F122" s="861"/>
      <c r="G122" s="861"/>
      <c r="H122" s="861"/>
      <c r="I122" s="861"/>
      <c r="J122" s="861"/>
      <c r="K122" s="861"/>
      <c r="L122" s="861"/>
      <c r="M122" s="861"/>
      <c r="N122" s="861"/>
      <c r="O122" s="861"/>
      <c r="P122" s="861"/>
      <c r="Q122" s="861"/>
      <c r="R122" s="861"/>
      <c r="S122" s="861"/>
      <c r="T122" s="861"/>
      <c r="U122" s="861"/>
      <c r="V122" s="861"/>
      <c r="W122" s="861"/>
      <c r="X122" s="861"/>
      <c r="Y122" s="861"/>
      <c r="Z122" s="861"/>
      <c r="AA122" s="861"/>
      <c r="AB122" s="861"/>
      <c r="AC122" s="861"/>
      <c r="AD122" s="861"/>
      <c r="AE122" s="861"/>
      <c r="AF122" s="861"/>
      <c r="AG122" s="861"/>
    </row>
    <row r="123" spans="1:33" ht="17.25" customHeight="1">
      <c r="A123" s="861"/>
      <c r="B123" s="861"/>
      <c r="C123" s="861"/>
      <c r="D123" s="861"/>
      <c r="E123" s="861"/>
      <c r="F123" s="861"/>
      <c r="G123" s="861"/>
      <c r="H123" s="861"/>
      <c r="I123" s="861"/>
      <c r="J123" s="861"/>
      <c r="K123" s="861"/>
      <c r="L123" s="861"/>
      <c r="M123" s="861"/>
      <c r="N123" s="861"/>
      <c r="O123" s="861"/>
      <c r="P123" s="861"/>
      <c r="Q123" s="861"/>
      <c r="R123" s="861"/>
      <c r="S123" s="861"/>
      <c r="T123" s="861"/>
      <c r="U123" s="861"/>
      <c r="V123" s="861"/>
      <c r="W123" s="861"/>
      <c r="X123" s="861"/>
      <c r="Y123" s="861"/>
      <c r="Z123" s="861"/>
      <c r="AA123" s="861"/>
      <c r="AB123" s="861"/>
      <c r="AC123" s="861"/>
      <c r="AD123" s="861"/>
      <c r="AE123" s="861"/>
      <c r="AF123" s="861"/>
      <c r="AG123" s="861"/>
    </row>
    <row r="124" spans="1:33" ht="17.25" customHeight="1">
      <c r="A124" s="861"/>
      <c r="B124" s="861"/>
      <c r="C124" s="861"/>
      <c r="D124" s="861"/>
      <c r="E124" s="861"/>
      <c r="F124" s="861"/>
      <c r="G124" s="861"/>
      <c r="H124" s="861"/>
      <c r="I124" s="861"/>
      <c r="J124" s="861"/>
      <c r="K124" s="861"/>
      <c r="L124" s="861"/>
      <c r="M124" s="861"/>
      <c r="N124" s="861"/>
      <c r="O124" s="861"/>
      <c r="P124" s="861"/>
      <c r="Q124" s="861"/>
      <c r="R124" s="861"/>
      <c r="S124" s="861"/>
      <c r="T124" s="861"/>
      <c r="U124" s="861"/>
      <c r="V124" s="861"/>
      <c r="W124" s="861"/>
      <c r="X124" s="861"/>
      <c r="Y124" s="861"/>
      <c r="Z124" s="861"/>
      <c r="AA124" s="861"/>
      <c r="AB124" s="861"/>
      <c r="AC124" s="861"/>
      <c r="AD124" s="861"/>
      <c r="AE124" s="861"/>
      <c r="AF124" s="861"/>
      <c r="AG124" s="861"/>
    </row>
    <row r="125" spans="1:33" ht="17.25" customHeight="1">
      <c r="A125" s="861"/>
      <c r="B125" s="861"/>
      <c r="C125" s="861"/>
      <c r="D125" s="861"/>
      <c r="E125" s="861"/>
      <c r="F125" s="861"/>
      <c r="G125" s="861"/>
      <c r="H125" s="861"/>
      <c r="I125" s="861"/>
      <c r="J125" s="861"/>
      <c r="K125" s="861"/>
      <c r="L125" s="861"/>
      <c r="M125" s="861"/>
      <c r="N125" s="861"/>
      <c r="O125" s="861"/>
      <c r="P125" s="861"/>
      <c r="Q125" s="861"/>
      <c r="R125" s="861"/>
      <c r="S125" s="861"/>
      <c r="T125" s="861"/>
      <c r="U125" s="861"/>
      <c r="V125" s="861"/>
      <c r="W125" s="861"/>
      <c r="X125" s="861"/>
      <c r="Y125" s="861"/>
      <c r="Z125" s="861"/>
      <c r="AA125" s="861"/>
      <c r="AB125" s="861"/>
      <c r="AC125" s="861"/>
      <c r="AD125" s="861"/>
      <c r="AE125" s="861"/>
      <c r="AF125" s="861"/>
      <c r="AG125" s="861"/>
    </row>
    <row r="126" spans="1:33" ht="17.25" customHeight="1">
      <c r="A126" s="861"/>
      <c r="B126" s="861"/>
      <c r="C126" s="861"/>
      <c r="D126" s="861"/>
      <c r="E126" s="861"/>
      <c r="F126" s="861"/>
      <c r="G126" s="861"/>
      <c r="H126" s="861"/>
      <c r="I126" s="861"/>
      <c r="J126" s="861"/>
      <c r="K126" s="861"/>
      <c r="L126" s="861"/>
      <c r="M126" s="861"/>
      <c r="N126" s="861"/>
      <c r="O126" s="861"/>
      <c r="P126" s="861"/>
      <c r="Q126" s="861"/>
      <c r="R126" s="861"/>
      <c r="S126" s="861"/>
      <c r="T126" s="861"/>
      <c r="U126" s="861"/>
      <c r="V126" s="861"/>
      <c r="W126" s="861"/>
      <c r="X126" s="861"/>
      <c r="Y126" s="861"/>
      <c r="Z126" s="861"/>
      <c r="AA126" s="861"/>
      <c r="AB126" s="861"/>
      <c r="AC126" s="861"/>
      <c r="AD126" s="861"/>
      <c r="AE126" s="861"/>
      <c r="AF126" s="861"/>
      <c r="AG126" s="861"/>
    </row>
    <row r="127" spans="1:33" ht="17.25" customHeight="1">
      <c r="A127" s="861"/>
      <c r="B127" s="861"/>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row>
    <row r="128" spans="1:33" ht="17.25" customHeight="1">
      <c r="A128" s="861"/>
      <c r="B128" s="861"/>
      <c r="C128" s="861"/>
      <c r="D128" s="861"/>
      <c r="E128" s="861"/>
      <c r="F128" s="861"/>
      <c r="G128" s="861"/>
      <c r="H128" s="861"/>
      <c r="I128" s="861"/>
      <c r="J128" s="861"/>
      <c r="K128" s="861"/>
      <c r="L128" s="861"/>
      <c r="M128" s="861"/>
      <c r="N128" s="861"/>
      <c r="O128" s="861"/>
      <c r="P128" s="861"/>
      <c r="Q128" s="861"/>
      <c r="R128" s="861"/>
      <c r="S128" s="861"/>
      <c r="T128" s="861"/>
      <c r="U128" s="861"/>
      <c r="V128" s="861"/>
      <c r="W128" s="861"/>
      <c r="X128" s="861"/>
      <c r="Y128" s="861"/>
      <c r="Z128" s="861"/>
      <c r="AA128" s="861"/>
      <c r="AB128" s="861"/>
      <c r="AC128" s="861"/>
      <c r="AD128" s="861"/>
      <c r="AE128" s="861"/>
      <c r="AF128" s="861"/>
      <c r="AG128" s="861"/>
    </row>
    <row r="129" spans="1:33" ht="17.25" customHeight="1">
      <c r="A129" s="861"/>
      <c r="B129" s="861"/>
      <c r="C129" s="861"/>
      <c r="D129" s="861"/>
      <c r="E129" s="861"/>
      <c r="F129" s="861"/>
      <c r="G129" s="861"/>
      <c r="H129" s="861"/>
      <c r="I129" s="861"/>
      <c r="J129" s="861"/>
      <c r="K129" s="861"/>
      <c r="L129" s="861"/>
      <c r="M129" s="861"/>
      <c r="N129" s="861"/>
      <c r="O129" s="861"/>
      <c r="P129" s="861"/>
      <c r="Q129" s="861"/>
      <c r="R129" s="861"/>
      <c r="S129" s="861"/>
      <c r="T129" s="861"/>
      <c r="U129" s="861"/>
      <c r="V129" s="861"/>
      <c r="W129" s="861"/>
      <c r="X129" s="861"/>
      <c r="Y129" s="861"/>
      <c r="Z129" s="861"/>
      <c r="AA129" s="861"/>
      <c r="AB129" s="861"/>
      <c r="AC129" s="861"/>
      <c r="AD129" s="861"/>
      <c r="AE129" s="861"/>
      <c r="AF129" s="861"/>
      <c r="AG129" s="861"/>
    </row>
    <row r="130" spans="1:33" ht="17.25" customHeight="1">
      <c r="A130" s="861"/>
      <c r="B130" s="861"/>
      <c r="C130" s="861"/>
      <c r="D130" s="861"/>
      <c r="E130" s="861"/>
      <c r="F130" s="861"/>
      <c r="G130" s="861"/>
      <c r="H130" s="861"/>
      <c r="I130" s="861"/>
      <c r="J130" s="861"/>
      <c r="K130" s="861"/>
      <c r="L130" s="861"/>
      <c r="M130" s="861"/>
      <c r="N130" s="861"/>
      <c r="O130" s="861"/>
      <c r="P130" s="861"/>
      <c r="Q130" s="861"/>
      <c r="R130" s="861"/>
      <c r="S130" s="861"/>
      <c r="T130" s="861"/>
      <c r="U130" s="861"/>
      <c r="V130" s="861"/>
      <c r="W130" s="861"/>
      <c r="X130" s="861"/>
      <c r="Y130" s="861"/>
      <c r="Z130" s="861"/>
      <c r="AA130" s="861"/>
      <c r="AB130" s="861"/>
      <c r="AC130" s="861"/>
      <c r="AD130" s="861"/>
      <c r="AE130" s="861"/>
      <c r="AF130" s="861"/>
      <c r="AG130" s="861"/>
    </row>
    <row r="131" spans="1:33" ht="17.25" customHeight="1">
      <c r="A131" s="861"/>
      <c r="B131" s="861"/>
      <c r="C131" s="861"/>
      <c r="D131" s="861"/>
      <c r="E131" s="861"/>
      <c r="F131" s="861"/>
      <c r="G131" s="861"/>
      <c r="H131" s="861"/>
      <c r="I131" s="861"/>
      <c r="J131" s="861"/>
      <c r="K131" s="861"/>
      <c r="L131" s="861"/>
      <c r="M131" s="861"/>
      <c r="N131" s="861"/>
      <c r="O131" s="861"/>
      <c r="P131" s="861"/>
      <c r="Q131" s="861"/>
      <c r="R131" s="861"/>
      <c r="S131" s="861"/>
      <c r="T131" s="861"/>
      <c r="U131" s="861"/>
      <c r="V131" s="861"/>
      <c r="W131" s="861"/>
      <c r="X131" s="861"/>
      <c r="Y131" s="861"/>
      <c r="Z131" s="861"/>
      <c r="AA131" s="861"/>
      <c r="AB131" s="861"/>
      <c r="AC131" s="861"/>
      <c r="AD131" s="861"/>
      <c r="AE131" s="861"/>
      <c r="AF131" s="861"/>
      <c r="AG131" s="861"/>
    </row>
    <row r="132" spans="1:33" ht="17.25" customHeight="1">
      <c r="A132" s="861"/>
      <c r="B132" s="861"/>
      <c r="C132" s="861"/>
      <c r="D132" s="861"/>
      <c r="E132" s="861"/>
      <c r="F132" s="861"/>
      <c r="G132" s="861"/>
      <c r="H132" s="861"/>
      <c r="I132" s="861"/>
      <c r="J132" s="861"/>
      <c r="K132" s="861"/>
      <c r="L132" s="861"/>
      <c r="M132" s="861"/>
      <c r="N132" s="861"/>
      <c r="O132" s="861"/>
      <c r="P132" s="861"/>
      <c r="Q132" s="861"/>
      <c r="R132" s="861"/>
      <c r="S132" s="861"/>
      <c r="T132" s="861"/>
      <c r="U132" s="861"/>
      <c r="V132" s="861"/>
      <c r="W132" s="861"/>
      <c r="X132" s="861"/>
      <c r="Y132" s="861"/>
      <c r="Z132" s="861"/>
      <c r="AA132" s="861"/>
      <c r="AB132" s="861"/>
      <c r="AC132" s="861"/>
      <c r="AD132" s="861"/>
      <c r="AE132" s="861"/>
      <c r="AF132" s="861"/>
      <c r="AG132" s="861"/>
    </row>
    <row r="133" spans="1:33" ht="17.25" customHeight="1">
      <c r="A133" s="861"/>
      <c r="B133" s="861"/>
      <c r="C133" s="861"/>
      <c r="D133" s="861"/>
      <c r="E133" s="861"/>
      <c r="F133" s="861"/>
      <c r="G133" s="861"/>
      <c r="H133" s="861"/>
      <c r="I133" s="861"/>
      <c r="J133" s="861"/>
      <c r="K133" s="861"/>
      <c r="L133" s="861"/>
      <c r="M133" s="861"/>
      <c r="N133" s="861"/>
      <c r="O133" s="861"/>
      <c r="P133" s="861"/>
      <c r="Q133" s="861"/>
      <c r="R133" s="861"/>
      <c r="S133" s="861"/>
      <c r="T133" s="861"/>
      <c r="U133" s="861"/>
      <c r="V133" s="861"/>
      <c r="W133" s="861"/>
      <c r="X133" s="861"/>
      <c r="Y133" s="861"/>
      <c r="Z133" s="861"/>
      <c r="AA133" s="861"/>
      <c r="AB133" s="861"/>
      <c r="AC133" s="861"/>
      <c r="AD133" s="861"/>
      <c r="AE133" s="861"/>
      <c r="AF133" s="861"/>
      <c r="AG133" s="861"/>
    </row>
    <row r="134" spans="1:33" ht="17.25" customHeight="1">
      <c r="A134" s="861"/>
      <c r="B134" s="861"/>
      <c r="C134" s="861"/>
      <c r="D134" s="861"/>
      <c r="E134" s="861"/>
      <c r="F134" s="861"/>
      <c r="G134" s="861"/>
      <c r="H134" s="861"/>
      <c r="I134" s="861"/>
      <c r="J134" s="861"/>
      <c r="K134" s="861"/>
      <c r="L134" s="861"/>
      <c r="M134" s="861"/>
      <c r="N134" s="861"/>
      <c r="O134" s="861"/>
      <c r="P134" s="861"/>
      <c r="Q134" s="861"/>
      <c r="R134" s="861"/>
      <c r="S134" s="861"/>
      <c r="T134" s="861"/>
      <c r="U134" s="861"/>
      <c r="V134" s="861"/>
      <c r="W134" s="861"/>
      <c r="X134" s="861"/>
      <c r="Y134" s="861"/>
      <c r="Z134" s="861"/>
      <c r="AA134" s="861"/>
      <c r="AB134" s="861"/>
      <c r="AC134" s="861"/>
      <c r="AD134" s="861"/>
      <c r="AE134" s="861"/>
      <c r="AF134" s="861"/>
      <c r="AG134" s="861"/>
    </row>
    <row r="135" spans="1:33" ht="17.25" customHeight="1">
      <c r="A135" s="861"/>
      <c r="B135" s="861"/>
      <c r="C135" s="861"/>
      <c r="D135" s="861"/>
      <c r="E135" s="861"/>
      <c r="F135" s="861"/>
      <c r="G135" s="861"/>
      <c r="H135" s="861"/>
      <c r="I135" s="861"/>
      <c r="J135" s="861"/>
      <c r="K135" s="861"/>
      <c r="L135" s="861"/>
      <c r="M135" s="861"/>
      <c r="N135" s="861"/>
      <c r="O135" s="861"/>
      <c r="P135" s="861"/>
      <c r="Q135" s="861"/>
      <c r="R135" s="861"/>
      <c r="S135" s="861"/>
      <c r="T135" s="861"/>
      <c r="U135" s="861"/>
      <c r="V135" s="861"/>
      <c r="W135" s="861"/>
      <c r="X135" s="861"/>
      <c r="Y135" s="861"/>
      <c r="Z135" s="861"/>
      <c r="AA135" s="861"/>
      <c r="AB135" s="861"/>
      <c r="AC135" s="861"/>
      <c r="AD135" s="861"/>
      <c r="AE135" s="861"/>
      <c r="AF135" s="861"/>
      <c r="AG135" s="861"/>
    </row>
    <row r="136" spans="1:33" ht="17.25" customHeight="1">
      <c r="A136" s="861"/>
      <c r="B136" s="861"/>
      <c r="C136" s="861"/>
      <c r="D136" s="861"/>
      <c r="E136" s="861"/>
      <c r="F136" s="861"/>
      <c r="G136" s="861"/>
      <c r="H136" s="861"/>
      <c r="I136" s="861"/>
      <c r="J136" s="861"/>
      <c r="K136" s="861"/>
      <c r="L136" s="861"/>
      <c r="M136" s="861"/>
      <c r="N136" s="861"/>
      <c r="O136" s="861"/>
      <c r="P136" s="861"/>
      <c r="Q136" s="861"/>
      <c r="R136" s="861"/>
      <c r="S136" s="861"/>
      <c r="T136" s="861"/>
      <c r="U136" s="861"/>
      <c r="V136" s="861"/>
      <c r="W136" s="861"/>
      <c r="X136" s="861"/>
      <c r="Y136" s="861"/>
      <c r="Z136" s="861"/>
      <c r="AA136" s="861"/>
      <c r="AB136" s="861"/>
      <c r="AC136" s="861"/>
      <c r="AD136" s="861"/>
      <c r="AE136" s="861"/>
      <c r="AF136" s="861"/>
      <c r="AG136" s="861"/>
    </row>
    <row r="137" spans="1:33" ht="17.25" customHeight="1">
      <c r="A137" s="861"/>
      <c r="B137" s="861"/>
      <c r="C137" s="861"/>
      <c r="D137" s="861"/>
      <c r="E137" s="861"/>
      <c r="F137" s="861"/>
      <c r="G137" s="861"/>
      <c r="H137" s="861"/>
      <c r="I137" s="861"/>
      <c r="J137" s="861"/>
      <c r="K137" s="861"/>
      <c r="L137" s="861"/>
      <c r="M137" s="861"/>
      <c r="N137" s="861"/>
      <c r="O137" s="861"/>
      <c r="P137" s="861"/>
      <c r="Q137" s="861"/>
      <c r="R137" s="861"/>
      <c r="S137" s="861"/>
      <c r="T137" s="861"/>
      <c r="U137" s="861"/>
      <c r="V137" s="861"/>
      <c r="W137" s="861"/>
      <c r="X137" s="861"/>
      <c r="Y137" s="861"/>
      <c r="Z137" s="861"/>
      <c r="AA137" s="861"/>
      <c r="AB137" s="861"/>
      <c r="AC137" s="861"/>
      <c r="AD137" s="861"/>
      <c r="AE137" s="861"/>
      <c r="AF137" s="861"/>
      <c r="AG137" s="861"/>
    </row>
    <row r="138" spans="1:33" ht="17.25" customHeight="1">
      <c r="A138" s="861"/>
      <c r="B138" s="861"/>
      <c r="C138" s="861"/>
      <c r="D138" s="861"/>
      <c r="E138" s="861"/>
      <c r="F138" s="861"/>
      <c r="G138" s="861"/>
      <c r="H138" s="861"/>
      <c r="I138" s="861"/>
      <c r="J138" s="861"/>
      <c r="K138" s="861"/>
      <c r="L138" s="861"/>
      <c r="M138" s="861"/>
      <c r="N138" s="861"/>
      <c r="O138" s="861"/>
      <c r="P138" s="861"/>
      <c r="Q138" s="861"/>
      <c r="R138" s="861"/>
      <c r="S138" s="861"/>
      <c r="T138" s="861"/>
      <c r="U138" s="861"/>
      <c r="V138" s="861"/>
      <c r="W138" s="861"/>
      <c r="X138" s="861"/>
      <c r="Y138" s="861"/>
      <c r="Z138" s="861"/>
      <c r="AA138" s="861"/>
      <c r="AB138" s="861"/>
      <c r="AC138" s="861"/>
      <c r="AD138" s="861"/>
      <c r="AE138" s="861"/>
      <c r="AF138" s="861"/>
      <c r="AG138" s="861"/>
    </row>
    <row r="139" spans="1:33" ht="17.25" customHeight="1">
      <c r="A139" s="861"/>
      <c r="B139" s="861"/>
      <c r="C139" s="861"/>
      <c r="D139" s="861"/>
      <c r="E139" s="861"/>
      <c r="F139" s="861"/>
      <c r="G139" s="861"/>
      <c r="H139" s="861"/>
      <c r="I139" s="861"/>
      <c r="J139" s="861"/>
      <c r="K139" s="861"/>
      <c r="L139" s="861"/>
      <c r="M139" s="861"/>
      <c r="N139" s="861"/>
      <c r="O139" s="861"/>
      <c r="P139" s="861"/>
      <c r="Q139" s="861"/>
      <c r="R139" s="861"/>
      <c r="S139" s="861"/>
      <c r="T139" s="861"/>
      <c r="U139" s="861"/>
      <c r="V139" s="861"/>
      <c r="W139" s="861"/>
      <c r="X139" s="861"/>
      <c r="Y139" s="861"/>
      <c r="Z139" s="861"/>
      <c r="AA139" s="861"/>
      <c r="AB139" s="861"/>
      <c r="AC139" s="861"/>
      <c r="AD139" s="861"/>
      <c r="AE139" s="861"/>
      <c r="AF139" s="861"/>
      <c r="AG139" s="861"/>
    </row>
    <row r="140" spans="1:33" ht="17.25" customHeight="1">
      <c r="A140" s="861"/>
      <c r="B140" s="861"/>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row>
    <row r="141" spans="1:33" ht="17.25" customHeight="1">
      <c r="A141" s="861"/>
      <c r="B141" s="861"/>
      <c r="C141" s="861"/>
      <c r="D141" s="861"/>
      <c r="E141" s="861"/>
      <c r="F141" s="861"/>
      <c r="G141" s="861"/>
      <c r="H141" s="861"/>
      <c r="I141" s="861"/>
      <c r="J141" s="861"/>
      <c r="K141" s="861"/>
      <c r="L141" s="861"/>
      <c r="M141" s="861"/>
      <c r="N141" s="861"/>
      <c r="O141" s="861"/>
      <c r="P141" s="861"/>
      <c r="Q141" s="861"/>
      <c r="R141" s="861"/>
      <c r="S141" s="861"/>
      <c r="T141" s="861"/>
      <c r="U141" s="861"/>
      <c r="V141" s="861"/>
      <c r="W141" s="861"/>
      <c r="X141" s="861"/>
      <c r="Y141" s="861"/>
      <c r="Z141" s="861"/>
      <c r="AA141" s="861"/>
      <c r="AB141" s="861"/>
      <c r="AC141" s="861"/>
      <c r="AD141" s="861"/>
      <c r="AE141" s="861"/>
      <c r="AF141" s="861"/>
      <c r="AG141" s="861"/>
    </row>
    <row r="142" spans="1:33" ht="17.25" customHeight="1">
      <c r="A142" s="861"/>
      <c r="B142" s="861"/>
      <c r="C142" s="861"/>
      <c r="D142" s="861"/>
      <c r="E142" s="861"/>
      <c r="F142" s="861"/>
      <c r="G142" s="861"/>
      <c r="H142" s="861"/>
      <c r="I142" s="861"/>
      <c r="J142" s="861"/>
      <c r="K142" s="861"/>
      <c r="L142" s="861"/>
      <c r="M142" s="861"/>
      <c r="N142" s="861"/>
      <c r="O142" s="861"/>
      <c r="P142" s="861"/>
      <c r="Q142" s="861"/>
      <c r="R142" s="861"/>
      <c r="S142" s="861"/>
      <c r="T142" s="861"/>
      <c r="U142" s="861"/>
      <c r="V142" s="861"/>
      <c r="W142" s="861"/>
      <c r="X142" s="861"/>
      <c r="Y142" s="861"/>
      <c r="Z142" s="861"/>
      <c r="AA142" s="861"/>
      <c r="AB142" s="861"/>
      <c r="AC142" s="861"/>
      <c r="AD142" s="861"/>
      <c r="AE142" s="861"/>
      <c r="AF142" s="861"/>
      <c r="AG142" s="861"/>
    </row>
    <row r="143" spans="1:33" ht="17.25" customHeight="1">
      <c r="A143" s="861"/>
      <c r="B143" s="861"/>
      <c r="C143" s="861"/>
      <c r="D143" s="861"/>
      <c r="E143" s="861"/>
      <c r="F143" s="861"/>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row>
    <row r="144" spans="1:33" ht="17.2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row>
    <row r="145" spans="1:33" ht="17.2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row>
    <row r="146" spans="1:33" ht="17.25" customHeight="1">
      <c r="A146" s="861"/>
      <c r="B146" s="861"/>
      <c r="C146" s="861"/>
      <c r="D146" s="861"/>
      <c r="E146" s="861"/>
      <c r="F146" s="861"/>
      <c r="G146" s="861"/>
      <c r="H146" s="861"/>
      <c r="I146" s="861"/>
      <c r="J146" s="861"/>
      <c r="K146" s="861"/>
      <c r="L146" s="861"/>
      <c r="M146" s="861"/>
      <c r="N146" s="861"/>
      <c r="O146" s="861"/>
      <c r="P146" s="861"/>
      <c r="Q146" s="861"/>
      <c r="R146" s="861"/>
      <c r="S146" s="861"/>
      <c r="T146" s="861"/>
      <c r="U146" s="861"/>
      <c r="V146" s="861"/>
      <c r="W146" s="861"/>
      <c r="X146" s="861"/>
      <c r="Y146" s="861"/>
      <c r="Z146" s="861"/>
      <c r="AA146" s="861"/>
      <c r="AB146" s="861"/>
      <c r="AC146" s="861"/>
      <c r="AD146" s="861"/>
      <c r="AE146" s="861"/>
      <c r="AF146" s="861"/>
      <c r="AG146" s="861"/>
    </row>
    <row r="147" spans="1:33" ht="17.25" customHeight="1">
      <c r="A147" s="861"/>
      <c r="B147" s="861"/>
      <c r="C147" s="861"/>
      <c r="D147" s="861"/>
      <c r="E147" s="861"/>
      <c r="F147" s="861"/>
      <c r="G147" s="861"/>
      <c r="H147" s="861"/>
      <c r="I147" s="861"/>
      <c r="J147" s="861"/>
      <c r="K147" s="861"/>
      <c r="L147" s="861"/>
      <c r="M147" s="861"/>
      <c r="N147" s="861"/>
      <c r="O147" s="861"/>
      <c r="P147" s="861"/>
      <c r="Q147" s="861"/>
      <c r="R147" s="861"/>
      <c r="S147" s="861"/>
      <c r="T147" s="861"/>
      <c r="U147" s="861"/>
      <c r="V147" s="861"/>
      <c r="W147" s="861"/>
      <c r="X147" s="861"/>
      <c r="Y147" s="861"/>
      <c r="Z147" s="861"/>
      <c r="AA147" s="861"/>
      <c r="AB147" s="861"/>
      <c r="AC147" s="861"/>
      <c r="AD147" s="861"/>
      <c r="AE147" s="861"/>
      <c r="AF147" s="861"/>
      <c r="AG147" s="861"/>
    </row>
    <row r="148" spans="1:33" ht="17.25" customHeight="1">
      <c r="A148" s="861"/>
      <c r="B148" s="861"/>
      <c r="C148" s="861"/>
      <c r="D148" s="861"/>
      <c r="E148" s="861"/>
      <c r="F148" s="861"/>
      <c r="G148" s="861"/>
      <c r="H148" s="861"/>
      <c r="I148" s="861"/>
      <c r="J148" s="861"/>
      <c r="K148" s="861"/>
      <c r="L148" s="861"/>
      <c r="M148" s="861"/>
      <c r="N148" s="861"/>
      <c r="O148" s="861"/>
      <c r="P148" s="861"/>
      <c r="Q148" s="861"/>
      <c r="R148" s="861"/>
      <c r="S148" s="861"/>
      <c r="T148" s="861"/>
      <c r="U148" s="861"/>
      <c r="V148" s="861"/>
      <c r="W148" s="861"/>
      <c r="X148" s="861"/>
      <c r="Y148" s="861"/>
      <c r="Z148" s="861"/>
      <c r="AA148" s="861"/>
      <c r="AB148" s="861"/>
      <c r="AC148" s="861"/>
      <c r="AD148" s="861"/>
      <c r="AE148" s="861"/>
      <c r="AF148" s="861"/>
      <c r="AG148" s="861"/>
    </row>
    <row r="149" spans="1:33" ht="17.25" customHeight="1">
      <c r="A149" s="861"/>
      <c r="B149" s="861"/>
      <c r="C149" s="861"/>
      <c r="D149" s="861"/>
      <c r="E149" s="861"/>
      <c r="F149" s="861"/>
      <c r="G149" s="861"/>
      <c r="H149" s="861"/>
      <c r="I149" s="861"/>
      <c r="J149" s="861"/>
      <c r="K149" s="861"/>
      <c r="L149" s="861"/>
      <c r="M149" s="861"/>
      <c r="N149" s="861"/>
      <c r="O149" s="861"/>
      <c r="P149" s="861"/>
      <c r="Q149" s="861"/>
      <c r="R149" s="861"/>
      <c r="S149" s="861"/>
      <c r="T149" s="861"/>
      <c r="U149" s="861"/>
      <c r="V149" s="861"/>
      <c r="W149" s="861"/>
      <c r="X149" s="861"/>
      <c r="Y149" s="861"/>
      <c r="Z149" s="861"/>
      <c r="AA149" s="861"/>
      <c r="AB149" s="861"/>
      <c r="AC149" s="861"/>
      <c r="AD149" s="861"/>
      <c r="AE149" s="861"/>
      <c r="AF149" s="861"/>
      <c r="AG149" s="861"/>
    </row>
    <row r="150" spans="1:33" ht="17.25" customHeight="1">
      <c r="A150" s="861"/>
      <c r="B150" s="861"/>
      <c r="C150" s="861"/>
      <c r="D150" s="861"/>
      <c r="E150" s="861"/>
      <c r="F150" s="861"/>
      <c r="G150" s="861"/>
      <c r="H150" s="861"/>
      <c r="I150" s="861"/>
      <c r="J150" s="861"/>
      <c r="K150" s="861"/>
      <c r="L150" s="861"/>
      <c r="M150" s="861"/>
      <c r="N150" s="861"/>
      <c r="O150" s="861"/>
      <c r="P150" s="861"/>
      <c r="Q150" s="861"/>
      <c r="R150" s="861"/>
      <c r="S150" s="861"/>
      <c r="T150" s="861"/>
      <c r="U150" s="861"/>
      <c r="V150" s="861"/>
      <c r="W150" s="861"/>
      <c r="X150" s="861"/>
      <c r="Y150" s="861"/>
      <c r="Z150" s="861"/>
      <c r="AA150" s="861"/>
      <c r="AB150" s="861"/>
      <c r="AC150" s="861"/>
      <c r="AD150" s="861"/>
      <c r="AE150" s="861"/>
      <c r="AF150" s="861"/>
      <c r="AG150" s="861"/>
    </row>
    <row r="151" spans="1:33" ht="17.25" customHeight="1">
      <c r="A151" s="861"/>
      <c r="B151" s="861"/>
      <c r="C151" s="861"/>
      <c r="D151" s="861"/>
      <c r="E151" s="861"/>
      <c r="F151" s="861"/>
      <c r="G151" s="861"/>
      <c r="H151" s="861"/>
      <c r="I151" s="861"/>
      <c r="J151" s="861"/>
      <c r="K151" s="861"/>
      <c r="L151" s="861"/>
      <c r="M151" s="861"/>
      <c r="N151" s="861"/>
      <c r="O151" s="861"/>
      <c r="P151" s="861"/>
      <c r="Q151" s="861"/>
      <c r="R151" s="861"/>
      <c r="S151" s="861"/>
      <c r="T151" s="861"/>
      <c r="U151" s="861"/>
      <c r="V151" s="861"/>
      <c r="W151" s="861"/>
      <c r="X151" s="861"/>
      <c r="Y151" s="861"/>
      <c r="Z151" s="861"/>
      <c r="AA151" s="861"/>
      <c r="AB151" s="861"/>
      <c r="AC151" s="861"/>
      <c r="AD151" s="861"/>
      <c r="AE151" s="861"/>
      <c r="AF151" s="861"/>
      <c r="AG151" s="861"/>
    </row>
    <row r="152" spans="1:33" ht="17.25" customHeight="1">
      <c r="A152" s="861"/>
      <c r="B152" s="861"/>
      <c r="C152" s="861"/>
      <c r="D152" s="861"/>
      <c r="E152" s="861"/>
      <c r="F152" s="861"/>
      <c r="G152" s="861"/>
      <c r="H152" s="861"/>
      <c r="I152" s="861"/>
      <c r="J152" s="861"/>
      <c r="K152" s="861"/>
      <c r="L152" s="861"/>
      <c r="M152" s="861"/>
      <c r="N152" s="861"/>
      <c r="O152" s="861"/>
      <c r="P152" s="861"/>
      <c r="Q152" s="861"/>
      <c r="R152" s="861"/>
      <c r="S152" s="861"/>
      <c r="T152" s="861"/>
      <c r="U152" s="861"/>
      <c r="V152" s="861"/>
      <c r="W152" s="861"/>
      <c r="X152" s="861"/>
      <c r="Y152" s="861"/>
      <c r="Z152" s="861"/>
      <c r="AA152" s="861"/>
      <c r="AB152" s="861"/>
      <c r="AC152" s="861"/>
      <c r="AD152" s="861"/>
      <c r="AE152" s="861"/>
      <c r="AF152" s="861"/>
      <c r="AG152" s="861"/>
    </row>
    <row r="153" spans="1:33" ht="17.25" customHeight="1">
      <c r="A153" s="861"/>
      <c r="B153" s="861"/>
      <c r="C153" s="861"/>
      <c r="D153" s="861"/>
      <c r="E153" s="861"/>
      <c r="F153" s="861"/>
      <c r="G153" s="861"/>
      <c r="H153" s="861"/>
      <c r="I153" s="861"/>
      <c r="J153" s="861"/>
      <c r="K153" s="861"/>
      <c r="L153" s="861"/>
      <c r="M153" s="861"/>
      <c r="N153" s="861"/>
      <c r="O153" s="861"/>
      <c r="P153" s="861"/>
      <c r="Q153" s="861"/>
      <c r="R153" s="861"/>
      <c r="S153" s="861"/>
      <c r="T153" s="861"/>
      <c r="U153" s="861"/>
      <c r="V153" s="861"/>
      <c r="W153" s="861"/>
      <c r="X153" s="861"/>
      <c r="Y153" s="861"/>
      <c r="Z153" s="861"/>
      <c r="AA153" s="861"/>
      <c r="AB153" s="861"/>
      <c r="AC153" s="861"/>
      <c r="AD153" s="861"/>
      <c r="AE153" s="861"/>
      <c r="AF153" s="861"/>
      <c r="AG153" s="861"/>
    </row>
    <row r="154" spans="1:33" ht="17.25" customHeight="1">
      <c r="A154" s="861"/>
      <c r="B154" s="861"/>
      <c r="C154" s="861"/>
      <c r="D154" s="861"/>
      <c r="E154" s="861"/>
      <c r="F154" s="861"/>
      <c r="G154" s="861"/>
      <c r="H154" s="861"/>
      <c r="I154" s="861"/>
      <c r="J154" s="861"/>
      <c r="K154" s="861"/>
      <c r="L154" s="861"/>
      <c r="M154" s="861"/>
      <c r="N154" s="861"/>
      <c r="O154" s="861"/>
      <c r="P154" s="861"/>
      <c r="Q154" s="861"/>
      <c r="R154" s="861"/>
      <c r="S154" s="861"/>
      <c r="T154" s="861"/>
      <c r="U154" s="861"/>
      <c r="V154" s="861"/>
      <c r="W154" s="861"/>
      <c r="X154" s="861"/>
      <c r="Y154" s="861"/>
      <c r="Z154" s="861"/>
      <c r="AA154" s="861"/>
      <c r="AB154" s="861"/>
      <c r="AC154" s="861"/>
      <c r="AD154" s="861"/>
      <c r="AE154" s="861"/>
      <c r="AF154" s="861"/>
      <c r="AG154" s="861"/>
    </row>
    <row r="155" spans="1:33" ht="17.25" customHeight="1">
      <c r="A155" s="861"/>
      <c r="B155" s="861"/>
      <c r="C155" s="861"/>
      <c r="D155" s="861"/>
      <c r="E155" s="861"/>
      <c r="F155" s="861"/>
      <c r="G155" s="861"/>
      <c r="H155" s="861"/>
      <c r="I155" s="861"/>
      <c r="J155" s="861"/>
      <c r="K155" s="861"/>
      <c r="L155" s="861"/>
      <c r="M155" s="861"/>
      <c r="N155" s="861"/>
      <c r="O155" s="861"/>
      <c r="P155" s="861"/>
      <c r="Q155" s="861"/>
      <c r="R155" s="861"/>
      <c r="S155" s="861"/>
      <c r="T155" s="861"/>
      <c r="U155" s="861"/>
      <c r="V155" s="861"/>
      <c r="W155" s="861"/>
      <c r="X155" s="861"/>
      <c r="Y155" s="861"/>
      <c r="Z155" s="861"/>
      <c r="AA155" s="861"/>
      <c r="AB155" s="861"/>
      <c r="AC155" s="861"/>
      <c r="AD155" s="861"/>
      <c r="AE155" s="861"/>
      <c r="AF155" s="861"/>
      <c r="AG155" s="861"/>
    </row>
    <row r="156" spans="1:33" ht="17.25" customHeight="1">
      <c r="A156" s="861"/>
      <c r="B156" s="861"/>
      <c r="C156" s="861"/>
      <c r="D156" s="861"/>
      <c r="E156" s="861"/>
      <c r="F156" s="861"/>
      <c r="G156" s="861"/>
      <c r="H156" s="861"/>
      <c r="I156" s="861"/>
      <c r="J156" s="861"/>
      <c r="K156" s="861"/>
      <c r="L156" s="861"/>
      <c r="M156" s="861"/>
      <c r="N156" s="861"/>
      <c r="O156" s="861"/>
      <c r="P156" s="861"/>
      <c r="Q156" s="861"/>
      <c r="R156" s="861"/>
      <c r="S156" s="861"/>
      <c r="T156" s="861"/>
      <c r="U156" s="861"/>
      <c r="V156" s="861"/>
      <c r="W156" s="861"/>
      <c r="X156" s="861"/>
      <c r="Y156" s="861"/>
      <c r="Z156" s="861"/>
      <c r="AA156" s="861"/>
      <c r="AB156" s="861"/>
      <c r="AC156" s="861"/>
      <c r="AD156" s="861"/>
      <c r="AE156" s="861"/>
      <c r="AF156" s="861"/>
      <c r="AG156" s="861"/>
    </row>
    <row r="157" spans="1:33" ht="17.25" customHeight="1">
      <c r="A157" s="861"/>
      <c r="B157" s="861"/>
      <c r="C157" s="861"/>
      <c r="D157" s="861"/>
      <c r="E157" s="861"/>
      <c r="F157" s="861"/>
      <c r="G157" s="861"/>
      <c r="H157" s="861"/>
      <c r="I157" s="861"/>
      <c r="J157" s="861"/>
      <c r="K157" s="861"/>
      <c r="L157" s="861"/>
      <c r="M157" s="861"/>
      <c r="N157" s="861"/>
      <c r="O157" s="861"/>
      <c r="P157" s="861"/>
      <c r="Q157" s="861"/>
      <c r="R157" s="861"/>
      <c r="S157" s="861"/>
      <c r="T157" s="861"/>
      <c r="U157" s="861"/>
      <c r="V157" s="861"/>
      <c r="W157" s="861"/>
      <c r="X157" s="861"/>
      <c r="Y157" s="861"/>
      <c r="Z157" s="861"/>
      <c r="AA157" s="861"/>
      <c r="AB157" s="861"/>
      <c r="AC157" s="861"/>
      <c r="AD157" s="861"/>
      <c r="AE157" s="861"/>
      <c r="AF157" s="861"/>
      <c r="AG157" s="861"/>
    </row>
    <row r="158" spans="1:33" ht="17.25" customHeight="1">
      <c r="A158" s="861"/>
      <c r="B158" s="861"/>
      <c r="C158" s="861"/>
      <c r="D158" s="861"/>
      <c r="E158" s="861"/>
      <c r="F158" s="861"/>
      <c r="G158" s="861"/>
      <c r="H158" s="861"/>
      <c r="I158" s="861"/>
      <c r="J158" s="861"/>
      <c r="K158" s="861"/>
      <c r="L158" s="861"/>
      <c r="M158" s="861"/>
      <c r="N158" s="861"/>
      <c r="O158" s="861"/>
      <c r="P158" s="861"/>
      <c r="Q158" s="861"/>
      <c r="R158" s="861"/>
      <c r="S158" s="861"/>
      <c r="T158" s="861"/>
      <c r="U158" s="861"/>
      <c r="V158" s="861"/>
      <c r="W158" s="861"/>
      <c r="X158" s="861"/>
      <c r="Y158" s="861"/>
      <c r="Z158" s="861"/>
      <c r="AA158" s="861"/>
      <c r="AB158" s="861"/>
      <c r="AC158" s="861"/>
      <c r="AD158" s="861"/>
      <c r="AE158" s="861"/>
      <c r="AF158" s="861"/>
      <c r="AG158" s="861"/>
    </row>
    <row r="159" spans="1:33" ht="17.25" customHeight="1">
      <c r="A159" s="861"/>
      <c r="B159" s="861"/>
      <c r="C159" s="861"/>
      <c r="D159" s="861"/>
      <c r="E159" s="861"/>
      <c r="F159" s="861"/>
      <c r="G159" s="861"/>
      <c r="H159" s="861"/>
      <c r="I159" s="861"/>
      <c r="J159" s="861"/>
      <c r="K159" s="861"/>
      <c r="L159" s="861"/>
      <c r="M159" s="861"/>
      <c r="N159" s="861"/>
      <c r="O159" s="861"/>
      <c r="P159" s="861"/>
      <c r="Q159" s="861"/>
      <c r="R159" s="861"/>
      <c r="S159" s="861"/>
      <c r="T159" s="861"/>
      <c r="U159" s="861"/>
      <c r="V159" s="861"/>
      <c r="W159" s="861"/>
      <c r="X159" s="861"/>
      <c r="Y159" s="861"/>
      <c r="Z159" s="861"/>
      <c r="AA159" s="861"/>
      <c r="AB159" s="861"/>
      <c r="AC159" s="861"/>
      <c r="AD159" s="861"/>
      <c r="AE159" s="861"/>
      <c r="AF159" s="861"/>
      <c r="AG159" s="861"/>
    </row>
    <row r="160" spans="1:33" ht="17.25" customHeight="1">
      <c r="A160" s="861"/>
      <c r="B160" s="861"/>
      <c r="C160" s="861"/>
      <c r="D160" s="861"/>
      <c r="E160" s="861"/>
      <c r="F160" s="861"/>
      <c r="G160" s="861"/>
      <c r="H160" s="861"/>
      <c r="I160" s="861"/>
      <c r="J160" s="861"/>
      <c r="K160" s="861"/>
      <c r="L160" s="861"/>
      <c r="M160" s="861"/>
      <c r="N160" s="861"/>
      <c r="O160" s="861"/>
      <c r="P160" s="861"/>
      <c r="Q160" s="861"/>
      <c r="R160" s="861"/>
      <c r="S160" s="861"/>
      <c r="T160" s="861"/>
      <c r="U160" s="861"/>
      <c r="V160" s="861"/>
      <c r="W160" s="861"/>
      <c r="X160" s="861"/>
      <c r="Y160" s="861"/>
      <c r="Z160" s="861"/>
      <c r="AA160" s="861"/>
      <c r="AB160" s="861"/>
      <c r="AC160" s="861"/>
      <c r="AD160" s="861"/>
      <c r="AE160" s="861"/>
      <c r="AF160" s="861"/>
      <c r="AG160" s="861"/>
    </row>
    <row r="161" spans="1:33" ht="17.25" customHeight="1">
      <c r="A161" s="861"/>
      <c r="B161" s="861"/>
      <c r="C161" s="861"/>
      <c r="D161" s="861"/>
      <c r="E161" s="861"/>
      <c r="F161" s="861"/>
      <c r="G161" s="861"/>
      <c r="H161" s="861"/>
      <c r="I161" s="861"/>
      <c r="J161" s="861"/>
      <c r="K161" s="861"/>
      <c r="L161" s="861"/>
      <c r="M161" s="861"/>
      <c r="N161" s="861"/>
      <c r="O161" s="861"/>
      <c r="P161" s="861"/>
      <c r="Q161" s="861"/>
      <c r="R161" s="861"/>
      <c r="S161" s="861"/>
      <c r="T161" s="861"/>
      <c r="U161" s="861"/>
      <c r="V161" s="861"/>
      <c r="W161" s="861"/>
      <c r="X161" s="861"/>
      <c r="Y161" s="861"/>
      <c r="Z161" s="861"/>
      <c r="AA161" s="861"/>
      <c r="AB161" s="861"/>
      <c r="AC161" s="861"/>
      <c r="AD161" s="861"/>
      <c r="AE161" s="861"/>
      <c r="AF161" s="861"/>
      <c r="AG161" s="861"/>
    </row>
    <row r="162" spans="1:33" ht="17.25" customHeight="1">
      <c r="A162" s="861"/>
      <c r="B162" s="861"/>
      <c r="C162" s="861"/>
      <c r="D162" s="861"/>
      <c r="E162" s="861"/>
      <c r="F162" s="861"/>
      <c r="G162" s="861"/>
      <c r="H162" s="861"/>
      <c r="I162" s="861"/>
      <c r="J162" s="861"/>
      <c r="K162" s="861"/>
      <c r="L162" s="861"/>
      <c r="M162" s="861"/>
      <c r="N162" s="861"/>
      <c r="O162" s="861"/>
      <c r="P162" s="861"/>
      <c r="Q162" s="861"/>
      <c r="R162" s="861"/>
      <c r="S162" s="861"/>
      <c r="T162" s="861"/>
      <c r="U162" s="861"/>
      <c r="V162" s="861"/>
      <c r="W162" s="861"/>
      <c r="X162" s="861"/>
      <c r="Y162" s="861"/>
      <c r="Z162" s="861"/>
      <c r="AA162" s="861"/>
      <c r="AB162" s="861"/>
      <c r="AC162" s="861"/>
      <c r="AD162" s="861"/>
      <c r="AE162" s="861"/>
      <c r="AF162" s="861"/>
      <c r="AG162" s="861"/>
    </row>
    <row r="163" spans="1:33" ht="17.25" customHeight="1">
      <c r="A163" s="861"/>
      <c r="B163" s="861"/>
      <c r="C163" s="861"/>
      <c r="D163" s="861"/>
      <c r="E163" s="861"/>
      <c r="F163" s="861"/>
      <c r="G163" s="861"/>
      <c r="H163" s="861"/>
      <c r="I163" s="861"/>
      <c r="J163" s="861"/>
      <c r="K163" s="861"/>
      <c r="L163" s="861"/>
      <c r="M163" s="861"/>
      <c r="N163" s="861"/>
      <c r="O163" s="861"/>
      <c r="P163" s="861"/>
      <c r="Q163" s="861"/>
      <c r="R163" s="861"/>
      <c r="S163" s="861"/>
      <c r="T163" s="861"/>
      <c r="U163" s="861"/>
      <c r="V163" s="861"/>
      <c r="W163" s="861"/>
      <c r="X163" s="861"/>
      <c r="Y163" s="861"/>
      <c r="Z163" s="861"/>
      <c r="AA163" s="861"/>
      <c r="AB163" s="861"/>
      <c r="AC163" s="861"/>
      <c r="AD163" s="861"/>
      <c r="AE163" s="861"/>
      <c r="AF163" s="861"/>
      <c r="AG163" s="861"/>
    </row>
    <row r="164" spans="1:33" ht="17.25" customHeight="1">
      <c r="A164" s="861"/>
      <c r="B164" s="861"/>
      <c r="C164" s="861"/>
      <c r="D164" s="861"/>
      <c r="E164" s="861"/>
      <c r="F164" s="861"/>
      <c r="G164" s="861"/>
      <c r="H164" s="861"/>
      <c r="I164" s="861"/>
      <c r="J164" s="861"/>
      <c r="K164" s="861"/>
      <c r="L164" s="861"/>
      <c r="M164" s="861"/>
      <c r="N164" s="861"/>
      <c r="O164" s="861"/>
      <c r="P164" s="861"/>
      <c r="Q164" s="861"/>
      <c r="R164" s="861"/>
      <c r="S164" s="861"/>
      <c r="T164" s="861"/>
      <c r="U164" s="861"/>
      <c r="V164" s="861"/>
      <c r="W164" s="861"/>
      <c r="X164" s="861"/>
      <c r="Y164" s="861"/>
      <c r="Z164" s="861"/>
      <c r="AA164" s="861"/>
      <c r="AB164" s="861"/>
      <c r="AC164" s="861"/>
      <c r="AD164" s="861"/>
      <c r="AE164" s="861"/>
      <c r="AF164" s="861"/>
      <c r="AG164" s="861"/>
    </row>
    <row r="165" spans="1:33" ht="17.25" customHeight="1">
      <c r="A165" s="861"/>
      <c r="B165" s="861"/>
      <c r="C165" s="861"/>
      <c r="D165" s="861"/>
      <c r="E165" s="861"/>
      <c r="F165" s="861"/>
      <c r="G165" s="861"/>
      <c r="H165" s="861"/>
      <c r="I165" s="861"/>
      <c r="J165" s="861"/>
      <c r="K165" s="861"/>
      <c r="L165" s="861"/>
      <c r="M165" s="861"/>
      <c r="N165" s="861"/>
      <c r="O165" s="861"/>
      <c r="P165" s="861"/>
      <c r="Q165" s="861"/>
      <c r="R165" s="861"/>
      <c r="S165" s="861"/>
      <c r="T165" s="861"/>
      <c r="U165" s="861"/>
      <c r="V165" s="861"/>
      <c r="W165" s="861"/>
      <c r="X165" s="861"/>
      <c r="Y165" s="861"/>
      <c r="Z165" s="861"/>
      <c r="AA165" s="861"/>
      <c r="AB165" s="861"/>
      <c r="AC165" s="861"/>
      <c r="AD165" s="861"/>
      <c r="AE165" s="861"/>
      <c r="AF165" s="861"/>
      <c r="AG165" s="861"/>
    </row>
    <row r="166" spans="1:33" ht="17.25" customHeight="1">
      <c r="A166" s="861"/>
      <c r="B166" s="861"/>
      <c r="C166" s="861"/>
      <c r="D166" s="861"/>
      <c r="E166" s="861"/>
      <c r="F166" s="861"/>
      <c r="G166" s="861"/>
      <c r="H166" s="861"/>
      <c r="I166" s="861"/>
      <c r="J166" s="861"/>
      <c r="K166" s="861"/>
      <c r="L166" s="861"/>
      <c r="M166" s="861"/>
      <c r="N166" s="861"/>
      <c r="O166" s="861"/>
      <c r="P166" s="861"/>
      <c r="Q166" s="861"/>
      <c r="R166" s="861"/>
      <c r="S166" s="861"/>
      <c r="T166" s="861"/>
      <c r="U166" s="861"/>
      <c r="V166" s="861"/>
      <c r="W166" s="861"/>
      <c r="X166" s="861"/>
      <c r="Y166" s="861"/>
      <c r="Z166" s="861"/>
      <c r="AA166" s="861"/>
      <c r="AB166" s="861"/>
      <c r="AC166" s="861"/>
      <c r="AD166" s="861"/>
      <c r="AE166" s="861"/>
      <c r="AF166" s="861"/>
      <c r="AG166" s="861"/>
    </row>
    <row r="167" spans="1:33" ht="17.25" customHeight="1">
      <c r="A167" s="861"/>
      <c r="B167" s="861"/>
      <c r="C167" s="861"/>
      <c r="D167" s="861"/>
      <c r="E167" s="861"/>
      <c r="F167" s="861"/>
      <c r="G167" s="861"/>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row>
    <row r="168" spans="1:33" ht="17.25" customHeight="1">
      <c r="A168" s="861"/>
      <c r="B168" s="861"/>
      <c r="C168" s="861"/>
      <c r="D168" s="861"/>
      <c r="E168" s="861"/>
      <c r="F168" s="861"/>
      <c r="G168" s="861"/>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row>
    <row r="169" spans="1:33" ht="17.25" customHeight="1">
      <c r="A169" s="861"/>
      <c r="B169" s="861"/>
      <c r="C169" s="861"/>
      <c r="D169" s="861"/>
      <c r="E169" s="861"/>
      <c r="F169" s="861"/>
      <c r="G169" s="861"/>
      <c r="H169" s="861"/>
      <c r="I169" s="861"/>
      <c r="J169" s="861"/>
      <c r="K169" s="861"/>
      <c r="L169" s="861"/>
      <c r="M169" s="861"/>
      <c r="N169" s="861"/>
      <c r="O169" s="861"/>
      <c r="P169" s="861"/>
      <c r="Q169" s="861"/>
      <c r="R169" s="861"/>
      <c r="S169" s="861"/>
      <c r="T169" s="861"/>
      <c r="U169" s="861"/>
      <c r="V169" s="861"/>
      <c r="W169" s="861"/>
      <c r="X169" s="861"/>
      <c r="Y169" s="861"/>
      <c r="Z169" s="861"/>
      <c r="AA169" s="861"/>
      <c r="AB169" s="861"/>
      <c r="AC169" s="861"/>
      <c r="AD169" s="861"/>
      <c r="AE169" s="861"/>
      <c r="AF169" s="861"/>
      <c r="AG169" s="861"/>
    </row>
    <row r="170" spans="1:33" ht="17.25" customHeight="1">
      <c r="A170" s="861"/>
      <c r="B170" s="861"/>
      <c r="C170" s="861"/>
      <c r="D170" s="861"/>
      <c r="E170" s="861"/>
      <c r="F170" s="861"/>
      <c r="G170" s="861"/>
      <c r="H170" s="861"/>
      <c r="I170" s="861"/>
      <c r="J170" s="861"/>
      <c r="K170" s="861"/>
      <c r="L170" s="861"/>
      <c r="M170" s="861"/>
      <c r="N170" s="861"/>
      <c r="O170" s="861"/>
      <c r="P170" s="861"/>
      <c r="Q170" s="861"/>
      <c r="R170" s="861"/>
      <c r="S170" s="861"/>
      <c r="T170" s="861"/>
      <c r="U170" s="861"/>
      <c r="V170" s="861"/>
      <c r="W170" s="861"/>
      <c r="X170" s="861"/>
      <c r="Y170" s="861"/>
      <c r="Z170" s="861"/>
      <c r="AA170" s="861"/>
      <c r="AB170" s="861"/>
      <c r="AC170" s="861"/>
      <c r="AD170" s="861"/>
      <c r="AE170" s="861"/>
      <c r="AF170" s="861"/>
      <c r="AG170" s="861"/>
    </row>
    <row r="171" spans="1:33" ht="17.25" customHeight="1">
      <c r="A171" s="861"/>
      <c r="B171" s="861"/>
      <c r="C171" s="861"/>
      <c r="D171" s="861"/>
      <c r="E171" s="861"/>
      <c r="F171" s="861"/>
      <c r="G171" s="861"/>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row>
    <row r="172" spans="1:33" ht="17.25" customHeight="1">
      <c r="A172" s="861"/>
      <c r="B172" s="861"/>
      <c r="C172" s="861"/>
      <c r="D172" s="861"/>
      <c r="E172" s="861"/>
      <c r="F172" s="861"/>
      <c r="G172" s="861"/>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row>
    <row r="173" spans="1:33" ht="17.25" customHeight="1">
      <c r="A173" s="861"/>
      <c r="B173" s="861"/>
      <c r="C173" s="861"/>
      <c r="D173" s="861"/>
      <c r="E173" s="861"/>
      <c r="F173" s="861"/>
      <c r="G173" s="861"/>
      <c r="H173" s="861"/>
      <c r="I173" s="861"/>
      <c r="J173" s="861"/>
      <c r="K173" s="861"/>
      <c r="L173" s="861"/>
      <c r="M173" s="861"/>
      <c r="N173" s="861"/>
      <c r="O173" s="861"/>
      <c r="P173" s="861"/>
      <c r="Q173" s="861"/>
      <c r="R173" s="861"/>
      <c r="S173" s="861"/>
      <c r="T173" s="861"/>
      <c r="U173" s="861"/>
      <c r="V173" s="861"/>
      <c r="W173" s="861"/>
      <c r="X173" s="861"/>
      <c r="Y173" s="861"/>
      <c r="Z173" s="861"/>
      <c r="AA173" s="861"/>
      <c r="AB173" s="861"/>
      <c r="AC173" s="861"/>
      <c r="AD173" s="861"/>
      <c r="AE173" s="861"/>
      <c r="AF173" s="861"/>
      <c r="AG173" s="861"/>
    </row>
    <row r="174" spans="1:33" ht="17.25" customHeight="1">
      <c r="A174" s="861"/>
      <c r="B174" s="861"/>
      <c r="C174" s="861"/>
      <c r="D174" s="861"/>
      <c r="E174" s="861"/>
      <c r="F174" s="861"/>
      <c r="G174" s="861"/>
      <c r="H174" s="861"/>
      <c r="I174" s="861"/>
      <c r="J174" s="861"/>
      <c r="K174" s="861"/>
      <c r="L174" s="861"/>
      <c r="M174" s="861"/>
      <c r="N174" s="861"/>
      <c r="O174" s="861"/>
      <c r="P174" s="861"/>
      <c r="Q174" s="861"/>
      <c r="R174" s="861"/>
      <c r="S174" s="861"/>
      <c r="T174" s="861"/>
      <c r="U174" s="861"/>
      <c r="V174" s="861"/>
      <c r="W174" s="861"/>
      <c r="X174" s="861"/>
      <c r="Y174" s="861"/>
      <c r="Z174" s="861"/>
      <c r="AA174" s="861"/>
      <c r="AB174" s="861"/>
      <c r="AC174" s="861"/>
      <c r="AD174" s="861"/>
      <c r="AE174" s="861"/>
      <c r="AF174" s="861"/>
      <c r="AG174" s="861"/>
    </row>
    <row r="175" spans="1:33" ht="17.25" customHeight="1">
      <c r="A175" s="861"/>
      <c r="B175" s="861"/>
      <c r="C175" s="861"/>
      <c r="D175" s="861"/>
      <c r="E175" s="861"/>
      <c r="F175" s="861"/>
      <c r="G175" s="861"/>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row>
    <row r="176" spans="1:33" ht="17.25" customHeight="1">
      <c r="A176" s="861"/>
      <c r="B176" s="861"/>
      <c r="C176" s="861"/>
      <c r="D176" s="861"/>
      <c r="E176" s="861"/>
      <c r="F176" s="861"/>
      <c r="G176" s="861"/>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row>
    <row r="177" spans="1:33" ht="17.25" customHeight="1">
      <c r="A177" s="861"/>
      <c r="B177" s="861"/>
      <c r="C177" s="861"/>
      <c r="D177" s="861"/>
      <c r="E177" s="861"/>
      <c r="F177" s="861"/>
      <c r="G177" s="861"/>
      <c r="H177" s="861"/>
      <c r="I177" s="861"/>
      <c r="J177" s="861"/>
      <c r="K177" s="861"/>
      <c r="L177" s="861"/>
      <c r="M177" s="861"/>
      <c r="N177" s="861"/>
      <c r="O177" s="861"/>
      <c r="P177" s="861"/>
      <c r="Q177" s="861"/>
      <c r="R177" s="861"/>
      <c r="S177" s="861"/>
      <c r="T177" s="861"/>
      <c r="U177" s="861"/>
      <c r="V177" s="861"/>
      <c r="W177" s="861"/>
      <c r="X177" s="861"/>
      <c r="Y177" s="861"/>
      <c r="Z177" s="861"/>
      <c r="AA177" s="861"/>
      <c r="AB177" s="861"/>
      <c r="AC177" s="861"/>
      <c r="AD177" s="861"/>
      <c r="AE177" s="861"/>
      <c r="AF177" s="861"/>
      <c r="AG177" s="861"/>
    </row>
    <row r="178" spans="1:33" ht="17.25" customHeight="1">
      <c r="A178" s="861"/>
      <c r="B178" s="861"/>
      <c r="C178" s="861"/>
      <c r="D178" s="861"/>
      <c r="E178" s="861"/>
      <c r="F178" s="861"/>
      <c r="G178" s="861"/>
      <c r="H178" s="861"/>
      <c r="I178" s="861"/>
      <c r="J178" s="861"/>
      <c r="K178" s="861"/>
      <c r="L178" s="861"/>
      <c r="M178" s="861"/>
      <c r="N178" s="861"/>
      <c r="O178" s="861"/>
      <c r="P178" s="861"/>
      <c r="Q178" s="861"/>
      <c r="R178" s="861"/>
      <c r="S178" s="861"/>
      <c r="T178" s="861"/>
      <c r="U178" s="861"/>
      <c r="V178" s="861"/>
      <c r="W178" s="861"/>
      <c r="X178" s="861"/>
      <c r="Y178" s="861"/>
      <c r="Z178" s="861"/>
      <c r="AA178" s="861"/>
      <c r="AB178" s="861"/>
      <c r="AC178" s="861"/>
      <c r="AD178" s="861"/>
      <c r="AE178" s="861"/>
      <c r="AF178" s="861"/>
      <c r="AG178" s="861"/>
    </row>
    <row r="179" spans="1:33" ht="17.25" customHeight="1">
      <c r="A179" s="861"/>
      <c r="B179" s="861"/>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row>
    <row r="180" spans="1:33" ht="17.25" customHeight="1">
      <c r="A180" s="861"/>
      <c r="B180" s="861"/>
      <c r="C180" s="861"/>
      <c r="D180" s="861"/>
      <c r="E180" s="861"/>
      <c r="F180" s="861"/>
      <c r="G180" s="861"/>
      <c r="H180" s="861"/>
      <c r="I180" s="861"/>
      <c r="J180" s="861"/>
      <c r="K180" s="861"/>
      <c r="L180" s="861"/>
      <c r="M180" s="861"/>
      <c r="N180" s="861"/>
      <c r="O180" s="861"/>
      <c r="P180" s="861"/>
      <c r="Q180" s="861"/>
      <c r="R180" s="861"/>
      <c r="S180" s="861"/>
      <c r="T180" s="861"/>
      <c r="U180" s="861"/>
      <c r="V180" s="861"/>
      <c r="W180" s="861"/>
      <c r="X180" s="861"/>
      <c r="Y180" s="861"/>
      <c r="Z180" s="861"/>
      <c r="AA180" s="861"/>
      <c r="AB180" s="861"/>
      <c r="AC180" s="861"/>
      <c r="AD180" s="861"/>
      <c r="AE180" s="861"/>
      <c r="AF180" s="861"/>
      <c r="AG180" s="861"/>
    </row>
    <row r="181" spans="1:33" ht="17.25" customHeight="1">
      <c r="A181" s="861"/>
      <c r="B181" s="861"/>
      <c r="C181" s="861"/>
      <c r="D181" s="861"/>
      <c r="E181" s="861"/>
      <c r="F181" s="861"/>
      <c r="G181" s="861"/>
      <c r="H181" s="861"/>
      <c r="I181" s="861"/>
      <c r="J181" s="861"/>
      <c r="K181" s="861"/>
      <c r="L181" s="861"/>
      <c r="M181" s="861"/>
      <c r="N181" s="861"/>
      <c r="O181" s="861"/>
      <c r="P181" s="861"/>
      <c r="Q181" s="861"/>
      <c r="R181" s="861"/>
      <c r="S181" s="861"/>
      <c r="T181" s="861"/>
      <c r="U181" s="861"/>
      <c r="V181" s="861"/>
      <c r="W181" s="861"/>
      <c r="X181" s="861"/>
      <c r="Y181" s="861"/>
      <c r="Z181" s="861"/>
      <c r="AA181" s="861"/>
      <c r="AB181" s="861"/>
      <c r="AC181" s="861"/>
      <c r="AD181" s="861"/>
      <c r="AE181" s="861"/>
      <c r="AF181" s="861"/>
      <c r="AG181" s="861"/>
    </row>
    <row r="182" spans="1:33" ht="17.25" customHeight="1">
      <c r="A182" s="861"/>
      <c r="B182" s="861"/>
      <c r="C182" s="861"/>
      <c r="D182" s="861"/>
      <c r="E182" s="861"/>
      <c r="F182" s="861"/>
      <c r="G182" s="861"/>
      <c r="H182" s="861"/>
      <c r="I182" s="861"/>
      <c r="J182" s="861"/>
      <c r="K182" s="861"/>
      <c r="L182" s="861"/>
      <c r="M182" s="861"/>
      <c r="N182" s="861"/>
      <c r="O182" s="861"/>
      <c r="P182" s="861"/>
      <c r="Q182" s="861"/>
      <c r="R182" s="861"/>
      <c r="S182" s="861"/>
      <c r="T182" s="861"/>
      <c r="U182" s="861"/>
      <c r="V182" s="861"/>
      <c r="W182" s="861"/>
      <c r="X182" s="861"/>
      <c r="Y182" s="861"/>
      <c r="Z182" s="861"/>
      <c r="AA182" s="861"/>
      <c r="AB182" s="861"/>
      <c r="AC182" s="861"/>
      <c r="AD182" s="861"/>
      <c r="AE182" s="861"/>
      <c r="AF182" s="861"/>
      <c r="AG182" s="861"/>
    </row>
    <row r="183" spans="1:33" ht="17.25" customHeight="1">
      <c r="A183" s="861"/>
      <c r="B183" s="861"/>
      <c r="C183" s="861"/>
      <c r="D183" s="861"/>
      <c r="E183" s="861"/>
      <c r="F183" s="861"/>
      <c r="G183" s="861"/>
      <c r="H183" s="861"/>
      <c r="I183" s="861"/>
      <c r="J183" s="861"/>
      <c r="K183" s="861"/>
      <c r="L183" s="861"/>
      <c r="M183" s="861"/>
      <c r="N183" s="861"/>
      <c r="O183" s="861"/>
      <c r="P183" s="861"/>
      <c r="Q183" s="861"/>
      <c r="R183" s="861"/>
      <c r="S183" s="861"/>
      <c r="T183" s="861"/>
      <c r="U183" s="861"/>
      <c r="V183" s="861"/>
      <c r="W183" s="861"/>
      <c r="X183" s="861"/>
      <c r="Y183" s="861"/>
      <c r="Z183" s="861"/>
      <c r="AA183" s="861"/>
      <c r="AB183" s="861"/>
      <c r="AC183" s="861"/>
      <c r="AD183" s="861"/>
      <c r="AE183" s="861"/>
      <c r="AF183" s="861"/>
      <c r="AG183" s="861"/>
    </row>
    <row r="184" spans="1:33" ht="17.25" customHeight="1">
      <c r="A184" s="861"/>
      <c r="B184" s="861"/>
      <c r="C184" s="861"/>
      <c r="D184" s="861"/>
      <c r="E184" s="861"/>
      <c r="F184" s="861"/>
      <c r="G184" s="861"/>
      <c r="H184" s="861"/>
      <c r="I184" s="861"/>
      <c r="J184" s="861"/>
      <c r="K184" s="861"/>
      <c r="L184" s="861"/>
      <c r="M184" s="861"/>
      <c r="N184" s="861"/>
      <c r="O184" s="861"/>
      <c r="P184" s="861"/>
      <c r="Q184" s="861"/>
      <c r="R184" s="861"/>
      <c r="S184" s="861"/>
      <c r="T184" s="861"/>
      <c r="U184" s="861"/>
      <c r="V184" s="861"/>
      <c r="W184" s="861"/>
      <c r="X184" s="861"/>
      <c r="Y184" s="861"/>
      <c r="Z184" s="861"/>
      <c r="AA184" s="861"/>
      <c r="AB184" s="861"/>
      <c r="AC184" s="861"/>
      <c r="AD184" s="861"/>
      <c r="AE184" s="861"/>
      <c r="AF184" s="861"/>
      <c r="AG184" s="861"/>
    </row>
    <row r="185" spans="1:33" ht="17.25" customHeight="1">
      <c r="A185" s="861"/>
      <c r="B185" s="861"/>
      <c r="C185" s="861"/>
      <c r="D185" s="861"/>
      <c r="E185" s="861"/>
      <c r="F185" s="861"/>
      <c r="G185" s="861"/>
      <c r="H185" s="861"/>
      <c r="I185" s="861"/>
      <c r="J185" s="861"/>
      <c r="K185" s="861"/>
      <c r="L185" s="861"/>
      <c r="M185" s="861"/>
      <c r="N185" s="861"/>
      <c r="O185" s="861"/>
      <c r="P185" s="861"/>
      <c r="Q185" s="861"/>
      <c r="R185" s="861"/>
      <c r="S185" s="861"/>
      <c r="T185" s="861"/>
      <c r="U185" s="861"/>
      <c r="V185" s="861"/>
      <c r="W185" s="861"/>
      <c r="X185" s="861"/>
      <c r="Y185" s="861"/>
      <c r="Z185" s="861"/>
      <c r="AA185" s="861"/>
      <c r="AB185" s="861"/>
      <c r="AC185" s="861"/>
      <c r="AD185" s="861"/>
      <c r="AE185" s="861"/>
      <c r="AF185" s="861"/>
      <c r="AG185" s="861"/>
    </row>
    <row r="186" spans="1:33" ht="17.25" customHeight="1">
      <c r="A186" s="861"/>
      <c r="B186" s="861"/>
      <c r="C186" s="861"/>
      <c r="D186" s="861"/>
      <c r="E186" s="861"/>
      <c r="F186" s="861"/>
      <c r="G186" s="861"/>
      <c r="H186" s="861"/>
      <c r="I186" s="861"/>
      <c r="J186" s="861"/>
      <c r="K186" s="861"/>
      <c r="L186" s="861"/>
      <c r="M186" s="861"/>
      <c r="N186" s="861"/>
      <c r="O186" s="861"/>
      <c r="P186" s="861"/>
      <c r="Q186" s="861"/>
      <c r="R186" s="861"/>
      <c r="S186" s="861"/>
      <c r="T186" s="861"/>
      <c r="U186" s="861"/>
      <c r="V186" s="861"/>
      <c r="W186" s="861"/>
      <c r="X186" s="861"/>
      <c r="Y186" s="861"/>
      <c r="Z186" s="861"/>
      <c r="AA186" s="861"/>
      <c r="AB186" s="861"/>
      <c r="AC186" s="861"/>
      <c r="AD186" s="861"/>
      <c r="AE186" s="861"/>
      <c r="AF186" s="861"/>
      <c r="AG186" s="861"/>
    </row>
    <row r="187" spans="1:33" ht="17.25" customHeight="1">
      <c r="A187" s="861"/>
      <c r="B187" s="861"/>
      <c r="C187" s="861"/>
      <c r="D187" s="861"/>
      <c r="E187" s="861"/>
      <c r="F187" s="861"/>
      <c r="G187" s="861"/>
      <c r="H187" s="861"/>
      <c r="I187" s="861"/>
      <c r="J187" s="861"/>
      <c r="K187" s="861"/>
      <c r="L187" s="861"/>
      <c r="M187" s="861"/>
      <c r="N187" s="861"/>
      <c r="O187" s="861"/>
      <c r="P187" s="861"/>
      <c r="Q187" s="861"/>
      <c r="R187" s="861"/>
      <c r="S187" s="861"/>
      <c r="T187" s="861"/>
      <c r="U187" s="861"/>
      <c r="V187" s="861"/>
      <c r="W187" s="861"/>
      <c r="X187" s="861"/>
      <c r="Y187" s="861"/>
      <c r="Z187" s="861"/>
      <c r="AA187" s="861"/>
      <c r="AB187" s="861"/>
      <c r="AC187" s="861"/>
      <c r="AD187" s="861"/>
      <c r="AE187" s="861"/>
      <c r="AF187" s="861"/>
      <c r="AG187" s="861"/>
    </row>
    <row r="188" spans="1:33" ht="17.25" customHeight="1">
      <c r="A188" s="861"/>
      <c r="B188" s="861"/>
      <c r="C188" s="861"/>
      <c r="D188" s="861"/>
      <c r="E188" s="861"/>
      <c r="F188" s="861"/>
      <c r="G188" s="861"/>
      <c r="H188" s="861"/>
      <c r="I188" s="861"/>
      <c r="J188" s="861"/>
      <c r="K188" s="861"/>
      <c r="L188" s="861"/>
      <c r="M188" s="861"/>
      <c r="N188" s="861"/>
      <c r="O188" s="861"/>
      <c r="P188" s="861"/>
      <c r="Q188" s="861"/>
      <c r="R188" s="861"/>
      <c r="S188" s="861"/>
      <c r="T188" s="861"/>
      <c r="U188" s="861"/>
      <c r="V188" s="861"/>
      <c r="W188" s="861"/>
      <c r="X188" s="861"/>
      <c r="Y188" s="861"/>
      <c r="Z188" s="861"/>
      <c r="AA188" s="861"/>
      <c r="AB188" s="861"/>
      <c r="AC188" s="861"/>
      <c r="AD188" s="861"/>
      <c r="AE188" s="861"/>
      <c r="AF188" s="861"/>
      <c r="AG188" s="861"/>
    </row>
    <row r="189" spans="1:33" ht="17.25" customHeight="1">
      <c r="A189" s="861"/>
      <c r="B189" s="861"/>
      <c r="C189" s="861"/>
      <c r="D189" s="861"/>
      <c r="E189" s="861"/>
      <c r="F189" s="861"/>
      <c r="G189" s="861"/>
      <c r="H189" s="861"/>
      <c r="I189" s="861"/>
      <c r="J189" s="861"/>
      <c r="K189" s="861"/>
      <c r="L189" s="861"/>
      <c r="M189" s="861"/>
      <c r="N189" s="861"/>
      <c r="O189" s="861"/>
      <c r="P189" s="861"/>
      <c r="Q189" s="861"/>
      <c r="R189" s="861"/>
      <c r="S189" s="861"/>
      <c r="T189" s="861"/>
      <c r="U189" s="861"/>
      <c r="V189" s="861"/>
      <c r="W189" s="861"/>
      <c r="X189" s="861"/>
      <c r="Y189" s="861"/>
      <c r="Z189" s="861"/>
      <c r="AA189" s="861"/>
      <c r="AB189" s="861"/>
      <c r="AC189" s="861"/>
      <c r="AD189" s="861"/>
      <c r="AE189" s="861"/>
      <c r="AF189" s="861"/>
      <c r="AG189" s="861"/>
    </row>
    <row r="190" spans="1:33" ht="17.25" customHeight="1">
      <c r="A190" s="861"/>
      <c r="B190" s="861"/>
      <c r="C190" s="861"/>
      <c r="D190" s="861"/>
      <c r="E190" s="861"/>
      <c r="F190" s="861"/>
      <c r="G190" s="861"/>
      <c r="H190" s="861"/>
      <c r="I190" s="861"/>
      <c r="J190" s="861"/>
      <c r="K190" s="861"/>
      <c r="L190" s="861"/>
      <c r="M190" s="861"/>
      <c r="N190" s="861"/>
      <c r="O190" s="861"/>
      <c r="P190" s="861"/>
      <c r="Q190" s="861"/>
      <c r="R190" s="861"/>
      <c r="S190" s="861"/>
      <c r="T190" s="861"/>
      <c r="U190" s="861"/>
      <c r="V190" s="861"/>
      <c r="W190" s="861"/>
      <c r="X190" s="861"/>
      <c r="Y190" s="861"/>
      <c r="Z190" s="861"/>
      <c r="AA190" s="861"/>
      <c r="AB190" s="861"/>
      <c r="AC190" s="861"/>
      <c r="AD190" s="861"/>
      <c r="AE190" s="861"/>
      <c r="AF190" s="861"/>
      <c r="AG190" s="861"/>
    </row>
    <row r="191" spans="1:33" ht="17.25" customHeight="1">
      <c r="A191" s="861"/>
      <c r="B191" s="861"/>
      <c r="C191" s="861"/>
      <c r="D191" s="861"/>
      <c r="E191" s="861"/>
      <c r="F191" s="861"/>
      <c r="G191" s="861"/>
      <c r="H191" s="861"/>
      <c r="I191" s="861"/>
      <c r="J191" s="861"/>
      <c r="K191" s="861"/>
      <c r="L191" s="861"/>
      <c r="M191" s="861"/>
      <c r="N191" s="861"/>
      <c r="O191" s="861"/>
      <c r="P191" s="861"/>
      <c r="Q191" s="861"/>
      <c r="R191" s="861"/>
      <c r="S191" s="861"/>
      <c r="T191" s="861"/>
      <c r="U191" s="861"/>
      <c r="V191" s="861"/>
      <c r="W191" s="861"/>
      <c r="X191" s="861"/>
      <c r="Y191" s="861"/>
      <c r="Z191" s="861"/>
      <c r="AA191" s="861"/>
      <c r="AB191" s="861"/>
      <c r="AC191" s="861"/>
      <c r="AD191" s="861"/>
      <c r="AE191" s="861"/>
      <c r="AF191" s="861"/>
      <c r="AG191" s="861"/>
    </row>
    <row r="192" spans="1:33" ht="17.25" customHeight="1">
      <c r="A192" s="861"/>
      <c r="B192" s="861"/>
      <c r="C192" s="861"/>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1"/>
      <c r="AE192" s="861"/>
      <c r="AF192" s="861"/>
      <c r="AG192" s="861"/>
    </row>
    <row r="193" spans="1:33" ht="17.25" customHeight="1">
      <c r="A193" s="861"/>
      <c r="B193" s="861"/>
      <c r="C193" s="861"/>
      <c r="D193" s="861"/>
      <c r="E193" s="861"/>
      <c r="F193" s="861"/>
      <c r="G193" s="861"/>
      <c r="H193" s="861"/>
      <c r="I193" s="861"/>
      <c r="J193" s="861"/>
      <c r="K193" s="861"/>
      <c r="L193" s="861"/>
      <c r="M193" s="861"/>
      <c r="N193" s="861"/>
      <c r="O193" s="861"/>
      <c r="P193" s="861"/>
      <c r="Q193" s="861"/>
      <c r="R193" s="861"/>
      <c r="S193" s="861"/>
      <c r="T193" s="861"/>
      <c r="U193" s="861"/>
      <c r="V193" s="861"/>
      <c r="W193" s="861"/>
      <c r="X193" s="861"/>
      <c r="Y193" s="861"/>
      <c r="Z193" s="861"/>
      <c r="AA193" s="861"/>
      <c r="AB193" s="861"/>
      <c r="AC193" s="861"/>
      <c r="AD193" s="861"/>
      <c r="AE193" s="861"/>
      <c r="AF193" s="861"/>
      <c r="AG193" s="861"/>
    </row>
    <row r="194" spans="1:33" ht="17.25" customHeight="1">
      <c r="A194" s="861"/>
      <c r="B194" s="861"/>
      <c r="C194" s="861"/>
      <c r="D194" s="861"/>
      <c r="E194" s="861"/>
      <c r="F194" s="861"/>
      <c r="G194" s="861"/>
      <c r="H194" s="861"/>
      <c r="I194" s="861"/>
      <c r="J194" s="861"/>
      <c r="K194" s="861"/>
      <c r="L194" s="861"/>
      <c r="M194" s="861"/>
      <c r="N194" s="861"/>
      <c r="O194" s="861"/>
      <c r="P194" s="861"/>
      <c r="Q194" s="861"/>
      <c r="R194" s="861"/>
      <c r="S194" s="861"/>
      <c r="T194" s="861"/>
      <c r="U194" s="861"/>
      <c r="V194" s="861"/>
      <c r="W194" s="861"/>
      <c r="X194" s="861"/>
      <c r="Y194" s="861"/>
      <c r="Z194" s="861"/>
      <c r="AA194" s="861"/>
      <c r="AB194" s="861"/>
      <c r="AC194" s="861"/>
      <c r="AD194" s="861"/>
      <c r="AE194" s="861"/>
      <c r="AF194" s="861"/>
      <c r="AG194" s="861"/>
    </row>
    <row r="195" spans="1:33" ht="17.25" customHeight="1">
      <c r="A195" s="861"/>
      <c r="B195" s="861"/>
      <c r="C195" s="861"/>
      <c r="D195" s="861"/>
      <c r="E195" s="861"/>
      <c r="F195" s="861"/>
      <c r="G195" s="861"/>
      <c r="H195" s="861"/>
      <c r="I195" s="861"/>
      <c r="J195" s="861"/>
      <c r="K195" s="861"/>
      <c r="L195" s="861"/>
      <c r="M195" s="861"/>
      <c r="N195" s="861"/>
      <c r="O195" s="861"/>
      <c r="P195" s="861"/>
      <c r="Q195" s="861"/>
      <c r="R195" s="861"/>
      <c r="S195" s="861"/>
      <c r="T195" s="861"/>
      <c r="U195" s="861"/>
      <c r="V195" s="861"/>
      <c r="W195" s="861"/>
      <c r="X195" s="861"/>
      <c r="Y195" s="861"/>
      <c r="Z195" s="861"/>
      <c r="AA195" s="861"/>
      <c r="AB195" s="861"/>
      <c r="AC195" s="861"/>
      <c r="AD195" s="861"/>
      <c r="AE195" s="861"/>
      <c r="AF195" s="861"/>
      <c r="AG195" s="861"/>
    </row>
    <row r="196" spans="1:33" ht="17.25" customHeight="1">
      <c r="A196" s="861"/>
      <c r="B196" s="861"/>
      <c r="C196" s="861"/>
      <c r="D196" s="861"/>
      <c r="E196" s="861"/>
      <c r="F196" s="861"/>
      <c r="G196" s="861"/>
      <c r="H196" s="861"/>
      <c r="I196" s="861"/>
      <c r="J196" s="861"/>
      <c r="K196" s="861"/>
      <c r="L196" s="861"/>
      <c r="M196" s="861"/>
      <c r="N196" s="861"/>
      <c r="O196" s="861"/>
      <c r="P196" s="861"/>
      <c r="Q196" s="861"/>
      <c r="R196" s="861"/>
      <c r="S196" s="861"/>
      <c r="T196" s="861"/>
      <c r="U196" s="861"/>
      <c r="V196" s="861"/>
      <c r="W196" s="861"/>
      <c r="X196" s="861"/>
      <c r="Y196" s="861"/>
      <c r="Z196" s="861"/>
      <c r="AA196" s="861"/>
      <c r="AB196" s="861"/>
      <c r="AC196" s="861"/>
      <c r="AD196" s="861"/>
      <c r="AE196" s="861"/>
      <c r="AF196" s="861"/>
      <c r="AG196" s="861"/>
    </row>
    <row r="197" spans="1:33" ht="17.25" customHeight="1">
      <c r="A197" s="861"/>
      <c r="B197" s="861"/>
      <c r="C197" s="861"/>
      <c r="D197" s="861"/>
      <c r="E197" s="861"/>
      <c r="F197" s="861"/>
      <c r="G197" s="861"/>
      <c r="H197" s="861"/>
      <c r="I197" s="861"/>
      <c r="J197" s="861"/>
      <c r="K197" s="861"/>
      <c r="L197" s="861"/>
      <c r="M197" s="861"/>
      <c r="N197" s="861"/>
      <c r="O197" s="861"/>
      <c r="P197" s="861"/>
      <c r="Q197" s="861"/>
      <c r="R197" s="861"/>
      <c r="S197" s="861"/>
      <c r="T197" s="861"/>
      <c r="U197" s="861"/>
      <c r="V197" s="861"/>
      <c r="W197" s="861"/>
      <c r="X197" s="861"/>
      <c r="Y197" s="861"/>
      <c r="Z197" s="861"/>
      <c r="AA197" s="861"/>
      <c r="AB197" s="861"/>
      <c r="AC197" s="861"/>
      <c r="AD197" s="861"/>
      <c r="AE197" s="861"/>
      <c r="AF197" s="861"/>
      <c r="AG197" s="861"/>
    </row>
    <row r="198" spans="1:33" ht="17.25" customHeight="1">
      <c r="A198" s="861"/>
      <c r="B198" s="861"/>
      <c r="C198" s="861"/>
      <c r="D198" s="861"/>
      <c r="E198" s="861"/>
      <c r="F198" s="861"/>
      <c r="G198" s="861"/>
      <c r="H198" s="861"/>
      <c r="I198" s="861"/>
      <c r="J198" s="861"/>
      <c r="K198" s="861"/>
      <c r="L198" s="861"/>
      <c r="M198" s="861"/>
      <c r="N198" s="861"/>
      <c r="O198" s="861"/>
      <c r="P198" s="861"/>
      <c r="Q198" s="861"/>
      <c r="R198" s="861"/>
      <c r="S198" s="861"/>
      <c r="T198" s="861"/>
      <c r="U198" s="861"/>
      <c r="V198" s="861"/>
      <c r="W198" s="861"/>
      <c r="X198" s="861"/>
      <c r="Y198" s="861"/>
      <c r="Z198" s="861"/>
      <c r="AA198" s="861"/>
      <c r="AB198" s="861"/>
      <c r="AC198" s="861"/>
      <c r="AD198" s="861"/>
      <c r="AE198" s="861"/>
      <c r="AF198" s="861"/>
      <c r="AG198" s="861"/>
    </row>
    <row r="199" spans="1:33" ht="17.25" customHeight="1">
      <c r="A199" s="861"/>
      <c r="B199" s="861"/>
      <c r="C199" s="861"/>
      <c r="D199" s="861"/>
      <c r="E199" s="861"/>
      <c r="F199" s="861"/>
      <c r="G199" s="861"/>
      <c r="H199" s="861"/>
      <c r="I199" s="861"/>
      <c r="J199" s="861"/>
      <c r="K199" s="861"/>
      <c r="L199" s="861"/>
      <c r="M199" s="861"/>
      <c r="N199" s="861"/>
      <c r="O199" s="861"/>
      <c r="P199" s="861"/>
      <c r="Q199" s="861"/>
      <c r="R199" s="861"/>
      <c r="S199" s="861"/>
      <c r="T199" s="861"/>
      <c r="U199" s="861"/>
      <c r="V199" s="861"/>
      <c r="W199" s="861"/>
      <c r="X199" s="861"/>
      <c r="Y199" s="861"/>
      <c r="Z199" s="861"/>
      <c r="AA199" s="861"/>
      <c r="AB199" s="861"/>
      <c r="AC199" s="861"/>
      <c r="AD199" s="861"/>
      <c r="AE199" s="861"/>
      <c r="AF199" s="861"/>
      <c r="AG199" s="861"/>
    </row>
    <row r="200" spans="1:33" ht="17.25" customHeight="1">
      <c r="A200" s="861"/>
      <c r="B200" s="861"/>
      <c r="C200" s="861"/>
      <c r="D200" s="861"/>
      <c r="E200" s="861"/>
      <c r="F200" s="861"/>
      <c r="G200" s="861"/>
      <c r="H200" s="861"/>
      <c r="I200" s="861"/>
      <c r="J200" s="861"/>
      <c r="K200" s="861"/>
      <c r="L200" s="861"/>
      <c r="M200" s="861"/>
      <c r="N200" s="861"/>
      <c r="O200" s="861"/>
      <c r="P200" s="861"/>
      <c r="Q200" s="861"/>
      <c r="R200" s="861"/>
      <c r="S200" s="861"/>
      <c r="T200" s="861"/>
      <c r="U200" s="861"/>
      <c r="V200" s="861"/>
      <c r="W200" s="861"/>
      <c r="X200" s="861"/>
      <c r="Y200" s="861"/>
      <c r="Z200" s="861"/>
      <c r="AA200" s="861"/>
      <c r="AB200" s="861"/>
      <c r="AC200" s="861"/>
      <c r="AD200" s="861"/>
      <c r="AE200" s="861"/>
      <c r="AF200" s="861"/>
      <c r="AG200" s="861"/>
    </row>
    <row r="201" spans="1:33" ht="17.25" customHeight="1">
      <c r="A201" s="861"/>
      <c r="B201" s="861"/>
      <c r="C201" s="861"/>
      <c r="D201" s="861"/>
      <c r="E201" s="861"/>
      <c r="F201" s="861"/>
      <c r="G201" s="861"/>
      <c r="H201" s="861"/>
      <c r="I201" s="861"/>
      <c r="J201" s="861"/>
      <c r="K201" s="861"/>
      <c r="L201" s="861"/>
      <c r="M201" s="861"/>
      <c r="N201" s="861"/>
      <c r="O201" s="861"/>
      <c r="P201" s="861"/>
      <c r="Q201" s="861"/>
      <c r="R201" s="861"/>
      <c r="S201" s="861"/>
      <c r="T201" s="861"/>
      <c r="U201" s="861"/>
      <c r="V201" s="861"/>
      <c r="W201" s="861"/>
      <c r="X201" s="861"/>
      <c r="Y201" s="861"/>
      <c r="Z201" s="861"/>
      <c r="AA201" s="861"/>
      <c r="AB201" s="861"/>
      <c r="AC201" s="861"/>
      <c r="AD201" s="861"/>
      <c r="AE201" s="861"/>
      <c r="AF201" s="861"/>
      <c r="AG201" s="861"/>
    </row>
    <row r="202" spans="1:33" ht="17.25" customHeight="1">
      <c r="A202" s="861"/>
      <c r="B202" s="861"/>
      <c r="C202" s="861"/>
      <c r="D202" s="861"/>
      <c r="E202" s="861"/>
      <c r="F202" s="861"/>
      <c r="G202" s="861"/>
      <c r="H202" s="861"/>
      <c r="I202" s="861"/>
      <c r="J202" s="861"/>
      <c r="K202" s="861"/>
      <c r="L202" s="861"/>
      <c r="M202" s="861"/>
      <c r="N202" s="861"/>
      <c r="O202" s="861"/>
      <c r="P202" s="861"/>
      <c r="Q202" s="861"/>
      <c r="R202" s="861"/>
      <c r="S202" s="861"/>
      <c r="T202" s="861"/>
      <c r="U202" s="861"/>
      <c r="V202" s="861"/>
      <c r="W202" s="861"/>
      <c r="X202" s="861"/>
      <c r="Y202" s="861"/>
      <c r="Z202" s="861"/>
      <c r="AA202" s="861"/>
      <c r="AB202" s="861"/>
      <c r="AC202" s="861"/>
      <c r="AD202" s="861"/>
      <c r="AE202" s="861"/>
      <c r="AF202" s="861"/>
      <c r="AG202" s="861"/>
    </row>
    <row r="203" spans="1:33" ht="17.25" customHeight="1">
      <c r="A203" s="861"/>
      <c r="B203" s="861"/>
      <c r="C203" s="861"/>
      <c r="D203" s="861"/>
      <c r="E203" s="861"/>
      <c r="F203" s="861"/>
      <c r="G203" s="861"/>
      <c r="H203" s="861"/>
      <c r="I203" s="861"/>
      <c r="J203" s="861"/>
      <c r="K203" s="861"/>
      <c r="L203" s="861"/>
      <c r="M203" s="861"/>
      <c r="N203" s="861"/>
      <c r="O203" s="861"/>
      <c r="P203" s="861"/>
      <c r="Q203" s="861"/>
      <c r="R203" s="861"/>
      <c r="S203" s="861"/>
      <c r="T203" s="861"/>
      <c r="U203" s="861"/>
      <c r="V203" s="861"/>
      <c r="W203" s="861"/>
      <c r="X203" s="861"/>
      <c r="Y203" s="861"/>
      <c r="Z203" s="861"/>
      <c r="AA203" s="861"/>
      <c r="AB203" s="861"/>
      <c r="AC203" s="861"/>
      <c r="AD203" s="861"/>
      <c r="AE203" s="861"/>
      <c r="AF203" s="861"/>
      <c r="AG203" s="861"/>
    </row>
    <row r="204" spans="1:33" ht="17.25" customHeight="1">
      <c r="A204" s="861"/>
      <c r="B204" s="861"/>
      <c r="C204" s="861"/>
      <c r="D204" s="861"/>
      <c r="E204" s="861"/>
      <c r="F204" s="861"/>
      <c r="G204" s="861"/>
      <c r="H204" s="861"/>
      <c r="I204" s="861"/>
      <c r="J204" s="861"/>
      <c r="K204" s="861"/>
      <c r="L204" s="861"/>
      <c r="M204" s="861"/>
      <c r="N204" s="861"/>
      <c r="O204" s="861"/>
      <c r="P204" s="861"/>
      <c r="Q204" s="861"/>
      <c r="R204" s="861"/>
      <c r="S204" s="861"/>
      <c r="T204" s="861"/>
      <c r="U204" s="861"/>
      <c r="V204" s="861"/>
      <c r="W204" s="861"/>
      <c r="X204" s="861"/>
      <c r="Y204" s="861"/>
      <c r="Z204" s="861"/>
      <c r="AA204" s="861"/>
      <c r="AB204" s="861"/>
      <c r="AC204" s="861"/>
      <c r="AD204" s="861"/>
      <c r="AE204" s="861"/>
      <c r="AF204" s="861"/>
      <c r="AG204" s="861"/>
    </row>
    <row r="205" spans="1:33" ht="17.25" customHeight="1">
      <c r="A205" s="861"/>
      <c r="B205" s="861"/>
      <c r="C205" s="861"/>
      <c r="D205" s="861"/>
      <c r="E205" s="861"/>
      <c r="F205" s="861"/>
      <c r="G205" s="861"/>
      <c r="H205" s="861"/>
      <c r="I205" s="861"/>
      <c r="J205" s="861"/>
      <c r="K205" s="861"/>
      <c r="L205" s="861"/>
      <c r="M205" s="861"/>
      <c r="N205" s="861"/>
      <c r="O205" s="861"/>
      <c r="P205" s="861"/>
      <c r="Q205" s="861"/>
      <c r="R205" s="861"/>
      <c r="S205" s="861"/>
      <c r="T205" s="861"/>
      <c r="U205" s="861"/>
      <c r="V205" s="861"/>
      <c r="W205" s="861"/>
      <c r="X205" s="861"/>
      <c r="Y205" s="861"/>
      <c r="Z205" s="861"/>
      <c r="AA205" s="861"/>
      <c r="AB205" s="861"/>
      <c r="AC205" s="861"/>
      <c r="AD205" s="861"/>
      <c r="AE205" s="861"/>
      <c r="AF205" s="861"/>
      <c r="AG205" s="861"/>
    </row>
    <row r="206" spans="1:33" ht="17.25" customHeight="1">
      <c r="A206" s="861"/>
      <c r="B206" s="861"/>
      <c r="C206" s="861"/>
      <c r="D206" s="861"/>
      <c r="E206" s="861"/>
      <c r="F206" s="861"/>
      <c r="G206" s="861"/>
      <c r="H206" s="861"/>
      <c r="I206" s="861"/>
      <c r="J206" s="861"/>
      <c r="K206" s="861"/>
      <c r="L206" s="861"/>
      <c r="M206" s="861"/>
      <c r="N206" s="861"/>
      <c r="O206" s="861"/>
      <c r="P206" s="861"/>
      <c r="Q206" s="861"/>
      <c r="R206" s="861"/>
      <c r="S206" s="861"/>
      <c r="T206" s="861"/>
      <c r="U206" s="861"/>
      <c r="V206" s="861"/>
      <c r="W206" s="861"/>
      <c r="X206" s="861"/>
      <c r="Y206" s="861"/>
      <c r="Z206" s="861"/>
      <c r="AA206" s="861"/>
      <c r="AB206" s="861"/>
      <c r="AC206" s="861"/>
      <c r="AD206" s="861"/>
      <c r="AE206" s="861"/>
      <c r="AF206" s="861"/>
      <c r="AG206" s="861"/>
    </row>
    <row r="207" spans="1:33" ht="17.25" customHeight="1">
      <c r="A207" s="861"/>
      <c r="B207" s="861"/>
      <c r="C207" s="861"/>
      <c r="D207" s="861"/>
      <c r="E207" s="861"/>
      <c r="F207" s="861"/>
      <c r="G207" s="861"/>
      <c r="H207" s="861"/>
      <c r="I207" s="861"/>
      <c r="J207" s="861"/>
      <c r="K207" s="861"/>
      <c r="L207" s="861"/>
      <c r="M207" s="861"/>
      <c r="N207" s="861"/>
      <c r="O207" s="861"/>
      <c r="P207" s="861"/>
      <c r="Q207" s="861"/>
      <c r="R207" s="861"/>
      <c r="S207" s="861"/>
      <c r="T207" s="861"/>
      <c r="U207" s="861"/>
      <c r="V207" s="861"/>
      <c r="W207" s="861"/>
      <c r="X207" s="861"/>
      <c r="Y207" s="861"/>
      <c r="Z207" s="861"/>
      <c r="AA207" s="861"/>
      <c r="AB207" s="861"/>
      <c r="AC207" s="861"/>
      <c r="AD207" s="861"/>
      <c r="AE207" s="861"/>
      <c r="AF207" s="861"/>
      <c r="AG207" s="861"/>
    </row>
    <row r="208" spans="1:33" ht="17.25" customHeight="1">
      <c r="A208" s="861"/>
      <c r="B208" s="861"/>
      <c r="C208" s="861"/>
      <c r="D208" s="861"/>
      <c r="E208" s="861"/>
      <c r="F208" s="861"/>
      <c r="G208" s="861"/>
      <c r="H208" s="861"/>
      <c r="I208" s="861"/>
      <c r="J208" s="861"/>
      <c r="K208" s="861"/>
      <c r="L208" s="861"/>
      <c r="M208" s="861"/>
      <c r="N208" s="861"/>
      <c r="O208" s="861"/>
      <c r="P208" s="861"/>
      <c r="Q208" s="861"/>
      <c r="R208" s="861"/>
      <c r="S208" s="861"/>
      <c r="T208" s="861"/>
      <c r="U208" s="861"/>
      <c r="V208" s="861"/>
      <c r="W208" s="861"/>
      <c r="X208" s="861"/>
      <c r="Y208" s="861"/>
      <c r="Z208" s="861"/>
      <c r="AA208" s="861"/>
      <c r="AB208" s="861"/>
      <c r="AC208" s="861"/>
      <c r="AD208" s="861"/>
      <c r="AE208" s="861"/>
      <c r="AF208" s="861"/>
      <c r="AG208" s="861"/>
    </row>
    <row r="209" spans="1:33" ht="17.25" customHeight="1">
      <c r="A209" s="861"/>
      <c r="B209" s="861"/>
      <c r="C209" s="861"/>
      <c r="D209" s="861"/>
      <c r="E209" s="861"/>
      <c r="F209" s="861"/>
      <c r="G209" s="861"/>
      <c r="H209" s="861"/>
      <c r="I209" s="861"/>
      <c r="J209" s="861"/>
      <c r="K209" s="861"/>
      <c r="L209" s="861"/>
      <c r="M209" s="861"/>
      <c r="N209" s="861"/>
      <c r="O209" s="861"/>
      <c r="P209" s="861"/>
      <c r="Q209" s="861"/>
      <c r="R209" s="861"/>
      <c r="S209" s="861"/>
      <c r="T209" s="861"/>
      <c r="U209" s="861"/>
      <c r="V209" s="861"/>
      <c r="W209" s="861"/>
      <c r="X209" s="861"/>
      <c r="Y209" s="861"/>
      <c r="Z209" s="861"/>
      <c r="AA209" s="861"/>
      <c r="AB209" s="861"/>
      <c r="AC209" s="861"/>
      <c r="AD209" s="861"/>
      <c r="AE209" s="861"/>
      <c r="AF209" s="861"/>
      <c r="AG209" s="861"/>
    </row>
    <row r="210" spans="1:33" ht="17.25" customHeight="1">
      <c r="A210" s="861"/>
      <c r="B210" s="861"/>
      <c r="C210" s="861"/>
      <c r="D210" s="861"/>
      <c r="E210" s="861"/>
      <c r="F210" s="861"/>
      <c r="G210" s="861"/>
      <c r="H210" s="861"/>
      <c r="I210" s="861"/>
      <c r="J210" s="861"/>
      <c r="K210" s="861"/>
      <c r="L210" s="861"/>
      <c r="M210" s="861"/>
      <c r="N210" s="861"/>
      <c r="O210" s="861"/>
      <c r="P210" s="861"/>
      <c r="Q210" s="861"/>
      <c r="R210" s="861"/>
      <c r="S210" s="861"/>
      <c r="T210" s="861"/>
      <c r="U210" s="861"/>
      <c r="V210" s="861"/>
      <c r="W210" s="861"/>
      <c r="X210" s="861"/>
      <c r="Y210" s="861"/>
      <c r="Z210" s="861"/>
      <c r="AA210" s="861"/>
      <c r="AB210" s="861"/>
      <c r="AC210" s="861"/>
      <c r="AD210" s="861"/>
      <c r="AE210" s="861"/>
      <c r="AF210" s="861"/>
      <c r="AG210" s="861"/>
    </row>
    <row r="211" spans="1:33" ht="17.25" customHeight="1">
      <c r="A211" s="861"/>
      <c r="B211" s="861"/>
      <c r="C211" s="861"/>
      <c r="D211" s="861"/>
      <c r="E211" s="861"/>
      <c r="F211" s="861"/>
      <c r="G211" s="861"/>
      <c r="H211" s="861"/>
      <c r="I211" s="861"/>
      <c r="J211" s="861"/>
      <c r="K211" s="861"/>
      <c r="L211" s="861"/>
      <c r="M211" s="861"/>
      <c r="N211" s="861"/>
      <c r="O211" s="861"/>
      <c r="P211" s="861"/>
      <c r="Q211" s="861"/>
      <c r="R211" s="861"/>
      <c r="S211" s="861"/>
      <c r="T211" s="861"/>
      <c r="U211" s="861"/>
      <c r="V211" s="861"/>
      <c r="W211" s="861"/>
      <c r="X211" s="861"/>
      <c r="Y211" s="861"/>
      <c r="Z211" s="861"/>
      <c r="AA211" s="861"/>
      <c r="AB211" s="861"/>
      <c r="AC211" s="861"/>
      <c r="AD211" s="861"/>
      <c r="AE211" s="861"/>
      <c r="AF211" s="861"/>
      <c r="AG211" s="861"/>
    </row>
    <row r="212" spans="1:33" ht="17.25" customHeight="1">
      <c r="A212" s="861"/>
      <c r="B212" s="861"/>
      <c r="C212" s="861"/>
      <c r="D212" s="861"/>
      <c r="E212" s="861"/>
      <c r="F212" s="861"/>
      <c r="G212" s="861"/>
      <c r="H212" s="861"/>
      <c r="I212" s="861"/>
      <c r="J212" s="861"/>
      <c r="K212" s="861"/>
      <c r="L212" s="861"/>
      <c r="M212" s="861"/>
      <c r="N212" s="861"/>
      <c r="O212" s="861"/>
      <c r="P212" s="861"/>
      <c r="Q212" s="861"/>
      <c r="R212" s="861"/>
      <c r="S212" s="861"/>
      <c r="T212" s="861"/>
      <c r="U212" s="861"/>
      <c r="V212" s="861"/>
      <c r="W212" s="861"/>
      <c r="X212" s="861"/>
      <c r="Y212" s="861"/>
      <c r="Z212" s="861"/>
      <c r="AA212" s="861"/>
      <c r="AB212" s="861"/>
      <c r="AC212" s="861"/>
      <c r="AD212" s="861"/>
      <c r="AE212" s="861"/>
      <c r="AF212" s="861"/>
      <c r="AG212" s="861"/>
    </row>
    <row r="213" spans="1:33" ht="17.25" customHeight="1">
      <c r="A213" s="861"/>
      <c r="B213" s="861"/>
      <c r="C213" s="861"/>
      <c r="D213" s="861"/>
      <c r="E213" s="861"/>
      <c r="F213" s="861"/>
      <c r="G213" s="861"/>
      <c r="H213" s="861"/>
      <c r="I213" s="861"/>
      <c r="J213" s="861"/>
      <c r="K213" s="861"/>
      <c r="L213" s="861"/>
      <c r="M213" s="861"/>
      <c r="N213" s="861"/>
      <c r="O213" s="861"/>
      <c r="P213" s="861"/>
      <c r="Q213" s="861"/>
      <c r="R213" s="861"/>
      <c r="S213" s="861"/>
      <c r="T213" s="861"/>
      <c r="U213" s="861"/>
      <c r="V213" s="861"/>
      <c r="W213" s="861"/>
      <c r="X213" s="861"/>
      <c r="Y213" s="861"/>
      <c r="Z213" s="861"/>
      <c r="AA213" s="861"/>
      <c r="AB213" s="861"/>
      <c r="AC213" s="861"/>
      <c r="AD213" s="861"/>
      <c r="AE213" s="861"/>
      <c r="AF213" s="861"/>
      <c r="AG213" s="861"/>
    </row>
    <row r="214" spans="1:33" ht="17.25" customHeight="1">
      <c r="A214" s="861"/>
      <c r="B214" s="861"/>
      <c r="C214" s="861"/>
      <c r="D214" s="861"/>
      <c r="E214" s="861"/>
      <c r="F214" s="861"/>
      <c r="G214" s="861"/>
      <c r="H214" s="861"/>
      <c r="I214" s="861"/>
      <c r="J214" s="861"/>
      <c r="K214" s="861"/>
      <c r="L214" s="861"/>
      <c r="M214" s="861"/>
      <c r="N214" s="861"/>
      <c r="O214" s="861"/>
      <c r="P214" s="861"/>
      <c r="Q214" s="861"/>
      <c r="R214" s="861"/>
      <c r="S214" s="861"/>
      <c r="T214" s="861"/>
      <c r="U214" s="861"/>
      <c r="V214" s="861"/>
      <c r="W214" s="861"/>
      <c r="X214" s="861"/>
      <c r="Y214" s="861"/>
      <c r="Z214" s="861"/>
      <c r="AA214" s="861"/>
      <c r="AB214" s="861"/>
      <c r="AC214" s="861"/>
      <c r="AD214" s="861"/>
      <c r="AE214" s="861"/>
      <c r="AF214" s="861"/>
      <c r="AG214" s="861"/>
    </row>
    <row r="215" spans="1:33" ht="17.25" customHeight="1">
      <c r="A215" s="861"/>
      <c r="B215" s="861"/>
      <c r="C215" s="861"/>
      <c r="D215" s="861"/>
      <c r="E215" s="861"/>
      <c r="F215" s="861"/>
      <c r="G215" s="861"/>
      <c r="H215" s="861"/>
      <c r="I215" s="861"/>
      <c r="J215" s="861"/>
      <c r="K215" s="861"/>
      <c r="L215" s="861"/>
      <c r="M215" s="861"/>
      <c r="N215" s="861"/>
      <c r="O215" s="861"/>
      <c r="P215" s="861"/>
      <c r="Q215" s="861"/>
      <c r="R215" s="861"/>
      <c r="S215" s="861"/>
      <c r="T215" s="861"/>
      <c r="U215" s="861"/>
      <c r="V215" s="861"/>
      <c r="W215" s="861"/>
      <c r="X215" s="861"/>
      <c r="Y215" s="861"/>
      <c r="Z215" s="861"/>
      <c r="AA215" s="861"/>
      <c r="AB215" s="861"/>
      <c r="AC215" s="861"/>
      <c r="AD215" s="861"/>
      <c r="AE215" s="861"/>
      <c r="AF215" s="861"/>
      <c r="AG215" s="861"/>
    </row>
    <row r="216" spans="1:33" ht="17.25" customHeight="1">
      <c r="A216" s="861"/>
      <c r="B216" s="861"/>
      <c r="C216" s="861"/>
      <c r="D216" s="861"/>
      <c r="E216" s="861"/>
      <c r="F216" s="861"/>
      <c r="G216" s="861"/>
      <c r="H216" s="861"/>
      <c r="I216" s="861"/>
      <c r="J216" s="861"/>
      <c r="K216" s="861"/>
      <c r="L216" s="861"/>
      <c r="M216" s="861"/>
      <c r="N216" s="861"/>
      <c r="O216" s="861"/>
      <c r="P216" s="861"/>
      <c r="Q216" s="861"/>
      <c r="R216" s="861"/>
      <c r="S216" s="861"/>
      <c r="T216" s="861"/>
      <c r="U216" s="861"/>
      <c r="V216" s="861"/>
      <c r="W216" s="861"/>
      <c r="X216" s="861"/>
      <c r="Y216" s="861"/>
      <c r="Z216" s="861"/>
      <c r="AA216" s="861"/>
      <c r="AB216" s="861"/>
      <c r="AC216" s="861"/>
      <c r="AD216" s="861"/>
      <c r="AE216" s="861"/>
      <c r="AF216" s="861"/>
      <c r="AG216" s="861"/>
    </row>
    <row r="217" spans="1:33" ht="17.25" customHeight="1">
      <c r="A217" s="861"/>
      <c r="B217" s="861"/>
      <c r="C217" s="861"/>
      <c r="D217" s="861"/>
      <c r="E217" s="861"/>
      <c r="F217" s="861"/>
      <c r="G217" s="861"/>
      <c r="H217" s="861"/>
      <c r="I217" s="861"/>
      <c r="J217" s="861"/>
      <c r="K217" s="861"/>
      <c r="L217" s="861"/>
      <c r="M217" s="861"/>
      <c r="N217" s="861"/>
      <c r="O217" s="861"/>
      <c r="P217" s="861"/>
      <c r="Q217" s="861"/>
      <c r="R217" s="861"/>
      <c r="S217" s="861"/>
      <c r="T217" s="861"/>
      <c r="U217" s="861"/>
      <c r="V217" s="861"/>
      <c r="W217" s="861"/>
      <c r="X217" s="861"/>
      <c r="Y217" s="861"/>
      <c r="Z217" s="861"/>
      <c r="AA217" s="861"/>
      <c r="AB217" s="861"/>
      <c r="AC217" s="861"/>
      <c r="AD217" s="861"/>
      <c r="AE217" s="861"/>
      <c r="AF217" s="861"/>
      <c r="AG217" s="861"/>
    </row>
    <row r="218" spans="1:33" ht="17.25" customHeight="1">
      <c r="A218" s="861"/>
      <c r="B218" s="861"/>
      <c r="C218" s="861"/>
      <c r="D218" s="861"/>
      <c r="E218" s="861"/>
      <c r="F218" s="861"/>
      <c r="G218" s="861"/>
      <c r="H218" s="861"/>
      <c r="I218" s="861"/>
      <c r="J218" s="861"/>
      <c r="K218" s="861"/>
      <c r="L218" s="861"/>
      <c r="M218" s="861"/>
      <c r="N218" s="861"/>
      <c r="O218" s="861"/>
      <c r="P218" s="861"/>
      <c r="Q218" s="861"/>
      <c r="R218" s="861"/>
      <c r="S218" s="861"/>
      <c r="T218" s="861"/>
      <c r="U218" s="861"/>
      <c r="V218" s="861"/>
      <c r="W218" s="861"/>
      <c r="X218" s="861"/>
      <c r="Y218" s="861"/>
      <c r="Z218" s="861"/>
      <c r="AA218" s="861"/>
      <c r="AB218" s="861"/>
      <c r="AC218" s="861"/>
      <c r="AD218" s="861"/>
      <c r="AE218" s="861"/>
      <c r="AF218" s="861"/>
      <c r="AG218" s="861"/>
    </row>
    <row r="219" spans="1:33" ht="17.25" customHeight="1">
      <c r="A219" s="861"/>
      <c r="B219" s="861"/>
      <c r="C219" s="861"/>
      <c r="D219" s="861"/>
      <c r="E219" s="861"/>
      <c r="F219" s="861"/>
      <c r="G219" s="861"/>
      <c r="H219" s="861"/>
      <c r="I219" s="861"/>
      <c r="J219" s="861"/>
      <c r="K219" s="861"/>
      <c r="L219" s="861"/>
      <c r="M219" s="861"/>
      <c r="N219" s="861"/>
      <c r="O219" s="861"/>
      <c r="P219" s="861"/>
      <c r="Q219" s="861"/>
      <c r="R219" s="861"/>
      <c r="S219" s="861"/>
      <c r="T219" s="861"/>
      <c r="U219" s="861"/>
      <c r="V219" s="861"/>
      <c r="W219" s="861"/>
      <c r="X219" s="861"/>
      <c r="Y219" s="861"/>
      <c r="Z219" s="861"/>
      <c r="AA219" s="861"/>
      <c r="AB219" s="861"/>
      <c r="AC219" s="861"/>
      <c r="AD219" s="861"/>
      <c r="AE219" s="861"/>
      <c r="AF219" s="861"/>
      <c r="AG219" s="861"/>
    </row>
    <row r="220" spans="1:33" ht="17.25" customHeight="1">
      <c r="A220" s="861"/>
      <c r="B220" s="861"/>
      <c r="C220" s="861"/>
      <c r="D220" s="861"/>
      <c r="E220" s="861"/>
      <c r="F220" s="861"/>
      <c r="G220" s="861"/>
      <c r="H220" s="861"/>
      <c r="I220" s="861"/>
      <c r="J220" s="861"/>
      <c r="K220" s="861"/>
      <c r="L220" s="861"/>
      <c r="M220" s="861"/>
      <c r="N220" s="861"/>
      <c r="O220" s="861"/>
      <c r="P220" s="861"/>
      <c r="Q220" s="861"/>
      <c r="R220" s="861"/>
      <c r="S220" s="861"/>
      <c r="T220" s="861"/>
      <c r="U220" s="861"/>
      <c r="V220" s="861"/>
      <c r="W220" s="861"/>
      <c r="X220" s="861"/>
      <c r="Y220" s="861"/>
      <c r="Z220" s="861"/>
      <c r="AA220" s="861"/>
      <c r="AB220" s="861"/>
      <c r="AC220" s="861"/>
      <c r="AD220" s="861"/>
      <c r="AE220" s="861"/>
      <c r="AF220" s="861"/>
      <c r="AG220" s="861"/>
    </row>
    <row r="221" spans="1:33" ht="17.25" customHeight="1">
      <c r="A221" s="861"/>
      <c r="B221" s="861"/>
      <c r="C221" s="861"/>
      <c r="D221" s="861"/>
      <c r="E221" s="861"/>
      <c r="F221" s="861"/>
      <c r="G221" s="861"/>
      <c r="H221" s="861"/>
      <c r="I221" s="861"/>
      <c r="J221" s="861"/>
      <c r="K221" s="861"/>
      <c r="L221" s="861"/>
      <c r="M221" s="861"/>
      <c r="N221" s="861"/>
      <c r="O221" s="861"/>
      <c r="P221" s="861"/>
      <c r="Q221" s="861"/>
      <c r="R221" s="861"/>
      <c r="S221" s="861"/>
      <c r="T221" s="861"/>
      <c r="U221" s="861"/>
      <c r="V221" s="861"/>
      <c r="W221" s="861"/>
      <c r="X221" s="861"/>
      <c r="Y221" s="861"/>
      <c r="Z221" s="861"/>
      <c r="AA221" s="861"/>
      <c r="AB221" s="861"/>
      <c r="AC221" s="861"/>
      <c r="AD221" s="861"/>
      <c r="AE221" s="861"/>
      <c r="AF221" s="861"/>
      <c r="AG221" s="861"/>
    </row>
    <row r="222" spans="1:33" ht="17.25" customHeight="1">
      <c r="A222" s="861"/>
      <c r="B222" s="861"/>
      <c r="C222" s="861"/>
      <c r="D222" s="861"/>
      <c r="E222" s="861"/>
      <c r="F222" s="861"/>
      <c r="G222" s="861"/>
      <c r="H222" s="861"/>
      <c r="I222" s="861"/>
      <c r="J222" s="861"/>
      <c r="K222" s="861"/>
      <c r="L222" s="861"/>
      <c r="M222" s="861"/>
      <c r="N222" s="861"/>
      <c r="O222" s="861"/>
      <c r="P222" s="861"/>
      <c r="Q222" s="861"/>
      <c r="R222" s="861"/>
      <c r="S222" s="861"/>
      <c r="T222" s="861"/>
      <c r="U222" s="861"/>
      <c r="V222" s="861"/>
      <c r="W222" s="861"/>
      <c r="X222" s="861"/>
      <c r="Y222" s="861"/>
      <c r="Z222" s="861"/>
      <c r="AA222" s="861"/>
      <c r="AB222" s="861"/>
      <c r="AC222" s="861"/>
      <c r="AD222" s="861"/>
      <c r="AE222" s="861"/>
      <c r="AF222" s="861"/>
      <c r="AG222" s="861"/>
    </row>
    <row r="223" spans="1:33" ht="17.25" customHeight="1">
      <c r="A223" s="861"/>
      <c r="B223" s="861"/>
      <c r="C223" s="861"/>
      <c r="D223" s="861"/>
      <c r="E223" s="861"/>
      <c r="F223" s="861"/>
      <c r="G223" s="861"/>
      <c r="H223" s="861"/>
      <c r="I223" s="861"/>
      <c r="J223" s="861"/>
      <c r="K223" s="861"/>
      <c r="L223" s="861"/>
      <c r="M223" s="861"/>
      <c r="N223" s="861"/>
      <c r="O223" s="861"/>
      <c r="P223" s="861"/>
      <c r="Q223" s="861"/>
      <c r="R223" s="861"/>
      <c r="S223" s="861"/>
      <c r="T223" s="861"/>
      <c r="U223" s="861"/>
      <c r="V223" s="861"/>
      <c r="W223" s="861"/>
      <c r="X223" s="861"/>
      <c r="Y223" s="861"/>
      <c r="Z223" s="861"/>
      <c r="AA223" s="861"/>
      <c r="AB223" s="861"/>
      <c r="AC223" s="861"/>
      <c r="AD223" s="861"/>
      <c r="AE223" s="861"/>
      <c r="AF223" s="861"/>
      <c r="AG223" s="861"/>
    </row>
    <row r="224" spans="1:33" ht="17.25" customHeight="1">
      <c r="A224" s="861"/>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1"/>
      <c r="AA224" s="861"/>
      <c r="AB224" s="861"/>
      <c r="AC224" s="861"/>
      <c r="AD224" s="861"/>
      <c r="AE224" s="861"/>
      <c r="AF224" s="861"/>
      <c r="AG224" s="861"/>
    </row>
    <row r="225" spans="1:33" ht="17.25" customHeight="1">
      <c r="A225" s="861"/>
      <c r="B225" s="861"/>
      <c r="C225" s="861"/>
      <c r="D225" s="861"/>
      <c r="E225" s="861"/>
      <c r="F225" s="861"/>
      <c r="G225" s="861"/>
      <c r="H225" s="861"/>
      <c r="I225" s="861"/>
      <c r="J225" s="861"/>
      <c r="K225" s="861"/>
      <c r="L225" s="861"/>
      <c r="M225" s="861"/>
      <c r="N225" s="861"/>
      <c r="O225" s="861"/>
      <c r="P225" s="861"/>
      <c r="Q225" s="861"/>
      <c r="R225" s="861"/>
      <c r="S225" s="861"/>
      <c r="T225" s="861"/>
      <c r="U225" s="861"/>
      <c r="V225" s="861"/>
      <c r="W225" s="861"/>
      <c r="X225" s="861"/>
      <c r="Y225" s="861"/>
      <c r="Z225" s="861"/>
      <c r="AA225" s="861"/>
      <c r="AB225" s="861"/>
      <c r="AC225" s="861"/>
      <c r="AD225" s="861"/>
      <c r="AE225" s="861"/>
      <c r="AF225" s="861"/>
      <c r="AG225" s="861"/>
    </row>
    <row r="226" spans="1:33" ht="17.25" customHeight="1">
      <c r="A226" s="861"/>
      <c r="B226" s="861"/>
      <c r="C226" s="861"/>
      <c r="D226" s="861"/>
      <c r="E226" s="861"/>
      <c r="F226" s="861"/>
      <c r="G226" s="861"/>
      <c r="H226" s="861"/>
      <c r="I226" s="861"/>
      <c r="J226" s="861"/>
      <c r="K226" s="861"/>
      <c r="L226" s="861"/>
      <c r="M226" s="861"/>
      <c r="N226" s="861"/>
      <c r="O226" s="861"/>
      <c r="P226" s="861"/>
      <c r="Q226" s="861"/>
      <c r="R226" s="861"/>
      <c r="S226" s="861"/>
      <c r="T226" s="861"/>
      <c r="U226" s="861"/>
      <c r="V226" s="861"/>
      <c r="W226" s="861"/>
      <c r="X226" s="861"/>
      <c r="Y226" s="861"/>
      <c r="Z226" s="861"/>
      <c r="AA226" s="861"/>
      <c r="AB226" s="861"/>
      <c r="AC226" s="861"/>
      <c r="AD226" s="861"/>
      <c r="AE226" s="861"/>
      <c r="AF226" s="861"/>
      <c r="AG226" s="861"/>
    </row>
    <row r="227" spans="1:33" ht="17.25" customHeight="1">
      <c r="A227" s="861"/>
      <c r="B227" s="861"/>
      <c r="C227" s="861"/>
      <c r="D227" s="861"/>
      <c r="E227" s="861"/>
      <c r="F227" s="861"/>
      <c r="G227" s="861"/>
      <c r="H227" s="861"/>
      <c r="I227" s="861"/>
      <c r="J227" s="861"/>
      <c r="K227" s="861"/>
      <c r="L227" s="861"/>
      <c r="M227" s="861"/>
      <c r="N227" s="861"/>
      <c r="O227" s="861"/>
      <c r="P227" s="861"/>
      <c r="Q227" s="861"/>
      <c r="R227" s="861"/>
      <c r="S227" s="861"/>
      <c r="T227" s="861"/>
      <c r="U227" s="861"/>
      <c r="V227" s="861"/>
      <c r="W227" s="861"/>
      <c r="X227" s="861"/>
      <c r="Y227" s="861"/>
      <c r="Z227" s="861"/>
      <c r="AA227" s="861"/>
      <c r="AB227" s="861"/>
      <c r="AC227" s="861"/>
      <c r="AD227" s="861"/>
      <c r="AE227" s="861"/>
      <c r="AF227" s="861"/>
      <c r="AG227" s="861"/>
    </row>
    <row r="228" spans="1:33" ht="17.25" customHeight="1">
      <c r="A228" s="861"/>
      <c r="B228" s="861"/>
      <c r="C228" s="861"/>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c r="AA228" s="861"/>
      <c r="AB228" s="861"/>
      <c r="AC228" s="861"/>
      <c r="AD228" s="861"/>
      <c r="AE228" s="861"/>
      <c r="AF228" s="861"/>
      <c r="AG228" s="861"/>
    </row>
    <row r="229" spans="1:33" ht="17.25" customHeight="1">
      <c r="A229" s="861"/>
      <c r="B229" s="861"/>
      <c r="C229" s="861"/>
      <c r="D229" s="861"/>
      <c r="E229" s="861"/>
      <c r="F229" s="861"/>
      <c r="G229" s="861"/>
      <c r="H229" s="861"/>
      <c r="I229" s="861"/>
      <c r="J229" s="861"/>
      <c r="K229" s="861"/>
      <c r="L229" s="861"/>
      <c r="M229" s="861"/>
      <c r="N229" s="861"/>
      <c r="O229" s="861"/>
      <c r="P229" s="861"/>
      <c r="Q229" s="861"/>
      <c r="R229" s="861"/>
      <c r="S229" s="861"/>
      <c r="T229" s="861"/>
      <c r="U229" s="861"/>
      <c r="V229" s="861"/>
      <c r="W229" s="861"/>
      <c r="X229" s="861"/>
      <c r="Y229" s="861"/>
      <c r="Z229" s="861"/>
      <c r="AA229" s="861"/>
      <c r="AB229" s="861"/>
      <c r="AC229" s="861"/>
      <c r="AD229" s="861"/>
      <c r="AE229" s="861"/>
      <c r="AF229" s="861"/>
      <c r="AG229" s="861"/>
    </row>
    <row r="230" spans="1:33" ht="17.25" customHeight="1">
      <c r="A230" s="861"/>
      <c r="B230" s="861"/>
      <c r="C230" s="861"/>
      <c r="D230" s="861"/>
      <c r="E230" s="861"/>
      <c r="F230" s="861"/>
      <c r="G230" s="861"/>
      <c r="H230" s="861"/>
      <c r="I230" s="861"/>
      <c r="J230" s="861"/>
      <c r="K230" s="861"/>
      <c r="L230" s="861"/>
      <c r="M230" s="861"/>
      <c r="N230" s="861"/>
      <c r="O230" s="861"/>
      <c r="P230" s="861"/>
      <c r="Q230" s="861"/>
      <c r="R230" s="861"/>
      <c r="S230" s="861"/>
      <c r="T230" s="861"/>
      <c r="U230" s="861"/>
      <c r="V230" s="861"/>
      <c r="W230" s="861"/>
      <c r="X230" s="861"/>
      <c r="Y230" s="861"/>
      <c r="Z230" s="861"/>
      <c r="AA230" s="861"/>
      <c r="AB230" s="861"/>
      <c r="AC230" s="861"/>
      <c r="AD230" s="861"/>
      <c r="AE230" s="861"/>
      <c r="AF230" s="861"/>
      <c r="AG230" s="861"/>
    </row>
    <row r="231" spans="1:33" ht="17.25" customHeight="1">
      <c r="A231" s="861"/>
      <c r="B231" s="861"/>
      <c r="C231" s="861"/>
      <c r="D231" s="861"/>
      <c r="E231" s="861"/>
      <c r="F231" s="861"/>
      <c r="G231" s="861"/>
      <c r="H231" s="861"/>
      <c r="I231" s="861"/>
      <c r="J231" s="861"/>
      <c r="K231" s="861"/>
      <c r="L231" s="861"/>
      <c r="M231" s="861"/>
      <c r="N231" s="861"/>
      <c r="O231" s="861"/>
      <c r="P231" s="861"/>
      <c r="Q231" s="861"/>
      <c r="R231" s="861"/>
      <c r="S231" s="861"/>
      <c r="T231" s="861"/>
      <c r="U231" s="861"/>
      <c r="V231" s="861"/>
      <c r="W231" s="861"/>
      <c r="X231" s="861"/>
      <c r="Y231" s="861"/>
      <c r="Z231" s="861"/>
      <c r="AA231" s="861"/>
      <c r="AB231" s="861"/>
      <c r="AC231" s="861"/>
      <c r="AD231" s="861"/>
      <c r="AE231" s="861"/>
      <c r="AF231" s="861"/>
      <c r="AG231" s="861"/>
    </row>
    <row r="232" spans="1:33" ht="17.25" customHeight="1">
      <c r="A232" s="861"/>
      <c r="B232" s="861"/>
      <c r="C232" s="861"/>
      <c r="D232" s="861"/>
      <c r="E232" s="861"/>
      <c r="F232" s="861"/>
      <c r="G232" s="861"/>
      <c r="H232" s="861"/>
      <c r="I232" s="861"/>
      <c r="J232" s="861"/>
      <c r="K232" s="861"/>
      <c r="L232" s="861"/>
      <c r="M232" s="861"/>
      <c r="N232" s="861"/>
      <c r="O232" s="861"/>
      <c r="P232" s="861"/>
      <c r="Q232" s="861"/>
      <c r="R232" s="861"/>
      <c r="S232" s="861"/>
      <c r="T232" s="861"/>
      <c r="U232" s="861"/>
      <c r="V232" s="861"/>
      <c r="W232" s="861"/>
      <c r="X232" s="861"/>
      <c r="Y232" s="861"/>
      <c r="Z232" s="861"/>
      <c r="AA232" s="861"/>
      <c r="AB232" s="861"/>
      <c r="AC232" s="861"/>
      <c r="AD232" s="861"/>
      <c r="AE232" s="861"/>
      <c r="AF232" s="861"/>
      <c r="AG232" s="861"/>
    </row>
    <row r="233" spans="1:33" ht="17.25" customHeight="1">
      <c r="A233" s="861"/>
      <c r="B233" s="861"/>
      <c r="C233" s="861"/>
      <c r="D233" s="861"/>
      <c r="E233" s="861"/>
      <c r="F233" s="861"/>
      <c r="G233" s="861"/>
      <c r="H233" s="861"/>
      <c r="I233" s="861"/>
      <c r="J233" s="861"/>
      <c r="K233" s="861"/>
      <c r="L233" s="861"/>
      <c r="M233" s="861"/>
      <c r="N233" s="861"/>
      <c r="O233" s="861"/>
      <c r="P233" s="861"/>
      <c r="Q233" s="861"/>
      <c r="R233" s="861"/>
      <c r="S233" s="861"/>
      <c r="T233" s="861"/>
      <c r="U233" s="861"/>
      <c r="V233" s="861"/>
      <c r="W233" s="861"/>
      <c r="X233" s="861"/>
      <c r="Y233" s="861"/>
      <c r="Z233" s="861"/>
      <c r="AA233" s="861"/>
      <c r="AB233" s="861"/>
      <c r="AC233" s="861"/>
      <c r="AD233" s="861"/>
      <c r="AE233" s="861"/>
      <c r="AF233" s="861"/>
      <c r="AG233" s="861"/>
    </row>
    <row r="234" spans="1:33" ht="17.25" customHeight="1">
      <c r="A234" s="861"/>
      <c r="B234" s="861"/>
      <c r="C234" s="861"/>
      <c r="D234" s="861"/>
      <c r="E234" s="861"/>
      <c r="F234" s="861"/>
      <c r="G234" s="861"/>
      <c r="H234" s="861"/>
      <c r="I234" s="861"/>
      <c r="J234" s="861"/>
      <c r="K234" s="861"/>
      <c r="L234" s="861"/>
      <c r="M234" s="861"/>
      <c r="N234" s="861"/>
      <c r="O234" s="861"/>
      <c r="P234" s="861"/>
      <c r="Q234" s="861"/>
      <c r="R234" s="861"/>
      <c r="S234" s="861"/>
      <c r="T234" s="861"/>
      <c r="U234" s="861"/>
      <c r="V234" s="861"/>
      <c r="W234" s="861"/>
      <c r="X234" s="861"/>
      <c r="Y234" s="861"/>
      <c r="Z234" s="861"/>
      <c r="AA234" s="861"/>
      <c r="AB234" s="861"/>
      <c r="AC234" s="861"/>
      <c r="AD234" s="861"/>
      <c r="AE234" s="861"/>
      <c r="AF234" s="861"/>
      <c r="AG234" s="861"/>
    </row>
    <row r="235" spans="1:33" ht="17.25" customHeight="1">
      <c r="A235" s="861"/>
      <c r="B235" s="861"/>
      <c r="C235" s="861"/>
      <c r="D235" s="861"/>
      <c r="E235" s="861"/>
      <c r="F235" s="861"/>
      <c r="G235" s="861"/>
      <c r="H235" s="861"/>
      <c r="I235" s="861"/>
      <c r="J235" s="861"/>
      <c r="K235" s="861"/>
      <c r="L235" s="861"/>
      <c r="M235" s="861"/>
      <c r="N235" s="861"/>
      <c r="O235" s="861"/>
      <c r="P235" s="861"/>
      <c r="Q235" s="861"/>
      <c r="R235" s="861"/>
      <c r="S235" s="861"/>
      <c r="T235" s="861"/>
      <c r="U235" s="861"/>
      <c r="V235" s="861"/>
      <c r="W235" s="861"/>
      <c r="X235" s="861"/>
      <c r="Y235" s="861"/>
      <c r="Z235" s="861"/>
      <c r="AA235" s="861"/>
      <c r="AB235" s="861"/>
      <c r="AC235" s="861"/>
      <c r="AD235" s="861"/>
      <c r="AE235" s="861"/>
      <c r="AF235" s="861"/>
      <c r="AG235" s="861"/>
    </row>
    <row r="236" spans="1:33" ht="17.25" customHeight="1">
      <c r="A236" s="861"/>
      <c r="B236" s="861"/>
      <c r="C236" s="861"/>
      <c r="D236" s="861"/>
      <c r="E236" s="861"/>
      <c r="F236" s="861"/>
      <c r="G236" s="861"/>
      <c r="H236" s="861"/>
      <c r="I236" s="861"/>
      <c r="J236" s="861"/>
      <c r="K236" s="861"/>
      <c r="L236" s="861"/>
      <c r="M236" s="861"/>
      <c r="N236" s="861"/>
      <c r="O236" s="861"/>
      <c r="P236" s="861"/>
      <c r="Q236" s="861"/>
      <c r="R236" s="861"/>
      <c r="S236" s="861"/>
      <c r="T236" s="861"/>
      <c r="U236" s="861"/>
      <c r="V236" s="861"/>
      <c r="W236" s="861"/>
      <c r="X236" s="861"/>
      <c r="Y236" s="861"/>
      <c r="Z236" s="861"/>
      <c r="AA236" s="861"/>
      <c r="AB236" s="861"/>
      <c r="AC236" s="861"/>
      <c r="AD236" s="861"/>
      <c r="AE236" s="861"/>
      <c r="AF236" s="861"/>
      <c r="AG236" s="861"/>
    </row>
    <row r="237" spans="1:33" ht="17.25" customHeight="1">
      <c r="A237" s="861"/>
      <c r="B237" s="861"/>
      <c r="C237" s="861"/>
      <c r="D237" s="861"/>
      <c r="E237" s="861"/>
      <c r="F237" s="861"/>
      <c r="G237" s="861"/>
      <c r="H237" s="861"/>
      <c r="I237" s="861"/>
      <c r="J237" s="861"/>
      <c r="K237" s="861"/>
      <c r="L237" s="861"/>
      <c r="M237" s="861"/>
      <c r="N237" s="861"/>
      <c r="O237" s="861"/>
      <c r="P237" s="861"/>
      <c r="Q237" s="861"/>
      <c r="R237" s="861"/>
      <c r="S237" s="861"/>
      <c r="T237" s="861"/>
      <c r="U237" s="861"/>
      <c r="V237" s="861"/>
      <c r="W237" s="861"/>
      <c r="X237" s="861"/>
      <c r="Y237" s="861"/>
      <c r="Z237" s="861"/>
      <c r="AA237" s="861"/>
      <c r="AB237" s="861"/>
      <c r="AC237" s="861"/>
      <c r="AD237" s="861"/>
      <c r="AE237" s="861"/>
      <c r="AF237" s="861"/>
      <c r="AG237" s="861"/>
    </row>
    <row r="238" spans="1:33" ht="17.25" customHeight="1">
      <c r="A238" s="861"/>
      <c r="B238" s="861"/>
      <c r="C238" s="861"/>
      <c r="D238" s="861"/>
      <c r="E238" s="861"/>
      <c r="F238" s="861"/>
      <c r="G238" s="861"/>
      <c r="H238" s="861"/>
      <c r="I238" s="861"/>
      <c r="J238" s="861"/>
      <c r="K238" s="861"/>
      <c r="L238" s="861"/>
      <c r="M238" s="861"/>
      <c r="N238" s="861"/>
      <c r="O238" s="861"/>
      <c r="P238" s="861"/>
      <c r="Q238" s="861"/>
      <c r="R238" s="861"/>
      <c r="S238" s="861"/>
      <c r="T238" s="861"/>
      <c r="U238" s="861"/>
      <c r="V238" s="861"/>
      <c r="W238" s="861"/>
      <c r="X238" s="861"/>
      <c r="Y238" s="861"/>
      <c r="Z238" s="861"/>
      <c r="AA238" s="861"/>
      <c r="AB238" s="861"/>
      <c r="AC238" s="861"/>
      <c r="AD238" s="861"/>
      <c r="AE238" s="861"/>
      <c r="AF238" s="861"/>
      <c r="AG238" s="861"/>
    </row>
    <row r="239" spans="1:33" ht="17.25" customHeight="1">
      <c r="A239" s="861"/>
      <c r="B239" s="861"/>
      <c r="C239" s="861"/>
      <c r="D239" s="861"/>
      <c r="E239" s="861"/>
      <c r="F239" s="861"/>
      <c r="G239" s="861"/>
      <c r="H239" s="861"/>
      <c r="I239" s="861"/>
      <c r="J239" s="861"/>
      <c r="K239" s="861"/>
      <c r="L239" s="861"/>
      <c r="M239" s="861"/>
      <c r="N239" s="861"/>
      <c r="O239" s="861"/>
      <c r="P239" s="861"/>
      <c r="Q239" s="861"/>
      <c r="R239" s="861"/>
      <c r="S239" s="861"/>
      <c r="T239" s="861"/>
      <c r="U239" s="861"/>
      <c r="V239" s="861"/>
      <c r="W239" s="861"/>
      <c r="X239" s="861"/>
      <c r="Y239" s="861"/>
      <c r="Z239" s="861"/>
      <c r="AA239" s="861"/>
      <c r="AB239" s="861"/>
      <c r="AC239" s="861"/>
      <c r="AD239" s="861"/>
      <c r="AE239" s="861"/>
      <c r="AF239" s="861"/>
      <c r="AG239" s="861"/>
    </row>
    <row r="240" spans="1:33" ht="17.25" customHeight="1">
      <c r="A240" s="861"/>
      <c r="B240" s="861"/>
      <c r="C240" s="861"/>
      <c r="D240" s="861"/>
      <c r="E240" s="861"/>
      <c r="F240" s="861"/>
      <c r="G240" s="861"/>
      <c r="H240" s="861"/>
      <c r="I240" s="861"/>
      <c r="J240" s="861"/>
      <c r="K240" s="861"/>
      <c r="L240" s="861"/>
      <c r="M240" s="861"/>
      <c r="N240" s="861"/>
      <c r="O240" s="861"/>
      <c r="P240" s="861"/>
      <c r="Q240" s="861"/>
      <c r="R240" s="861"/>
      <c r="S240" s="861"/>
      <c r="T240" s="861"/>
      <c r="U240" s="861"/>
      <c r="V240" s="861"/>
      <c r="W240" s="861"/>
      <c r="X240" s="861"/>
      <c r="Y240" s="861"/>
      <c r="Z240" s="861"/>
      <c r="AA240" s="861"/>
      <c r="AB240" s="861"/>
      <c r="AC240" s="861"/>
      <c r="AD240" s="861"/>
      <c r="AE240" s="861"/>
      <c r="AF240" s="861"/>
      <c r="AG240" s="861"/>
    </row>
    <row r="241" spans="1:33" ht="17.25" customHeight="1">
      <c r="A241" s="861"/>
      <c r="B241" s="861"/>
      <c r="C241" s="861"/>
      <c r="D241" s="861"/>
      <c r="E241" s="861"/>
      <c r="F241" s="861"/>
      <c r="G241" s="861"/>
      <c r="H241" s="861"/>
      <c r="I241" s="861"/>
      <c r="J241" s="861"/>
      <c r="K241" s="861"/>
      <c r="L241" s="861"/>
      <c r="M241" s="861"/>
      <c r="N241" s="861"/>
      <c r="O241" s="861"/>
      <c r="P241" s="861"/>
      <c r="Q241" s="861"/>
      <c r="R241" s="861"/>
      <c r="S241" s="861"/>
      <c r="T241" s="861"/>
      <c r="U241" s="861"/>
      <c r="V241" s="861"/>
      <c r="W241" s="861"/>
      <c r="X241" s="861"/>
      <c r="Y241" s="861"/>
      <c r="Z241" s="861"/>
      <c r="AA241" s="861"/>
      <c r="AB241" s="861"/>
      <c r="AC241" s="861"/>
      <c r="AD241" s="861"/>
      <c r="AE241" s="861"/>
      <c r="AF241" s="861"/>
      <c r="AG241" s="861"/>
    </row>
    <row r="242" spans="1:33" ht="17.25" customHeight="1">
      <c r="A242" s="861"/>
      <c r="B242" s="861"/>
      <c r="C242" s="861"/>
      <c r="D242" s="861"/>
      <c r="E242" s="861"/>
      <c r="F242" s="861"/>
      <c r="G242" s="861"/>
      <c r="H242" s="861"/>
      <c r="I242" s="861"/>
      <c r="J242" s="861"/>
      <c r="K242" s="861"/>
      <c r="L242" s="861"/>
      <c r="M242" s="861"/>
      <c r="N242" s="861"/>
      <c r="O242" s="861"/>
      <c r="P242" s="861"/>
      <c r="Q242" s="861"/>
      <c r="R242" s="861"/>
      <c r="S242" s="861"/>
      <c r="T242" s="861"/>
      <c r="U242" s="861"/>
      <c r="V242" s="861"/>
      <c r="W242" s="861"/>
      <c r="X242" s="861"/>
      <c r="Y242" s="861"/>
      <c r="Z242" s="861"/>
      <c r="AA242" s="861"/>
      <c r="AB242" s="861"/>
      <c r="AC242" s="861"/>
      <c r="AD242" s="861"/>
      <c r="AE242" s="861"/>
      <c r="AF242" s="861"/>
      <c r="AG242" s="861"/>
    </row>
    <row r="243" spans="1:33" ht="17.25" customHeight="1">
      <c r="A243" s="861"/>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c r="AA243" s="861"/>
      <c r="AB243" s="861"/>
      <c r="AC243" s="861"/>
      <c r="AD243" s="861"/>
      <c r="AE243" s="861"/>
      <c r="AF243" s="861"/>
      <c r="AG243" s="861"/>
    </row>
    <row r="244" spans="1:33" ht="17.25" customHeight="1">
      <c r="A244" s="861"/>
      <c r="B244" s="861"/>
      <c r="C244" s="861"/>
      <c r="D244" s="861"/>
      <c r="E244" s="861"/>
      <c r="F244" s="861"/>
      <c r="G244" s="861"/>
      <c r="H244" s="861"/>
      <c r="I244" s="861"/>
      <c r="J244" s="861"/>
      <c r="K244" s="861"/>
      <c r="L244" s="861"/>
      <c r="M244" s="861"/>
      <c r="N244" s="861"/>
      <c r="O244" s="861"/>
      <c r="P244" s="861"/>
      <c r="Q244" s="861"/>
      <c r="R244" s="861"/>
      <c r="S244" s="861"/>
      <c r="T244" s="861"/>
      <c r="U244" s="861"/>
      <c r="V244" s="861"/>
      <c r="W244" s="861"/>
      <c r="X244" s="861"/>
      <c r="Y244" s="861"/>
      <c r="Z244" s="861"/>
      <c r="AA244" s="861"/>
      <c r="AB244" s="861"/>
      <c r="AC244" s="861"/>
      <c r="AD244" s="861"/>
      <c r="AE244" s="861"/>
      <c r="AF244" s="861"/>
      <c r="AG244" s="861"/>
    </row>
    <row r="245" spans="1:33" ht="17.25" customHeight="1">
      <c r="A245" s="861"/>
      <c r="B245" s="861"/>
      <c r="C245" s="861"/>
      <c r="D245" s="861"/>
      <c r="E245" s="861"/>
      <c r="F245" s="861"/>
      <c r="G245" s="861"/>
      <c r="H245" s="861"/>
      <c r="I245" s="861"/>
      <c r="J245" s="861"/>
      <c r="K245" s="861"/>
      <c r="L245" s="861"/>
      <c r="M245" s="861"/>
      <c r="N245" s="861"/>
      <c r="O245" s="861"/>
      <c r="P245" s="861"/>
      <c r="Q245" s="861"/>
      <c r="R245" s="861"/>
      <c r="S245" s="861"/>
      <c r="T245" s="861"/>
      <c r="U245" s="861"/>
      <c r="V245" s="861"/>
      <c r="W245" s="861"/>
      <c r="X245" s="861"/>
      <c r="Y245" s="861"/>
      <c r="Z245" s="861"/>
      <c r="AA245" s="861"/>
      <c r="AB245" s="861"/>
      <c r="AC245" s="861"/>
      <c r="AD245" s="861"/>
      <c r="AE245" s="861"/>
      <c r="AF245" s="861"/>
      <c r="AG245" s="861"/>
    </row>
    <row r="246" spans="1:33" ht="17.25" customHeight="1">
      <c r="A246" s="861"/>
      <c r="B246" s="861"/>
      <c r="C246" s="861"/>
      <c r="D246" s="861"/>
      <c r="E246" s="861"/>
      <c r="F246" s="861"/>
      <c r="G246" s="861"/>
      <c r="H246" s="861"/>
      <c r="I246" s="861"/>
      <c r="J246" s="861"/>
      <c r="K246" s="861"/>
      <c r="L246" s="861"/>
      <c r="M246" s="861"/>
      <c r="N246" s="861"/>
      <c r="O246" s="861"/>
      <c r="P246" s="861"/>
      <c r="Q246" s="861"/>
      <c r="R246" s="861"/>
      <c r="S246" s="861"/>
      <c r="T246" s="861"/>
      <c r="U246" s="861"/>
      <c r="V246" s="861"/>
      <c r="W246" s="861"/>
      <c r="X246" s="861"/>
      <c r="Y246" s="861"/>
      <c r="Z246" s="861"/>
      <c r="AA246" s="861"/>
      <c r="AB246" s="861"/>
      <c r="AC246" s="861"/>
      <c r="AD246" s="861"/>
      <c r="AE246" s="861"/>
      <c r="AF246" s="861"/>
      <c r="AG246" s="861"/>
    </row>
    <row r="247" spans="1:33" ht="17.25" customHeight="1">
      <c r="A247" s="861"/>
      <c r="B247" s="861"/>
      <c r="C247" s="861"/>
      <c r="D247" s="861"/>
      <c r="E247" s="861"/>
      <c r="F247" s="861"/>
      <c r="G247" s="861"/>
      <c r="H247" s="861"/>
      <c r="I247" s="861"/>
      <c r="J247" s="861"/>
      <c r="K247" s="861"/>
      <c r="L247" s="861"/>
      <c r="M247" s="861"/>
      <c r="N247" s="861"/>
      <c r="O247" s="861"/>
      <c r="P247" s="861"/>
      <c r="Q247" s="861"/>
      <c r="R247" s="861"/>
      <c r="S247" s="861"/>
      <c r="T247" s="861"/>
      <c r="U247" s="861"/>
      <c r="V247" s="861"/>
      <c r="W247" s="861"/>
      <c r="X247" s="861"/>
      <c r="Y247" s="861"/>
      <c r="Z247" s="861"/>
      <c r="AA247" s="861"/>
      <c r="AB247" s="861"/>
      <c r="AC247" s="861"/>
      <c r="AD247" s="861"/>
      <c r="AE247" s="861"/>
      <c r="AF247" s="861"/>
      <c r="AG247" s="861"/>
    </row>
    <row r="248" spans="1:33" ht="17.25" customHeight="1">
      <c r="A248" s="861"/>
      <c r="B248" s="861"/>
      <c r="C248" s="861"/>
      <c r="D248" s="861"/>
      <c r="E248" s="861"/>
      <c r="F248" s="861"/>
      <c r="G248" s="861"/>
      <c r="H248" s="861"/>
      <c r="I248" s="861"/>
      <c r="J248" s="861"/>
      <c r="K248" s="861"/>
      <c r="L248" s="861"/>
      <c r="M248" s="861"/>
      <c r="N248" s="861"/>
      <c r="O248" s="861"/>
      <c r="P248" s="861"/>
      <c r="Q248" s="861"/>
      <c r="R248" s="861"/>
      <c r="S248" s="861"/>
      <c r="T248" s="861"/>
      <c r="U248" s="861"/>
      <c r="V248" s="861"/>
      <c r="W248" s="861"/>
      <c r="X248" s="861"/>
      <c r="Y248" s="861"/>
      <c r="Z248" s="861"/>
      <c r="AA248" s="861"/>
      <c r="AB248" s="861"/>
      <c r="AC248" s="861"/>
      <c r="AD248" s="861"/>
      <c r="AE248" s="861"/>
      <c r="AF248" s="861"/>
      <c r="AG248" s="861"/>
    </row>
    <row r="249" spans="1:33" ht="17.25" customHeight="1">
      <c r="A249" s="861"/>
      <c r="B249" s="861"/>
      <c r="C249" s="861"/>
      <c r="D249" s="861"/>
      <c r="E249" s="861"/>
      <c r="F249" s="861"/>
      <c r="G249" s="861"/>
      <c r="H249" s="861"/>
      <c r="I249" s="861"/>
      <c r="J249" s="861"/>
      <c r="K249" s="861"/>
      <c r="L249" s="861"/>
      <c r="M249" s="861"/>
      <c r="N249" s="861"/>
      <c r="O249" s="861"/>
      <c r="P249" s="861"/>
      <c r="Q249" s="861"/>
      <c r="R249" s="861"/>
      <c r="S249" s="861"/>
      <c r="T249" s="861"/>
      <c r="U249" s="861"/>
      <c r="V249" s="861"/>
      <c r="W249" s="861"/>
      <c r="X249" s="861"/>
      <c r="Y249" s="861"/>
      <c r="Z249" s="861"/>
      <c r="AA249" s="861"/>
      <c r="AB249" s="861"/>
      <c r="AC249" s="861"/>
      <c r="AD249" s="861"/>
      <c r="AE249" s="861"/>
      <c r="AF249" s="861"/>
      <c r="AG249" s="861"/>
    </row>
    <row r="250" spans="1:33" ht="17.25" customHeight="1">
      <c r="A250" s="861"/>
      <c r="B250" s="861"/>
      <c r="C250" s="861"/>
      <c r="D250" s="861"/>
      <c r="E250" s="861"/>
      <c r="F250" s="861"/>
      <c r="G250" s="861"/>
      <c r="H250" s="861"/>
      <c r="I250" s="861"/>
      <c r="J250" s="861"/>
      <c r="K250" s="861"/>
      <c r="L250" s="861"/>
      <c r="M250" s="861"/>
      <c r="N250" s="861"/>
      <c r="O250" s="861"/>
      <c r="P250" s="861"/>
      <c r="Q250" s="861"/>
      <c r="R250" s="861"/>
      <c r="S250" s="861"/>
      <c r="T250" s="861"/>
      <c r="U250" s="861"/>
      <c r="V250" s="861"/>
      <c r="W250" s="861"/>
      <c r="X250" s="861"/>
      <c r="Y250" s="861"/>
      <c r="Z250" s="861"/>
      <c r="AA250" s="861"/>
      <c r="AB250" s="861"/>
      <c r="AC250" s="861"/>
      <c r="AD250" s="861"/>
      <c r="AE250" s="861"/>
      <c r="AF250" s="861"/>
      <c r="AG250" s="861"/>
    </row>
    <row r="251" spans="1:33" ht="17.25" customHeight="1">
      <c r="A251" s="861"/>
      <c r="B251" s="861"/>
      <c r="C251" s="861"/>
      <c r="D251" s="861"/>
      <c r="E251" s="861"/>
      <c r="F251" s="861"/>
      <c r="G251" s="861"/>
      <c r="H251" s="861"/>
      <c r="I251" s="861"/>
      <c r="J251" s="861"/>
      <c r="K251" s="861"/>
      <c r="L251" s="861"/>
      <c r="M251" s="861"/>
      <c r="N251" s="861"/>
      <c r="O251" s="861"/>
      <c r="P251" s="861"/>
      <c r="Q251" s="861"/>
      <c r="R251" s="861"/>
      <c r="S251" s="861"/>
      <c r="T251" s="861"/>
      <c r="U251" s="861"/>
      <c r="V251" s="861"/>
      <c r="W251" s="861"/>
      <c r="X251" s="861"/>
      <c r="Y251" s="861"/>
      <c r="Z251" s="861"/>
      <c r="AA251" s="861"/>
      <c r="AB251" s="861"/>
      <c r="AC251" s="861"/>
      <c r="AD251" s="861"/>
      <c r="AE251" s="861"/>
      <c r="AF251" s="861"/>
      <c r="AG251" s="861"/>
    </row>
    <row r="252" spans="1:33" ht="17.25" customHeight="1">
      <c r="A252" s="861"/>
      <c r="B252" s="861"/>
      <c r="C252" s="861"/>
      <c r="D252" s="861"/>
      <c r="E252" s="861"/>
      <c r="F252" s="861"/>
      <c r="G252" s="861"/>
      <c r="H252" s="861"/>
      <c r="I252" s="861"/>
      <c r="J252" s="861"/>
      <c r="K252" s="861"/>
      <c r="L252" s="861"/>
      <c r="M252" s="861"/>
      <c r="N252" s="861"/>
      <c r="O252" s="861"/>
      <c r="P252" s="861"/>
      <c r="Q252" s="861"/>
      <c r="R252" s="861"/>
      <c r="S252" s="861"/>
      <c r="T252" s="861"/>
      <c r="U252" s="861"/>
      <c r="V252" s="861"/>
      <c r="W252" s="861"/>
      <c r="X252" s="861"/>
      <c r="Y252" s="861"/>
      <c r="Z252" s="861"/>
      <c r="AA252" s="861"/>
      <c r="AB252" s="861"/>
      <c r="AC252" s="861"/>
      <c r="AD252" s="861"/>
      <c r="AE252" s="861"/>
      <c r="AF252" s="861"/>
      <c r="AG252" s="861"/>
    </row>
    <row r="253" spans="1:33" ht="17.25" customHeight="1">
      <c r="A253" s="861"/>
      <c r="B253" s="861"/>
      <c r="C253" s="861"/>
      <c r="D253" s="861"/>
      <c r="E253" s="861"/>
      <c r="F253" s="861"/>
      <c r="G253" s="861"/>
      <c r="H253" s="861"/>
      <c r="I253" s="861"/>
      <c r="J253" s="861"/>
      <c r="K253" s="861"/>
      <c r="L253" s="861"/>
      <c r="M253" s="861"/>
      <c r="N253" s="861"/>
      <c r="O253" s="861"/>
      <c r="P253" s="861"/>
      <c r="Q253" s="861"/>
      <c r="R253" s="861"/>
      <c r="S253" s="861"/>
      <c r="T253" s="861"/>
      <c r="U253" s="861"/>
      <c r="V253" s="861"/>
      <c r="W253" s="861"/>
      <c r="X253" s="861"/>
      <c r="Y253" s="861"/>
      <c r="Z253" s="861"/>
      <c r="AA253" s="861"/>
      <c r="AB253" s="861"/>
      <c r="AC253" s="861"/>
      <c r="AD253" s="861"/>
      <c r="AE253" s="861"/>
      <c r="AF253" s="861"/>
      <c r="AG253" s="861"/>
    </row>
    <row r="254" spans="1:33" ht="17.25" customHeight="1">
      <c r="A254" s="861"/>
      <c r="B254" s="861"/>
      <c r="C254" s="861"/>
      <c r="D254" s="861"/>
      <c r="E254" s="861"/>
      <c r="F254" s="861"/>
      <c r="G254" s="861"/>
      <c r="H254" s="861"/>
      <c r="I254" s="861"/>
      <c r="J254" s="861"/>
      <c r="K254" s="861"/>
      <c r="L254" s="861"/>
      <c r="M254" s="861"/>
      <c r="N254" s="861"/>
      <c r="O254" s="861"/>
      <c r="P254" s="861"/>
      <c r="Q254" s="861"/>
      <c r="R254" s="861"/>
      <c r="S254" s="861"/>
      <c r="T254" s="861"/>
      <c r="U254" s="861"/>
      <c r="V254" s="861"/>
      <c r="W254" s="861"/>
      <c r="X254" s="861"/>
      <c r="Y254" s="861"/>
      <c r="Z254" s="861"/>
      <c r="AA254" s="861"/>
      <c r="AB254" s="861"/>
      <c r="AC254" s="861"/>
      <c r="AD254" s="861"/>
      <c r="AE254" s="861"/>
      <c r="AF254" s="861"/>
      <c r="AG254" s="861"/>
    </row>
    <row r="255" spans="1:33" ht="17.25" customHeight="1">
      <c r="A255" s="861"/>
      <c r="B255" s="861"/>
      <c r="C255" s="861"/>
      <c r="D255" s="861"/>
      <c r="E255" s="861"/>
      <c r="F255" s="861"/>
      <c r="G255" s="861"/>
      <c r="H255" s="861"/>
      <c r="I255" s="861"/>
      <c r="J255" s="861"/>
      <c r="K255" s="861"/>
      <c r="L255" s="861"/>
      <c r="M255" s="861"/>
      <c r="N255" s="861"/>
      <c r="O255" s="861"/>
      <c r="P255" s="861"/>
      <c r="Q255" s="861"/>
      <c r="R255" s="861"/>
      <c r="S255" s="861"/>
      <c r="T255" s="861"/>
      <c r="U255" s="861"/>
      <c r="V255" s="861"/>
      <c r="W255" s="861"/>
      <c r="X255" s="861"/>
      <c r="Y255" s="861"/>
      <c r="Z255" s="861"/>
      <c r="AA255" s="861"/>
      <c r="AB255" s="861"/>
      <c r="AC255" s="861"/>
      <c r="AD255" s="861"/>
      <c r="AE255" s="861"/>
      <c r="AF255" s="861"/>
      <c r="AG255" s="861"/>
    </row>
    <row r="256" spans="1:33" ht="17.25" customHeight="1">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c r="AA256" s="861"/>
      <c r="AB256" s="861"/>
      <c r="AC256" s="861"/>
      <c r="AD256" s="861"/>
      <c r="AE256" s="861"/>
      <c r="AF256" s="861"/>
      <c r="AG256" s="861"/>
    </row>
    <row r="257" spans="1:33" ht="17.25" customHeight="1">
      <c r="A257" s="861"/>
      <c r="B257" s="861"/>
      <c r="C257" s="861"/>
      <c r="D257" s="861"/>
      <c r="E257" s="861"/>
      <c r="F257" s="861"/>
      <c r="G257" s="861"/>
      <c r="H257" s="861"/>
      <c r="I257" s="861"/>
      <c r="J257" s="861"/>
      <c r="K257" s="861"/>
      <c r="L257" s="861"/>
      <c r="M257" s="861"/>
      <c r="N257" s="861"/>
      <c r="O257" s="861"/>
      <c r="P257" s="861"/>
      <c r="Q257" s="861"/>
      <c r="R257" s="861"/>
      <c r="S257" s="861"/>
      <c r="T257" s="861"/>
      <c r="U257" s="861"/>
      <c r="V257" s="861"/>
      <c r="W257" s="861"/>
      <c r="X257" s="861"/>
      <c r="Y257" s="861"/>
      <c r="Z257" s="861"/>
      <c r="AA257" s="861"/>
      <c r="AB257" s="861"/>
      <c r="AC257" s="861"/>
      <c r="AD257" s="861"/>
      <c r="AE257" s="861"/>
      <c r="AF257" s="861"/>
      <c r="AG257" s="861"/>
    </row>
    <row r="258" spans="1:33" ht="17.25" customHeight="1">
      <c r="A258" s="861"/>
      <c r="B258" s="861"/>
      <c r="C258" s="861"/>
      <c r="D258" s="861"/>
      <c r="E258" s="861"/>
      <c r="F258" s="861"/>
      <c r="G258" s="861"/>
      <c r="H258" s="861"/>
      <c r="I258" s="861"/>
      <c r="J258" s="861"/>
      <c r="K258" s="861"/>
      <c r="L258" s="861"/>
      <c r="M258" s="861"/>
      <c r="N258" s="861"/>
      <c r="O258" s="861"/>
      <c r="P258" s="861"/>
      <c r="Q258" s="861"/>
      <c r="R258" s="861"/>
      <c r="S258" s="861"/>
      <c r="T258" s="861"/>
      <c r="U258" s="861"/>
      <c r="V258" s="861"/>
      <c r="W258" s="861"/>
      <c r="X258" s="861"/>
      <c r="Y258" s="861"/>
      <c r="Z258" s="861"/>
      <c r="AA258" s="861"/>
      <c r="AB258" s="861"/>
      <c r="AC258" s="861"/>
      <c r="AD258" s="861"/>
      <c r="AE258" s="861"/>
      <c r="AF258" s="861"/>
      <c r="AG258" s="861"/>
    </row>
    <row r="259" spans="1:33" ht="17.25" customHeight="1">
      <c r="A259" s="861"/>
      <c r="B259" s="861"/>
      <c r="C259" s="861"/>
      <c r="D259" s="861"/>
      <c r="E259" s="861"/>
      <c r="F259" s="861"/>
      <c r="G259" s="861"/>
      <c r="H259" s="861"/>
      <c r="I259" s="861"/>
      <c r="J259" s="861"/>
      <c r="K259" s="861"/>
      <c r="L259" s="861"/>
      <c r="M259" s="861"/>
      <c r="N259" s="861"/>
      <c r="O259" s="861"/>
      <c r="P259" s="861"/>
      <c r="Q259" s="861"/>
      <c r="R259" s="861"/>
      <c r="S259" s="861"/>
      <c r="T259" s="861"/>
      <c r="U259" s="861"/>
      <c r="V259" s="861"/>
      <c r="W259" s="861"/>
      <c r="X259" s="861"/>
      <c r="Y259" s="861"/>
      <c r="Z259" s="861"/>
      <c r="AA259" s="861"/>
      <c r="AB259" s="861"/>
      <c r="AC259" s="861"/>
      <c r="AD259" s="861"/>
      <c r="AE259" s="861"/>
      <c r="AF259" s="861"/>
      <c r="AG259" s="861"/>
    </row>
    <row r="260" spans="1:33" ht="17.25" customHeight="1">
      <c r="A260" s="861"/>
      <c r="B260" s="861"/>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c r="AA260" s="861"/>
      <c r="AB260" s="861"/>
      <c r="AC260" s="861"/>
      <c r="AD260" s="861"/>
      <c r="AE260" s="861"/>
      <c r="AF260" s="861"/>
      <c r="AG260" s="861"/>
    </row>
    <row r="261" spans="1:33" ht="17.25" customHeight="1">
      <c r="A261" s="861"/>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861"/>
      <c r="AF261" s="861"/>
      <c r="AG261" s="861"/>
    </row>
    <row r="262" spans="1:33" ht="17.25" customHeight="1">
      <c r="A262" s="861"/>
      <c r="B262" s="861"/>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c r="AA262" s="861"/>
      <c r="AB262" s="861"/>
      <c r="AC262" s="861"/>
      <c r="AD262" s="861"/>
      <c r="AE262" s="861"/>
      <c r="AF262" s="861"/>
      <c r="AG262" s="861"/>
    </row>
    <row r="263" spans="1:33" ht="17.25" customHeight="1">
      <c r="A263" s="861"/>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c r="AA263" s="861"/>
      <c r="AB263" s="861"/>
      <c r="AC263" s="861"/>
      <c r="AD263" s="861"/>
      <c r="AE263" s="861"/>
      <c r="AF263" s="861"/>
      <c r="AG263" s="861"/>
    </row>
    <row r="264" spans="1:33" ht="17.25" customHeight="1">
      <c r="A264" s="861"/>
      <c r="B264" s="861"/>
      <c r="C264" s="861"/>
      <c r="D264" s="861"/>
      <c r="E264" s="861"/>
      <c r="F264" s="861"/>
      <c r="G264" s="861"/>
      <c r="H264" s="861"/>
      <c r="I264" s="861"/>
      <c r="J264" s="861"/>
      <c r="K264" s="861"/>
      <c r="L264" s="861"/>
      <c r="M264" s="861"/>
      <c r="N264" s="861"/>
      <c r="O264" s="861"/>
      <c r="P264" s="861"/>
      <c r="Q264" s="861"/>
      <c r="R264" s="861"/>
      <c r="S264" s="861"/>
      <c r="T264" s="861"/>
      <c r="U264" s="861"/>
      <c r="V264" s="861"/>
      <c r="W264" s="861"/>
      <c r="X264" s="861"/>
      <c r="Y264" s="861"/>
      <c r="Z264" s="861"/>
      <c r="AA264" s="861"/>
      <c r="AB264" s="861"/>
      <c r="AC264" s="861"/>
      <c r="AD264" s="861"/>
      <c r="AE264" s="861"/>
      <c r="AF264" s="861"/>
      <c r="AG264" s="861"/>
    </row>
    <row r="265" spans="1:33" ht="17.25" customHeight="1">
      <c r="A265" s="861"/>
      <c r="B265" s="861"/>
      <c r="C265" s="861"/>
      <c r="D265" s="861"/>
      <c r="E265" s="861"/>
      <c r="F265" s="861"/>
      <c r="G265" s="861"/>
      <c r="H265" s="861"/>
      <c r="I265" s="861"/>
      <c r="J265" s="861"/>
      <c r="K265" s="861"/>
      <c r="L265" s="861"/>
      <c r="M265" s="861"/>
      <c r="N265" s="861"/>
      <c r="O265" s="861"/>
      <c r="P265" s="861"/>
      <c r="Q265" s="861"/>
      <c r="R265" s="861"/>
      <c r="S265" s="861"/>
      <c r="T265" s="861"/>
      <c r="U265" s="861"/>
      <c r="V265" s="861"/>
      <c r="W265" s="861"/>
      <c r="X265" s="861"/>
      <c r="Y265" s="861"/>
      <c r="Z265" s="861"/>
      <c r="AA265" s="861"/>
      <c r="AB265" s="861"/>
      <c r="AC265" s="861"/>
      <c r="AD265" s="861"/>
      <c r="AE265" s="861"/>
      <c r="AF265" s="861"/>
      <c r="AG265" s="861"/>
    </row>
    <row r="266" spans="1:33" ht="17.25" customHeight="1">
      <c r="A266" s="861"/>
      <c r="B266" s="861"/>
      <c r="C266" s="861"/>
      <c r="D266" s="861"/>
      <c r="E266" s="861"/>
      <c r="F266" s="861"/>
      <c r="G266" s="861"/>
      <c r="H266" s="861"/>
      <c r="I266" s="861"/>
      <c r="J266" s="861"/>
      <c r="K266" s="861"/>
      <c r="L266" s="861"/>
      <c r="M266" s="861"/>
      <c r="N266" s="861"/>
      <c r="O266" s="861"/>
      <c r="P266" s="861"/>
      <c r="Q266" s="861"/>
      <c r="R266" s="861"/>
      <c r="S266" s="861"/>
      <c r="T266" s="861"/>
      <c r="U266" s="861"/>
      <c r="V266" s="861"/>
      <c r="W266" s="861"/>
      <c r="X266" s="861"/>
      <c r="Y266" s="861"/>
      <c r="Z266" s="861"/>
      <c r="AA266" s="861"/>
      <c r="AB266" s="861"/>
      <c r="AC266" s="861"/>
      <c r="AD266" s="861"/>
      <c r="AE266" s="861"/>
      <c r="AF266" s="861"/>
      <c r="AG266" s="861"/>
    </row>
    <row r="267" spans="1:33" ht="17.25" customHeight="1">
      <c r="A267" s="861"/>
      <c r="B267" s="861"/>
      <c r="C267" s="861"/>
      <c r="D267" s="861"/>
      <c r="E267" s="861"/>
      <c r="F267" s="861"/>
      <c r="G267" s="861"/>
      <c r="H267" s="861"/>
      <c r="I267" s="861"/>
      <c r="J267" s="861"/>
      <c r="K267" s="861"/>
      <c r="L267" s="861"/>
      <c r="M267" s="861"/>
      <c r="N267" s="861"/>
      <c r="O267" s="861"/>
      <c r="P267" s="861"/>
      <c r="Q267" s="861"/>
      <c r="R267" s="861"/>
      <c r="S267" s="861"/>
      <c r="T267" s="861"/>
      <c r="U267" s="861"/>
      <c r="V267" s="861"/>
      <c r="W267" s="861"/>
      <c r="X267" s="861"/>
      <c r="Y267" s="861"/>
      <c r="Z267" s="861"/>
      <c r="AA267" s="861"/>
      <c r="AB267" s="861"/>
      <c r="AC267" s="861"/>
      <c r="AD267" s="861"/>
      <c r="AE267" s="861"/>
      <c r="AF267" s="861"/>
      <c r="AG267" s="861"/>
    </row>
    <row r="268" spans="1:33" ht="17.25" customHeight="1">
      <c r="A268" s="861"/>
      <c r="B268" s="861"/>
      <c r="C268" s="861"/>
      <c r="D268" s="861"/>
      <c r="E268" s="861"/>
      <c r="F268" s="861"/>
      <c r="G268" s="861"/>
      <c r="H268" s="861"/>
      <c r="I268" s="861"/>
      <c r="J268" s="861"/>
      <c r="K268" s="861"/>
      <c r="L268" s="861"/>
      <c r="M268" s="861"/>
      <c r="N268" s="861"/>
      <c r="O268" s="861"/>
      <c r="P268" s="861"/>
      <c r="Q268" s="861"/>
      <c r="R268" s="861"/>
      <c r="S268" s="861"/>
      <c r="T268" s="861"/>
      <c r="U268" s="861"/>
      <c r="V268" s="861"/>
      <c r="W268" s="861"/>
      <c r="X268" s="861"/>
      <c r="Y268" s="861"/>
      <c r="Z268" s="861"/>
      <c r="AA268" s="861"/>
      <c r="AB268" s="861"/>
      <c r="AC268" s="861"/>
      <c r="AD268" s="861"/>
      <c r="AE268" s="861"/>
      <c r="AF268" s="861"/>
      <c r="AG268" s="861"/>
    </row>
    <row r="269" spans="1:33" ht="17.25" customHeight="1">
      <c r="A269" s="861"/>
      <c r="B269" s="861"/>
      <c r="C269" s="861"/>
      <c r="D269" s="861"/>
      <c r="E269" s="861"/>
      <c r="F269" s="861"/>
      <c r="G269" s="861"/>
      <c r="H269" s="861"/>
      <c r="I269" s="861"/>
      <c r="J269" s="861"/>
      <c r="K269" s="861"/>
      <c r="L269" s="861"/>
      <c r="M269" s="861"/>
      <c r="N269" s="861"/>
      <c r="O269" s="861"/>
      <c r="P269" s="861"/>
      <c r="Q269" s="861"/>
      <c r="R269" s="861"/>
      <c r="S269" s="861"/>
      <c r="T269" s="861"/>
      <c r="U269" s="861"/>
      <c r="V269" s="861"/>
      <c r="W269" s="861"/>
      <c r="X269" s="861"/>
      <c r="Y269" s="861"/>
      <c r="Z269" s="861"/>
      <c r="AA269" s="861"/>
      <c r="AB269" s="861"/>
      <c r="AC269" s="861"/>
      <c r="AD269" s="861"/>
      <c r="AE269" s="861"/>
      <c r="AF269" s="861"/>
      <c r="AG269" s="861"/>
    </row>
    <row r="270" spans="1:33" ht="17.25" customHeight="1">
      <c r="A270" s="861"/>
      <c r="B270" s="861"/>
      <c r="C270" s="861"/>
      <c r="D270" s="861"/>
      <c r="E270" s="861"/>
      <c r="F270" s="861"/>
      <c r="G270" s="861"/>
      <c r="H270" s="861"/>
      <c r="I270" s="861"/>
      <c r="J270" s="861"/>
      <c r="K270" s="861"/>
      <c r="L270" s="861"/>
      <c r="M270" s="861"/>
      <c r="N270" s="861"/>
      <c r="O270" s="861"/>
      <c r="P270" s="861"/>
      <c r="Q270" s="861"/>
      <c r="R270" s="861"/>
      <c r="S270" s="861"/>
      <c r="T270" s="861"/>
      <c r="U270" s="861"/>
      <c r="V270" s="861"/>
      <c r="W270" s="861"/>
      <c r="X270" s="861"/>
      <c r="Y270" s="861"/>
      <c r="Z270" s="861"/>
      <c r="AA270" s="861"/>
      <c r="AB270" s="861"/>
      <c r="AC270" s="861"/>
      <c r="AD270" s="861"/>
      <c r="AE270" s="861"/>
      <c r="AF270" s="861"/>
      <c r="AG270" s="861"/>
    </row>
    <row r="271" spans="1:33" ht="17.25" customHeight="1">
      <c r="A271" s="861"/>
      <c r="B271" s="861"/>
      <c r="C271" s="861"/>
      <c r="D271" s="861"/>
      <c r="E271" s="861"/>
      <c r="F271" s="861"/>
      <c r="G271" s="861"/>
      <c r="H271" s="861"/>
      <c r="I271" s="861"/>
      <c r="J271" s="861"/>
      <c r="K271" s="861"/>
      <c r="L271" s="861"/>
      <c r="M271" s="861"/>
      <c r="N271" s="861"/>
      <c r="O271" s="861"/>
      <c r="P271" s="861"/>
      <c r="Q271" s="861"/>
      <c r="R271" s="861"/>
      <c r="S271" s="861"/>
      <c r="T271" s="861"/>
      <c r="U271" s="861"/>
      <c r="V271" s="861"/>
      <c r="W271" s="861"/>
      <c r="X271" s="861"/>
      <c r="Y271" s="861"/>
      <c r="Z271" s="861"/>
      <c r="AA271" s="861"/>
      <c r="AB271" s="861"/>
      <c r="AC271" s="861"/>
      <c r="AD271" s="861"/>
      <c r="AE271" s="861"/>
      <c r="AF271" s="861"/>
      <c r="AG271" s="861"/>
    </row>
    <row r="272" spans="1:33" ht="17.25" customHeight="1">
      <c r="A272" s="861"/>
      <c r="B272" s="861"/>
      <c r="C272" s="861"/>
      <c r="D272" s="861"/>
      <c r="E272" s="861"/>
      <c r="F272" s="861"/>
      <c r="G272" s="861"/>
      <c r="H272" s="861"/>
      <c r="I272" s="861"/>
      <c r="J272" s="861"/>
      <c r="K272" s="861"/>
      <c r="L272" s="861"/>
      <c r="M272" s="861"/>
      <c r="N272" s="861"/>
      <c r="O272" s="861"/>
      <c r="P272" s="861"/>
      <c r="Q272" s="861"/>
      <c r="R272" s="861"/>
      <c r="S272" s="861"/>
      <c r="T272" s="861"/>
      <c r="U272" s="861"/>
      <c r="V272" s="861"/>
      <c r="W272" s="861"/>
      <c r="X272" s="861"/>
      <c r="Y272" s="861"/>
      <c r="Z272" s="861"/>
      <c r="AA272" s="861"/>
      <c r="AB272" s="861"/>
      <c r="AC272" s="861"/>
      <c r="AD272" s="861"/>
      <c r="AE272" s="861"/>
      <c r="AF272" s="861"/>
      <c r="AG272" s="861"/>
    </row>
    <row r="273" spans="1:33" ht="17.25" customHeight="1">
      <c r="A273" s="861"/>
      <c r="B273" s="861"/>
      <c r="C273" s="861"/>
      <c r="D273" s="861"/>
      <c r="E273" s="861"/>
      <c r="F273" s="861"/>
      <c r="G273" s="861"/>
      <c r="H273" s="861"/>
      <c r="I273" s="861"/>
      <c r="J273" s="861"/>
      <c r="K273" s="861"/>
      <c r="L273" s="861"/>
      <c r="M273" s="861"/>
      <c r="N273" s="861"/>
      <c r="O273" s="861"/>
      <c r="P273" s="861"/>
      <c r="Q273" s="861"/>
      <c r="R273" s="861"/>
      <c r="S273" s="861"/>
      <c r="T273" s="861"/>
      <c r="U273" s="861"/>
      <c r="V273" s="861"/>
      <c r="W273" s="861"/>
      <c r="X273" s="861"/>
      <c r="Y273" s="861"/>
      <c r="Z273" s="861"/>
      <c r="AA273" s="861"/>
      <c r="AB273" s="861"/>
      <c r="AC273" s="861"/>
      <c r="AD273" s="861"/>
      <c r="AE273" s="861"/>
      <c r="AF273" s="861"/>
      <c r="AG273" s="861"/>
    </row>
    <row r="274" spans="1:33" ht="17.25" customHeight="1">
      <c r="A274" s="861"/>
      <c r="B274" s="861"/>
      <c r="C274" s="861"/>
      <c r="D274" s="861"/>
      <c r="E274" s="861"/>
      <c r="F274" s="861"/>
      <c r="G274" s="861"/>
      <c r="H274" s="861"/>
      <c r="I274" s="861"/>
      <c r="J274" s="861"/>
      <c r="K274" s="861"/>
      <c r="L274" s="861"/>
      <c r="M274" s="861"/>
      <c r="N274" s="861"/>
      <c r="O274" s="861"/>
      <c r="P274" s="861"/>
      <c r="Q274" s="861"/>
      <c r="R274" s="861"/>
      <c r="S274" s="861"/>
      <c r="T274" s="861"/>
      <c r="U274" s="861"/>
      <c r="V274" s="861"/>
      <c r="W274" s="861"/>
      <c r="X274" s="861"/>
      <c r="Y274" s="861"/>
      <c r="Z274" s="861"/>
      <c r="AA274" s="861"/>
      <c r="AB274" s="861"/>
      <c r="AC274" s="861"/>
      <c r="AD274" s="861"/>
      <c r="AE274" s="861"/>
      <c r="AF274" s="861"/>
      <c r="AG274" s="861"/>
    </row>
    <row r="275" spans="1:33" ht="17.25" customHeight="1">
      <c r="A275" s="861"/>
      <c r="B275" s="861"/>
      <c r="C275" s="861"/>
      <c r="D275" s="861"/>
      <c r="E275" s="861"/>
      <c r="F275" s="861"/>
      <c r="G275" s="861"/>
      <c r="H275" s="861"/>
      <c r="I275" s="861"/>
      <c r="J275" s="861"/>
      <c r="K275" s="861"/>
      <c r="L275" s="861"/>
      <c r="M275" s="861"/>
      <c r="N275" s="861"/>
      <c r="O275" s="861"/>
      <c r="P275" s="861"/>
      <c r="Q275" s="861"/>
      <c r="R275" s="861"/>
      <c r="S275" s="861"/>
      <c r="T275" s="861"/>
      <c r="U275" s="861"/>
      <c r="V275" s="861"/>
      <c r="W275" s="861"/>
      <c r="X275" s="861"/>
      <c r="Y275" s="861"/>
      <c r="Z275" s="861"/>
      <c r="AA275" s="861"/>
      <c r="AB275" s="861"/>
      <c r="AC275" s="861"/>
      <c r="AD275" s="861"/>
      <c r="AE275" s="861"/>
      <c r="AF275" s="861"/>
      <c r="AG275" s="861"/>
    </row>
    <row r="276" spans="1:33" ht="17.25" customHeight="1">
      <c r="A276" s="861"/>
      <c r="B276" s="861"/>
      <c r="C276" s="861"/>
      <c r="D276" s="861"/>
      <c r="E276" s="861"/>
      <c r="F276" s="861"/>
      <c r="G276" s="861"/>
      <c r="H276" s="861"/>
      <c r="I276" s="861"/>
      <c r="J276" s="861"/>
      <c r="K276" s="861"/>
      <c r="L276" s="861"/>
      <c r="M276" s="861"/>
      <c r="N276" s="861"/>
      <c r="O276" s="861"/>
      <c r="P276" s="861"/>
      <c r="Q276" s="861"/>
      <c r="R276" s="861"/>
      <c r="S276" s="861"/>
      <c r="T276" s="861"/>
      <c r="U276" s="861"/>
      <c r="V276" s="861"/>
      <c r="W276" s="861"/>
      <c r="X276" s="861"/>
      <c r="Y276" s="861"/>
      <c r="Z276" s="861"/>
      <c r="AA276" s="861"/>
      <c r="AB276" s="861"/>
      <c r="AC276" s="861"/>
      <c r="AD276" s="861"/>
      <c r="AE276" s="861"/>
      <c r="AF276" s="861"/>
      <c r="AG276" s="861"/>
    </row>
    <row r="277" spans="1:33" ht="17.25" customHeight="1">
      <c r="A277" s="861"/>
      <c r="B277" s="861"/>
      <c r="C277" s="861"/>
      <c r="D277" s="861"/>
      <c r="E277" s="861"/>
      <c r="F277" s="861"/>
      <c r="G277" s="861"/>
      <c r="H277" s="861"/>
      <c r="I277" s="861"/>
      <c r="J277" s="861"/>
      <c r="K277" s="861"/>
      <c r="L277" s="861"/>
      <c r="M277" s="861"/>
      <c r="N277" s="861"/>
      <c r="O277" s="861"/>
      <c r="P277" s="861"/>
      <c r="Q277" s="861"/>
      <c r="R277" s="861"/>
      <c r="S277" s="861"/>
      <c r="T277" s="861"/>
      <c r="U277" s="861"/>
      <c r="V277" s="861"/>
      <c r="W277" s="861"/>
      <c r="X277" s="861"/>
      <c r="Y277" s="861"/>
      <c r="Z277" s="861"/>
      <c r="AA277" s="861"/>
      <c r="AB277" s="861"/>
      <c r="AC277" s="861"/>
      <c r="AD277" s="861"/>
      <c r="AE277" s="861"/>
      <c r="AF277" s="861"/>
      <c r="AG277" s="861"/>
    </row>
    <row r="278" spans="1:33" ht="17.25" customHeight="1">
      <c r="A278" s="861"/>
      <c r="B278" s="861"/>
      <c r="C278" s="861"/>
      <c r="D278" s="861"/>
      <c r="E278" s="861"/>
      <c r="F278" s="861"/>
      <c r="G278" s="861"/>
      <c r="H278" s="861"/>
      <c r="I278" s="861"/>
      <c r="J278" s="861"/>
      <c r="K278" s="861"/>
      <c r="L278" s="861"/>
      <c r="M278" s="861"/>
      <c r="N278" s="861"/>
      <c r="O278" s="861"/>
      <c r="P278" s="861"/>
      <c r="Q278" s="861"/>
      <c r="R278" s="861"/>
      <c r="S278" s="861"/>
      <c r="T278" s="861"/>
      <c r="U278" s="861"/>
      <c r="V278" s="861"/>
      <c r="W278" s="861"/>
      <c r="X278" s="861"/>
      <c r="Y278" s="861"/>
      <c r="Z278" s="861"/>
      <c r="AA278" s="861"/>
      <c r="AB278" s="861"/>
      <c r="AC278" s="861"/>
      <c r="AD278" s="861"/>
      <c r="AE278" s="861"/>
      <c r="AF278" s="861"/>
      <c r="AG278" s="861"/>
    </row>
    <row r="279" spans="1:33" ht="17.25" customHeight="1">
      <c r="A279" s="861"/>
      <c r="B279" s="861"/>
      <c r="C279" s="861"/>
      <c r="D279" s="861"/>
      <c r="E279" s="861"/>
      <c r="F279" s="861"/>
      <c r="G279" s="861"/>
      <c r="H279" s="861"/>
      <c r="I279" s="861"/>
      <c r="J279" s="861"/>
      <c r="K279" s="861"/>
      <c r="L279" s="861"/>
      <c r="M279" s="861"/>
      <c r="N279" s="861"/>
      <c r="O279" s="861"/>
      <c r="P279" s="861"/>
      <c r="Q279" s="861"/>
      <c r="R279" s="861"/>
      <c r="S279" s="861"/>
      <c r="T279" s="861"/>
      <c r="U279" s="861"/>
      <c r="V279" s="861"/>
      <c r="W279" s="861"/>
      <c r="X279" s="861"/>
      <c r="Y279" s="861"/>
      <c r="Z279" s="861"/>
      <c r="AA279" s="861"/>
      <c r="AB279" s="861"/>
      <c r="AC279" s="861"/>
      <c r="AD279" s="861"/>
      <c r="AE279" s="861"/>
      <c r="AF279" s="861"/>
      <c r="AG279" s="861"/>
    </row>
    <row r="280" spans="1:33" ht="17.25" customHeight="1">
      <c r="A280" s="861"/>
      <c r="B280" s="861"/>
      <c r="C280" s="861"/>
      <c r="D280" s="861"/>
      <c r="E280" s="861"/>
      <c r="F280" s="861"/>
      <c r="G280" s="861"/>
      <c r="H280" s="861"/>
      <c r="I280" s="861"/>
      <c r="J280" s="861"/>
      <c r="K280" s="861"/>
      <c r="L280" s="861"/>
      <c r="M280" s="861"/>
      <c r="N280" s="861"/>
      <c r="O280" s="861"/>
      <c r="P280" s="861"/>
      <c r="Q280" s="861"/>
      <c r="R280" s="861"/>
      <c r="S280" s="861"/>
      <c r="T280" s="861"/>
      <c r="U280" s="861"/>
      <c r="V280" s="861"/>
      <c r="W280" s="861"/>
      <c r="X280" s="861"/>
      <c r="Y280" s="861"/>
      <c r="Z280" s="861"/>
      <c r="AA280" s="861"/>
      <c r="AB280" s="861"/>
      <c r="AC280" s="861"/>
      <c r="AD280" s="861"/>
      <c r="AE280" s="861"/>
      <c r="AF280" s="861"/>
      <c r="AG280" s="861"/>
    </row>
    <row r="281" spans="1:33" ht="17.25" customHeight="1">
      <c r="A281" s="861"/>
      <c r="B281" s="861"/>
      <c r="C281" s="861"/>
      <c r="D281" s="861"/>
      <c r="E281" s="861"/>
      <c r="F281" s="861"/>
      <c r="G281" s="861"/>
      <c r="H281" s="861"/>
      <c r="I281" s="861"/>
      <c r="J281" s="861"/>
      <c r="K281" s="861"/>
      <c r="L281" s="861"/>
      <c r="M281" s="861"/>
      <c r="N281" s="861"/>
      <c r="O281" s="861"/>
      <c r="P281" s="861"/>
      <c r="Q281" s="861"/>
      <c r="R281" s="861"/>
      <c r="S281" s="861"/>
      <c r="T281" s="861"/>
      <c r="U281" s="861"/>
      <c r="V281" s="861"/>
      <c r="W281" s="861"/>
      <c r="X281" s="861"/>
      <c r="Y281" s="861"/>
      <c r="Z281" s="861"/>
      <c r="AA281" s="861"/>
      <c r="AB281" s="861"/>
      <c r="AC281" s="861"/>
      <c r="AD281" s="861"/>
      <c r="AE281" s="861"/>
      <c r="AF281" s="861"/>
      <c r="AG281" s="861"/>
    </row>
    <row r="282" spans="1:33" ht="17.25" customHeight="1">
      <c r="A282" s="861"/>
      <c r="B282" s="861"/>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c r="AA282" s="861"/>
      <c r="AB282" s="861"/>
      <c r="AC282" s="861"/>
      <c r="AD282" s="861"/>
      <c r="AE282" s="861"/>
      <c r="AF282" s="861"/>
      <c r="AG282" s="861"/>
    </row>
    <row r="283" spans="1:33" ht="17.25" customHeight="1">
      <c r="A283" s="861"/>
      <c r="B283" s="861"/>
      <c r="C283" s="861"/>
      <c r="D283" s="861"/>
      <c r="E283" s="861"/>
      <c r="F283" s="861"/>
      <c r="G283" s="861"/>
      <c r="H283" s="861"/>
      <c r="I283" s="861"/>
      <c r="J283" s="861"/>
      <c r="K283" s="861"/>
      <c r="L283" s="861"/>
      <c r="M283" s="861"/>
      <c r="N283" s="861"/>
      <c r="O283" s="861"/>
      <c r="P283" s="861"/>
      <c r="Q283" s="861"/>
      <c r="R283" s="861"/>
      <c r="S283" s="861"/>
      <c r="T283" s="861"/>
      <c r="U283" s="861"/>
      <c r="V283" s="861"/>
      <c r="W283" s="861"/>
      <c r="X283" s="861"/>
      <c r="Y283" s="861"/>
      <c r="Z283" s="861"/>
      <c r="AA283" s="861"/>
      <c r="AB283" s="861"/>
      <c r="AC283" s="861"/>
      <c r="AD283" s="861"/>
      <c r="AE283" s="861"/>
      <c r="AF283" s="861"/>
      <c r="AG283" s="861"/>
    </row>
    <row r="284" spans="1:33" ht="17.25" customHeight="1">
      <c r="A284" s="861"/>
      <c r="B284" s="861"/>
      <c r="C284" s="861"/>
      <c r="D284" s="861"/>
      <c r="E284" s="861"/>
      <c r="F284" s="861"/>
      <c r="G284" s="861"/>
      <c r="H284" s="861"/>
      <c r="I284" s="861"/>
      <c r="J284" s="861"/>
      <c r="K284" s="861"/>
      <c r="L284" s="861"/>
      <c r="M284" s="861"/>
      <c r="N284" s="861"/>
      <c r="O284" s="861"/>
      <c r="P284" s="861"/>
      <c r="Q284" s="861"/>
      <c r="R284" s="861"/>
      <c r="S284" s="861"/>
      <c r="T284" s="861"/>
      <c r="U284" s="861"/>
      <c r="V284" s="861"/>
      <c r="W284" s="861"/>
      <c r="X284" s="861"/>
      <c r="Y284" s="861"/>
      <c r="Z284" s="861"/>
      <c r="AA284" s="861"/>
      <c r="AB284" s="861"/>
      <c r="AC284" s="861"/>
      <c r="AD284" s="861"/>
      <c r="AE284" s="861"/>
      <c r="AF284" s="861"/>
      <c r="AG284" s="861"/>
    </row>
    <row r="285" spans="1:33" ht="17.25" customHeight="1">
      <c r="A285" s="861"/>
      <c r="B285" s="861"/>
      <c r="C285" s="861"/>
      <c r="D285" s="861"/>
      <c r="E285" s="861"/>
      <c r="F285" s="861"/>
      <c r="G285" s="861"/>
      <c r="H285" s="861"/>
      <c r="I285" s="861"/>
      <c r="J285" s="861"/>
      <c r="K285" s="861"/>
      <c r="L285" s="861"/>
      <c r="M285" s="861"/>
      <c r="N285" s="861"/>
      <c r="O285" s="861"/>
      <c r="P285" s="861"/>
      <c r="Q285" s="861"/>
      <c r="R285" s="861"/>
      <c r="S285" s="861"/>
      <c r="T285" s="861"/>
      <c r="U285" s="861"/>
      <c r="V285" s="861"/>
      <c r="W285" s="861"/>
      <c r="X285" s="861"/>
      <c r="Y285" s="861"/>
      <c r="Z285" s="861"/>
      <c r="AA285" s="861"/>
      <c r="AB285" s="861"/>
      <c r="AC285" s="861"/>
      <c r="AD285" s="861"/>
      <c r="AE285" s="861"/>
      <c r="AF285" s="861"/>
      <c r="AG285" s="861"/>
    </row>
    <row r="286" spans="1:33" ht="17.25" customHeight="1">
      <c r="A286" s="861"/>
      <c r="B286" s="861"/>
      <c r="C286" s="861"/>
      <c r="D286" s="861"/>
      <c r="E286" s="861"/>
      <c r="F286" s="861"/>
      <c r="G286" s="861"/>
      <c r="H286" s="861"/>
      <c r="I286" s="861"/>
      <c r="J286" s="861"/>
      <c r="K286" s="861"/>
      <c r="L286" s="861"/>
      <c r="M286" s="861"/>
      <c r="N286" s="861"/>
      <c r="O286" s="861"/>
      <c r="P286" s="861"/>
      <c r="Q286" s="861"/>
      <c r="R286" s="861"/>
      <c r="S286" s="861"/>
      <c r="T286" s="861"/>
      <c r="U286" s="861"/>
      <c r="V286" s="861"/>
      <c r="W286" s="861"/>
      <c r="X286" s="861"/>
      <c r="Y286" s="861"/>
      <c r="Z286" s="861"/>
      <c r="AA286" s="861"/>
      <c r="AB286" s="861"/>
      <c r="AC286" s="861"/>
      <c r="AD286" s="861"/>
      <c r="AE286" s="861"/>
      <c r="AF286" s="861"/>
      <c r="AG286" s="861"/>
    </row>
    <row r="287" spans="1:33" ht="17.25" customHeight="1">
      <c r="A287" s="861"/>
      <c r="B287" s="861"/>
      <c r="C287" s="861"/>
      <c r="D287" s="861"/>
      <c r="E287" s="861"/>
      <c r="F287" s="861"/>
      <c r="G287" s="861"/>
      <c r="H287" s="861"/>
      <c r="I287" s="861"/>
      <c r="J287" s="861"/>
      <c r="K287" s="861"/>
      <c r="L287" s="861"/>
      <c r="M287" s="861"/>
      <c r="N287" s="861"/>
      <c r="O287" s="861"/>
      <c r="P287" s="861"/>
      <c r="Q287" s="861"/>
      <c r="R287" s="861"/>
      <c r="S287" s="861"/>
      <c r="T287" s="861"/>
      <c r="U287" s="861"/>
      <c r="V287" s="861"/>
      <c r="W287" s="861"/>
      <c r="X287" s="861"/>
      <c r="Y287" s="861"/>
      <c r="Z287" s="861"/>
      <c r="AA287" s="861"/>
      <c r="AB287" s="861"/>
      <c r="AC287" s="861"/>
      <c r="AD287" s="861"/>
      <c r="AE287" s="861"/>
      <c r="AF287" s="861"/>
      <c r="AG287" s="861"/>
    </row>
    <row r="288" spans="1:33" ht="17.25" customHeight="1">
      <c r="A288" s="861"/>
      <c r="B288" s="861"/>
      <c r="C288" s="861"/>
      <c r="D288" s="861"/>
      <c r="E288" s="861"/>
      <c r="F288" s="861"/>
      <c r="G288" s="861"/>
      <c r="H288" s="861"/>
      <c r="I288" s="861"/>
      <c r="J288" s="861"/>
      <c r="K288" s="861"/>
      <c r="L288" s="861"/>
      <c r="M288" s="861"/>
      <c r="N288" s="861"/>
      <c r="O288" s="861"/>
      <c r="P288" s="861"/>
      <c r="Q288" s="861"/>
      <c r="R288" s="861"/>
      <c r="S288" s="861"/>
      <c r="T288" s="861"/>
      <c r="U288" s="861"/>
      <c r="V288" s="861"/>
      <c r="W288" s="861"/>
      <c r="X288" s="861"/>
      <c r="Y288" s="861"/>
      <c r="Z288" s="861"/>
      <c r="AA288" s="861"/>
      <c r="AB288" s="861"/>
      <c r="AC288" s="861"/>
      <c r="AD288" s="861"/>
      <c r="AE288" s="861"/>
      <c r="AF288" s="861"/>
      <c r="AG288" s="861"/>
    </row>
    <row r="289" spans="1:33" ht="17.25" customHeight="1">
      <c r="A289" s="861"/>
      <c r="B289" s="861"/>
      <c r="C289" s="861"/>
      <c r="D289" s="861"/>
      <c r="E289" s="861"/>
      <c r="F289" s="861"/>
      <c r="G289" s="861"/>
      <c r="H289" s="861"/>
      <c r="I289" s="861"/>
      <c r="J289" s="861"/>
      <c r="K289" s="861"/>
      <c r="L289" s="861"/>
      <c r="M289" s="861"/>
      <c r="N289" s="861"/>
      <c r="O289" s="861"/>
      <c r="P289" s="861"/>
      <c r="Q289" s="861"/>
      <c r="R289" s="861"/>
      <c r="S289" s="861"/>
      <c r="T289" s="861"/>
      <c r="U289" s="861"/>
      <c r="V289" s="861"/>
      <c r="W289" s="861"/>
      <c r="X289" s="861"/>
      <c r="Y289" s="861"/>
      <c r="Z289" s="861"/>
      <c r="AA289" s="861"/>
      <c r="AB289" s="861"/>
      <c r="AC289" s="861"/>
      <c r="AD289" s="861"/>
      <c r="AE289" s="861"/>
      <c r="AF289" s="861"/>
      <c r="AG289" s="861"/>
    </row>
    <row r="290" spans="1:33" ht="17.25" customHeight="1">
      <c r="A290" s="861"/>
      <c r="B290" s="861"/>
      <c r="C290" s="861"/>
      <c r="D290" s="861"/>
      <c r="E290" s="861"/>
      <c r="F290" s="861"/>
      <c r="G290" s="861"/>
      <c r="H290" s="861"/>
      <c r="I290" s="861"/>
      <c r="J290" s="861"/>
      <c r="K290" s="861"/>
      <c r="L290" s="861"/>
      <c r="M290" s="861"/>
      <c r="N290" s="861"/>
      <c r="O290" s="861"/>
      <c r="P290" s="861"/>
      <c r="Q290" s="861"/>
      <c r="R290" s="861"/>
      <c r="S290" s="861"/>
      <c r="T290" s="861"/>
      <c r="U290" s="861"/>
      <c r="V290" s="861"/>
      <c r="W290" s="861"/>
      <c r="X290" s="861"/>
      <c r="Y290" s="861"/>
      <c r="Z290" s="861"/>
      <c r="AA290" s="861"/>
      <c r="AB290" s="861"/>
      <c r="AC290" s="861"/>
      <c r="AD290" s="861"/>
      <c r="AE290" s="861"/>
      <c r="AF290" s="861"/>
      <c r="AG290" s="861"/>
    </row>
    <row r="291" spans="1:33" ht="17.25" customHeight="1">
      <c r="A291" s="861"/>
      <c r="B291" s="861"/>
      <c r="C291" s="861"/>
      <c r="D291" s="861"/>
      <c r="E291" s="861"/>
      <c r="F291" s="861"/>
      <c r="G291" s="861"/>
      <c r="H291" s="861"/>
      <c r="I291" s="861"/>
      <c r="J291" s="861"/>
      <c r="K291" s="861"/>
      <c r="L291" s="861"/>
      <c r="M291" s="861"/>
      <c r="N291" s="861"/>
      <c r="O291" s="861"/>
      <c r="P291" s="861"/>
      <c r="Q291" s="861"/>
      <c r="R291" s="861"/>
      <c r="S291" s="861"/>
      <c r="T291" s="861"/>
      <c r="U291" s="861"/>
      <c r="V291" s="861"/>
      <c r="W291" s="861"/>
      <c r="X291" s="861"/>
      <c r="Y291" s="861"/>
      <c r="Z291" s="861"/>
      <c r="AA291" s="861"/>
      <c r="AB291" s="861"/>
      <c r="AC291" s="861"/>
      <c r="AD291" s="861"/>
      <c r="AE291" s="861"/>
      <c r="AF291" s="861"/>
      <c r="AG291" s="861"/>
    </row>
    <row r="292" spans="1:33" ht="17.25" customHeight="1">
      <c r="A292" s="861"/>
      <c r="B292" s="861"/>
      <c r="C292" s="861"/>
      <c r="D292" s="861"/>
      <c r="E292" s="861"/>
      <c r="F292" s="861"/>
      <c r="G292" s="861"/>
      <c r="H292" s="861"/>
      <c r="I292" s="861"/>
      <c r="J292" s="861"/>
      <c r="K292" s="861"/>
      <c r="L292" s="861"/>
      <c r="M292" s="861"/>
      <c r="N292" s="861"/>
      <c r="O292" s="861"/>
      <c r="P292" s="861"/>
      <c r="Q292" s="861"/>
      <c r="R292" s="861"/>
      <c r="S292" s="861"/>
      <c r="T292" s="861"/>
      <c r="U292" s="861"/>
      <c r="V292" s="861"/>
      <c r="W292" s="861"/>
      <c r="X292" s="861"/>
      <c r="Y292" s="861"/>
      <c r="Z292" s="861"/>
      <c r="AA292" s="861"/>
      <c r="AB292" s="861"/>
      <c r="AC292" s="861"/>
      <c r="AD292" s="861"/>
      <c r="AE292" s="861"/>
      <c r="AF292" s="861"/>
      <c r="AG292" s="861"/>
    </row>
    <row r="293" spans="1:33" ht="17.25" customHeight="1">
      <c r="A293" s="861"/>
      <c r="B293" s="861"/>
      <c r="C293" s="861"/>
      <c r="D293" s="861"/>
      <c r="E293" s="861"/>
      <c r="F293" s="861"/>
      <c r="G293" s="861"/>
      <c r="H293" s="861"/>
      <c r="I293" s="861"/>
      <c r="J293" s="861"/>
      <c r="K293" s="861"/>
      <c r="L293" s="861"/>
      <c r="M293" s="861"/>
      <c r="N293" s="861"/>
      <c r="O293" s="861"/>
      <c r="P293" s="861"/>
      <c r="Q293" s="861"/>
      <c r="R293" s="861"/>
      <c r="S293" s="861"/>
      <c r="T293" s="861"/>
      <c r="U293" s="861"/>
      <c r="V293" s="861"/>
      <c r="W293" s="861"/>
      <c r="X293" s="861"/>
      <c r="Y293" s="861"/>
      <c r="Z293" s="861"/>
      <c r="AA293" s="861"/>
      <c r="AB293" s="861"/>
      <c r="AC293" s="861"/>
      <c r="AD293" s="861"/>
      <c r="AE293" s="861"/>
      <c r="AF293" s="861"/>
      <c r="AG293" s="861"/>
    </row>
    <row r="294" spans="1:33" ht="17.25" customHeight="1">
      <c r="A294" s="861"/>
      <c r="B294" s="861"/>
      <c r="C294" s="861"/>
      <c r="D294" s="861"/>
      <c r="E294" s="861"/>
      <c r="F294" s="861"/>
      <c r="G294" s="861"/>
      <c r="H294" s="861"/>
      <c r="I294" s="861"/>
      <c r="J294" s="861"/>
      <c r="K294" s="861"/>
      <c r="L294" s="861"/>
      <c r="M294" s="861"/>
      <c r="N294" s="861"/>
      <c r="O294" s="861"/>
      <c r="P294" s="861"/>
      <c r="Q294" s="861"/>
      <c r="R294" s="861"/>
      <c r="S294" s="861"/>
      <c r="T294" s="861"/>
      <c r="U294" s="861"/>
      <c r="V294" s="861"/>
      <c r="W294" s="861"/>
      <c r="X294" s="861"/>
      <c r="Y294" s="861"/>
      <c r="Z294" s="861"/>
      <c r="AA294" s="861"/>
      <c r="AB294" s="861"/>
      <c r="AC294" s="861"/>
      <c r="AD294" s="861"/>
      <c r="AE294" s="861"/>
      <c r="AF294" s="861"/>
      <c r="AG294" s="861"/>
    </row>
    <row r="295" spans="1:33" ht="17.25" customHeight="1">
      <c r="A295" s="861"/>
      <c r="B295" s="861"/>
      <c r="C295" s="861"/>
      <c r="D295" s="861"/>
      <c r="E295" s="861"/>
      <c r="F295" s="861"/>
      <c r="G295" s="861"/>
      <c r="H295" s="861"/>
      <c r="I295" s="861"/>
      <c r="J295" s="861"/>
      <c r="K295" s="861"/>
      <c r="L295" s="861"/>
      <c r="M295" s="861"/>
      <c r="N295" s="861"/>
      <c r="O295" s="861"/>
      <c r="P295" s="861"/>
      <c r="Q295" s="861"/>
      <c r="R295" s="861"/>
      <c r="S295" s="861"/>
      <c r="T295" s="861"/>
      <c r="U295" s="861"/>
      <c r="V295" s="861"/>
      <c r="W295" s="861"/>
      <c r="X295" s="861"/>
      <c r="Y295" s="861"/>
      <c r="Z295" s="861"/>
      <c r="AA295" s="861"/>
      <c r="AB295" s="861"/>
      <c r="AC295" s="861"/>
      <c r="AD295" s="861"/>
      <c r="AE295" s="861"/>
      <c r="AF295" s="861"/>
      <c r="AG295" s="861"/>
    </row>
    <row r="296" spans="1:33" ht="17.25" customHeight="1">
      <c r="A296" s="861"/>
      <c r="B296" s="861"/>
      <c r="C296" s="861"/>
      <c r="D296" s="861"/>
      <c r="E296" s="861"/>
      <c r="F296" s="861"/>
      <c r="G296" s="861"/>
      <c r="H296" s="861"/>
      <c r="I296" s="861"/>
      <c r="J296" s="861"/>
      <c r="K296" s="861"/>
      <c r="L296" s="861"/>
      <c r="M296" s="861"/>
      <c r="N296" s="861"/>
      <c r="O296" s="861"/>
      <c r="P296" s="861"/>
      <c r="Q296" s="861"/>
      <c r="R296" s="861"/>
      <c r="S296" s="861"/>
      <c r="T296" s="861"/>
      <c r="U296" s="861"/>
      <c r="V296" s="861"/>
      <c r="W296" s="861"/>
      <c r="X296" s="861"/>
      <c r="Y296" s="861"/>
      <c r="Z296" s="861"/>
      <c r="AA296" s="861"/>
      <c r="AB296" s="861"/>
      <c r="AC296" s="861"/>
      <c r="AD296" s="861"/>
      <c r="AE296" s="861"/>
      <c r="AF296" s="861"/>
      <c r="AG296" s="861"/>
    </row>
    <row r="297" spans="1:33" ht="17.25" customHeight="1">
      <c r="A297" s="861"/>
      <c r="B297" s="861"/>
      <c r="C297" s="861"/>
      <c r="D297" s="861"/>
      <c r="E297" s="861"/>
      <c r="F297" s="861"/>
      <c r="G297" s="861"/>
      <c r="H297" s="861"/>
      <c r="I297" s="861"/>
      <c r="J297" s="861"/>
      <c r="K297" s="861"/>
      <c r="L297" s="861"/>
      <c r="M297" s="861"/>
      <c r="N297" s="861"/>
      <c r="O297" s="861"/>
      <c r="P297" s="861"/>
      <c r="Q297" s="861"/>
      <c r="R297" s="861"/>
      <c r="S297" s="861"/>
      <c r="T297" s="861"/>
      <c r="U297" s="861"/>
      <c r="V297" s="861"/>
      <c r="W297" s="861"/>
      <c r="X297" s="861"/>
      <c r="Y297" s="861"/>
      <c r="Z297" s="861"/>
      <c r="AA297" s="861"/>
      <c r="AB297" s="861"/>
      <c r="AC297" s="861"/>
      <c r="AD297" s="861"/>
      <c r="AE297" s="861"/>
      <c r="AF297" s="861"/>
      <c r="AG297" s="861"/>
    </row>
    <row r="298" spans="1:33" ht="17.25" customHeight="1">
      <c r="A298" s="861"/>
      <c r="B298" s="861"/>
      <c r="C298" s="861"/>
      <c r="D298" s="861"/>
      <c r="E298" s="861"/>
      <c r="F298" s="861"/>
      <c r="G298" s="861"/>
      <c r="H298" s="861"/>
      <c r="I298" s="861"/>
      <c r="J298" s="861"/>
      <c r="K298" s="861"/>
      <c r="L298" s="861"/>
      <c r="M298" s="861"/>
      <c r="N298" s="861"/>
      <c r="O298" s="861"/>
      <c r="P298" s="861"/>
      <c r="Q298" s="861"/>
      <c r="R298" s="861"/>
      <c r="S298" s="861"/>
      <c r="T298" s="861"/>
      <c r="U298" s="861"/>
      <c r="V298" s="861"/>
      <c r="W298" s="861"/>
      <c r="X298" s="861"/>
      <c r="Y298" s="861"/>
      <c r="Z298" s="861"/>
      <c r="AA298" s="861"/>
      <c r="AB298" s="861"/>
      <c r="AC298" s="861"/>
      <c r="AD298" s="861"/>
      <c r="AE298" s="861"/>
      <c r="AF298" s="861"/>
      <c r="AG298" s="861"/>
    </row>
    <row r="299" spans="1:33" ht="17.25" customHeight="1">
      <c r="A299" s="861"/>
      <c r="B299" s="861"/>
      <c r="C299" s="861"/>
      <c r="D299" s="861"/>
      <c r="E299" s="861"/>
      <c r="F299" s="861"/>
      <c r="G299" s="861"/>
      <c r="H299" s="861"/>
      <c r="I299" s="861"/>
      <c r="J299" s="861"/>
      <c r="K299" s="861"/>
      <c r="L299" s="861"/>
      <c r="M299" s="861"/>
      <c r="N299" s="861"/>
      <c r="O299" s="861"/>
      <c r="P299" s="861"/>
      <c r="Q299" s="861"/>
      <c r="R299" s="861"/>
      <c r="S299" s="861"/>
      <c r="T299" s="861"/>
      <c r="U299" s="861"/>
      <c r="V299" s="861"/>
      <c r="W299" s="861"/>
      <c r="X299" s="861"/>
      <c r="Y299" s="861"/>
      <c r="Z299" s="861"/>
      <c r="AA299" s="861"/>
      <c r="AB299" s="861"/>
      <c r="AC299" s="861"/>
      <c r="AD299" s="861"/>
      <c r="AE299" s="861"/>
      <c r="AF299" s="861"/>
      <c r="AG299" s="861"/>
    </row>
    <row r="300" spans="1:33" ht="17.25" customHeight="1">
      <c r="A300" s="861"/>
      <c r="B300" s="861"/>
      <c r="C300" s="861"/>
      <c r="D300" s="861"/>
      <c r="E300" s="861"/>
      <c r="F300" s="861"/>
      <c r="G300" s="861"/>
      <c r="H300" s="861"/>
      <c r="I300" s="861"/>
      <c r="J300" s="861"/>
      <c r="K300" s="861"/>
      <c r="L300" s="861"/>
      <c r="M300" s="861"/>
      <c r="N300" s="861"/>
      <c r="O300" s="861"/>
      <c r="P300" s="861"/>
      <c r="Q300" s="861"/>
      <c r="R300" s="861"/>
      <c r="S300" s="861"/>
      <c r="T300" s="861"/>
      <c r="U300" s="861"/>
      <c r="V300" s="861"/>
      <c r="W300" s="861"/>
      <c r="X300" s="861"/>
      <c r="Y300" s="861"/>
      <c r="Z300" s="861"/>
      <c r="AA300" s="861"/>
      <c r="AB300" s="861"/>
      <c r="AC300" s="861"/>
      <c r="AD300" s="861"/>
      <c r="AE300" s="861"/>
      <c r="AF300" s="861"/>
      <c r="AG300" s="861"/>
    </row>
    <row r="301" spans="1:33" ht="17.25" customHeight="1">
      <c r="A301" s="861"/>
      <c r="B301" s="861"/>
      <c r="C301" s="861"/>
      <c r="D301" s="861"/>
      <c r="E301" s="861"/>
      <c r="F301" s="861"/>
      <c r="G301" s="861"/>
      <c r="H301" s="861"/>
      <c r="I301" s="861"/>
      <c r="J301" s="861"/>
      <c r="K301" s="861"/>
      <c r="L301" s="861"/>
      <c r="M301" s="861"/>
      <c r="N301" s="861"/>
      <c r="O301" s="861"/>
      <c r="P301" s="861"/>
      <c r="Q301" s="861"/>
      <c r="R301" s="861"/>
      <c r="S301" s="861"/>
      <c r="T301" s="861"/>
      <c r="U301" s="861"/>
      <c r="V301" s="861"/>
      <c r="W301" s="861"/>
      <c r="X301" s="861"/>
      <c r="Y301" s="861"/>
      <c r="Z301" s="861"/>
      <c r="AA301" s="861"/>
      <c r="AB301" s="861"/>
      <c r="AC301" s="861"/>
      <c r="AD301" s="861"/>
      <c r="AE301" s="861"/>
      <c r="AF301" s="861"/>
      <c r="AG301" s="861"/>
    </row>
    <row r="302" spans="1:33" ht="17.25" customHeight="1">
      <c r="A302" s="861"/>
      <c r="B302" s="861"/>
      <c r="C302" s="861"/>
      <c r="D302" s="861"/>
      <c r="E302" s="861"/>
      <c r="F302" s="861"/>
      <c r="G302" s="861"/>
      <c r="H302" s="861"/>
      <c r="I302" s="861"/>
      <c r="J302" s="861"/>
      <c r="K302" s="861"/>
      <c r="L302" s="861"/>
      <c r="M302" s="861"/>
      <c r="N302" s="861"/>
      <c r="O302" s="861"/>
      <c r="P302" s="861"/>
      <c r="Q302" s="861"/>
      <c r="R302" s="861"/>
      <c r="S302" s="861"/>
      <c r="T302" s="861"/>
      <c r="U302" s="861"/>
      <c r="V302" s="861"/>
      <c r="W302" s="861"/>
      <c r="X302" s="861"/>
      <c r="Y302" s="861"/>
      <c r="Z302" s="861"/>
      <c r="AA302" s="861"/>
      <c r="AB302" s="861"/>
      <c r="AC302" s="861"/>
      <c r="AD302" s="861"/>
      <c r="AE302" s="861"/>
      <c r="AF302" s="861"/>
      <c r="AG302" s="861"/>
    </row>
    <row r="303" spans="1:33" ht="17.25" customHeight="1">
      <c r="A303" s="861"/>
      <c r="B303" s="861"/>
      <c r="C303" s="861"/>
      <c r="D303" s="861"/>
      <c r="E303" s="861"/>
      <c r="F303" s="861"/>
      <c r="G303" s="861"/>
      <c r="H303" s="861"/>
      <c r="I303" s="861"/>
      <c r="J303" s="861"/>
      <c r="K303" s="861"/>
      <c r="L303" s="861"/>
      <c r="M303" s="861"/>
      <c r="N303" s="861"/>
      <c r="O303" s="861"/>
      <c r="P303" s="861"/>
      <c r="Q303" s="861"/>
      <c r="R303" s="861"/>
      <c r="S303" s="861"/>
      <c r="T303" s="861"/>
      <c r="U303" s="861"/>
      <c r="V303" s="861"/>
      <c r="W303" s="861"/>
      <c r="X303" s="861"/>
      <c r="Y303" s="861"/>
      <c r="Z303" s="861"/>
      <c r="AA303" s="861"/>
      <c r="AB303" s="861"/>
      <c r="AC303" s="861"/>
      <c r="AD303" s="861"/>
      <c r="AE303" s="861"/>
      <c r="AF303" s="861"/>
      <c r="AG303" s="861"/>
    </row>
    <row r="304" spans="1:33" ht="17.25" customHeight="1">
      <c r="A304" s="861"/>
      <c r="B304" s="861"/>
      <c r="C304" s="861"/>
      <c r="D304" s="861"/>
      <c r="E304" s="861"/>
      <c r="F304" s="861"/>
      <c r="G304" s="861"/>
      <c r="H304" s="861"/>
      <c r="I304" s="861"/>
      <c r="J304" s="861"/>
      <c r="K304" s="861"/>
      <c r="L304" s="861"/>
      <c r="M304" s="861"/>
      <c r="N304" s="861"/>
      <c r="O304" s="861"/>
      <c r="P304" s="861"/>
      <c r="Q304" s="861"/>
      <c r="R304" s="861"/>
      <c r="S304" s="861"/>
      <c r="T304" s="861"/>
      <c r="U304" s="861"/>
      <c r="V304" s="861"/>
      <c r="W304" s="861"/>
      <c r="X304" s="861"/>
      <c r="Y304" s="861"/>
      <c r="Z304" s="861"/>
      <c r="AA304" s="861"/>
      <c r="AB304" s="861"/>
      <c r="AC304" s="861"/>
      <c r="AD304" s="861"/>
      <c r="AE304" s="861"/>
      <c r="AF304" s="861"/>
      <c r="AG304" s="861"/>
    </row>
    <row r="305" spans="1:33" ht="17.25" customHeight="1">
      <c r="A305" s="861"/>
      <c r="B305" s="861"/>
      <c r="C305" s="861"/>
      <c r="D305" s="861"/>
      <c r="E305" s="861"/>
      <c r="F305" s="861"/>
      <c r="G305" s="861"/>
      <c r="H305" s="861"/>
      <c r="I305" s="861"/>
      <c r="J305" s="861"/>
      <c r="K305" s="861"/>
      <c r="L305" s="861"/>
      <c r="M305" s="861"/>
      <c r="N305" s="861"/>
      <c r="O305" s="861"/>
      <c r="P305" s="861"/>
      <c r="Q305" s="861"/>
      <c r="R305" s="861"/>
      <c r="S305" s="861"/>
      <c r="T305" s="861"/>
      <c r="U305" s="861"/>
      <c r="V305" s="861"/>
      <c r="W305" s="861"/>
      <c r="X305" s="861"/>
      <c r="Y305" s="861"/>
      <c r="Z305" s="861"/>
      <c r="AA305" s="861"/>
      <c r="AB305" s="861"/>
      <c r="AC305" s="861"/>
      <c r="AD305" s="861"/>
      <c r="AE305" s="861"/>
      <c r="AF305" s="861"/>
      <c r="AG305" s="861"/>
    </row>
    <row r="306" spans="1:33" ht="17.25" customHeight="1">
      <c r="A306" s="861"/>
      <c r="B306" s="861"/>
      <c r="C306" s="861"/>
      <c r="D306" s="861"/>
      <c r="E306" s="861"/>
      <c r="F306" s="861"/>
      <c r="G306" s="861"/>
      <c r="H306" s="861"/>
      <c r="I306" s="861"/>
      <c r="J306" s="861"/>
      <c r="K306" s="861"/>
      <c r="L306" s="861"/>
      <c r="M306" s="861"/>
      <c r="N306" s="861"/>
      <c r="O306" s="861"/>
      <c r="P306" s="861"/>
      <c r="Q306" s="861"/>
      <c r="R306" s="861"/>
      <c r="S306" s="861"/>
      <c r="T306" s="861"/>
      <c r="U306" s="861"/>
      <c r="V306" s="861"/>
      <c r="W306" s="861"/>
      <c r="X306" s="861"/>
      <c r="Y306" s="861"/>
      <c r="Z306" s="861"/>
      <c r="AA306" s="861"/>
      <c r="AB306" s="861"/>
      <c r="AC306" s="861"/>
      <c r="AD306" s="861"/>
      <c r="AE306" s="861"/>
      <c r="AF306" s="861"/>
      <c r="AG306" s="861"/>
    </row>
    <row r="307" spans="1:33" ht="17.25" customHeight="1">
      <c r="A307" s="861"/>
      <c r="B307" s="861"/>
      <c r="C307" s="861"/>
      <c r="D307" s="861"/>
      <c r="E307" s="861"/>
      <c r="F307" s="861"/>
      <c r="G307" s="861"/>
      <c r="H307" s="861"/>
      <c r="I307" s="861"/>
      <c r="J307" s="861"/>
      <c r="K307" s="861"/>
      <c r="L307" s="861"/>
      <c r="M307" s="861"/>
      <c r="N307" s="861"/>
      <c r="O307" s="861"/>
      <c r="P307" s="861"/>
      <c r="Q307" s="861"/>
      <c r="R307" s="861"/>
      <c r="S307" s="861"/>
      <c r="T307" s="861"/>
      <c r="U307" s="861"/>
      <c r="V307" s="861"/>
      <c r="W307" s="861"/>
      <c r="X307" s="861"/>
      <c r="Y307" s="861"/>
      <c r="Z307" s="861"/>
      <c r="AA307" s="861"/>
      <c r="AB307" s="861"/>
      <c r="AC307" s="861"/>
      <c r="AD307" s="861"/>
      <c r="AE307" s="861"/>
      <c r="AF307" s="861"/>
      <c r="AG307" s="861"/>
    </row>
    <row r="308" spans="1:33" ht="17.25" customHeight="1">
      <c r="A308" s="861"/>
      <c r="B308" s="861"/>
      <c r="C308" s="861"/>
      <c r="D308" s="861"/>
      <c r="E308" s="861"/>
      <c r="F308" s="861"/>
      <c r="G308" s="861"/>
      <c r="H308" s="861"/>
      <c r="I308" s="861"/>
      <c r="J308" s="861"/>
      <c r="K308" s="861"/>
      <c r="L308" s="861"/>
      <c r="M308" s="861"/>
      <c r="N308" s="861"/>
      <c r="O308" s="861"/>
      <c r="P308" s="861"/>
      <c r="Q308" s="861"/>
      <c r="R308" s="861"/>
      <c r="S308" s="861"/>
      <c r="T308" s="861"/>
      <c r="U308" s="861"/>
      <c r="V308" s="861"/>
      <c r="W308" s="861"/>
      <c r="X308" s="861"/>
      <c r="Y308" s="861"/>
      <c r="Z308" s="861"/>
      <c r="AA308" s="861"/>
      <c r="AB308" s="861"/>
      <c r="AC308" s="861"/>
      <c r="AD308" s="861"/>
      <c r="AE308" s="861"/>
      <c r="AF308" s="861"/>
      <c r="AG308" s="861"/>
    </row>
    <row r="309" spans="1:33" ht="17.25" customHeight="1">
      <c r="A309" s="861"/>
      <c r="B309" s="861"/>
      <c r="C309" s="861"/>
      <c r="D309" s="861"/>
      <c r="E309" s="861"/>
      <c r="F309" s="861"/>
      <c r="G309" s="861"/>
      <c r="H309" s="861"/>
      <c r="I309" s="861"/>
      <c r="J309" s="861"/>
      <c r="K309" s="861"/>
      <c r="L309" s="861"/>
      <c r="M309" s="861"/>
      <c r="N309" s="861"/>
      <c r="O309" s="861"/>
      <c r="P309" s="861"/>
      <c r="Q309" s="861"/>
      <c r="R309" s="861"/>
      <c r="S309" s="861"/>
      <c r="T309" s="861"/>
      <c r="U309" s="861"/>
      <c r="V309" s="861"/>
      <c r="W309" s="861"/>
      <c r="X309" s="861"/>
      <c r="Y309" s="861"/>
      <c r="Z309" s="861"/>
      <c r="AA309" s="861"/>
      <c r="AB309" s="861"/>
      <c r="AC309" s="861"/>
      <c r="AD309" s="861"/>
      <c r="AE309" s="861"/>
      <c r="AF309" s="861"/>
      <c r="AG309" s="861"/>
    </row>
    <row r="310" spans="1:33" ht="17.25" customHeight="1">
      <c r="A310" s="861"/>
      <c r="B310" s="861"/>
      <c r="C310" s="861"/>
      <c r="D310" s="861"/>
      <c r="E310" s="861"/>
      <c r="F310" s="861"/>
      <c r="G310" s="861"/>
      <c r="H310" s="861"/>
      <c r="I310" s="861"/>
      <c r="J310" s="861"/>
      <c r="K310" s="861"/>
      <c r="L310" s="861"/>
      <c r="M310" s="861"/>
      <c r="N310" s="861"/>
      <c r="O310" s="861"/>
      <c r="P310" s="861"/>
      <c r="Q310" s="861"/>
      <c r="R310" s="861"/>
      <c r="S310" s="861"/>
      <c r="T310" s="861"/>
      <c r="U310" s="861"/>
      <c r="V310" s="861"/>
      <c r="W310" s="861"/>
      <c r="X310" s="861"/>
      <c r="Y310" s="861"/>
      <c r="Z310" s="861"/>
      <c r="AA310" s="861"/>
      <c r="AB310" s="861"/>
      <c r="AC310" s="861"/>
      <c r="AD310" s="861"/>
      <c r="AE310" s="861"/>
      <c r="AF310" s="861"/>
      <c r="AG310" s="861"/>
    </row>
    <row r="311" spans="1:33" ht="17.25" customHeight="1">
      <c r="A311" s="861"/>
      <c r="B311" s="861"/>
      <c r="C311" s="861"/>
      <c r="D311" s="861"/>
      <c r="E311" s="861"/>
      <c r="F311" s="861"/>
      <c r="G311" s="861"/>
      <c r="H311" s="861"/>
      <c r="I311" s="861"/>
      <c r="J311" s="861"/>
      <c r="K311" s="861"/>
      <c r="L311" s="861"/>
      <c r="M311" s="861"/>
      <c r="N311" s="861"/>
      <c r="O311" s="861"/>
      <c r="P311" s="861"/>
      <c r="Q311" s="861"/>
      <c r="R311" s="861"/>
      <c r="S311" s="861"/>
      <c r="T311" s="861"/>
      <c r="U311" s="861"/>
      <c r="V311" s="861"/>
      <c r="W311" s="861"/>
      <c r="X311" s="861"/>
      <c r="Y311" s="861"/>
      <c r="Z311" s="861"/>
      <c r="AA311" s="861"/>
      <c r="AB311" s="861"/>
      <c r="AC311" s="861"/>
      <c r="AD311" s="861"/>
      <c r="AE311" s="861"/>
      <c r="AF311" s="861"/>
      <c r="AG311" s="861"/>
    </row>
    <row r="312" spans="1:33" ht="17.25" customHeight="1">
      <c r="A312" s="861"/>
      <c r="B312" s="861"/>
      <c r="C312" s="861"/>
      <c r="D312" s="861"/>
      <c r="E312" s="861"/>
      <c r="F312" s="861"/>
      <c r="G312" s="861"/>
      <c r="H312" s="861"/>
      <c r="I312" s="861"/>
      <c r="J312" s="861"/>
      <c r="K312" s="861"/>
      <c r="L312" s="861"/>
      <c r="M312" s="861"/>
      <c r="N312" s="861"/>
      <c r="O312" s="861"/>
      <c r="P312" s="861"/>
      <c r="Q312" s="861"/>
      <c r="R312" s="861"/>
      <c r="S312" s="861"/>
      <c r="T312" s="861"/>
      <c r="U312" s="861"/>
      <c r="V312" s="861"/>
      <c r="W312" s="861"/>
      <c r="X312" s="861"/>
      <c r="Y312" s="861"/>
      <c r="Z312" s="861"/>
      <c r="AA312" s="861"/>
      <c r="AB312" s="861"/>
      <c r="AC312" s="861"/>
      <c r="AD312" s="861"/>
      <c r="AE312" s="861"/>
      <c r="AF312" s="861"/>
      <c r="AG312" s="861"/>
    </row>
    <row r="313" spans="1:33" ht="17.25" customHeight="1">
      <c r="A313" s="861"/>
      <c r="B313" s="861"/>
      <c r="C313" s="861"/>
      <c r="D313" s="861"/>
      <c r="E313" s="861"/>
      <c r="F313" s="861"/>
      <c r="G313" s="861"/>
      <c r="H313" s="861"/>
      <c r="I313" s="861"/>
      <c r="J313" s="861"/>
      <c r="K313" s="861"/>
      <c r="L313" s="861"/>
      <c r="M313" s="861"/>
      <c r="N313" s="861"/>
      <c r="O313" s="861"/>
      <c r="P313" s="861"/>
      <c r="Q313" s="861"/>
      <c r="R313" s="861"/>
      <c r="S313" s="861"/>
      <c r="T313" s="861"/>
      <c r="U313" s="861"/>
      <c r="V313" s="861"/>
      <c r="W313" s="861"/>
      <c r="X313" s="861"/>
      <c r="Y313" s="861"/>
      <c r="Z313" s="861"/>
      <c r="AA313" s="861"/>
      <c r="AB313" s="861"/>
      <c r="AC313" s="861"/>
      <c r="AD313" s="861"/>
      <c r="AE313" s="861"/>
      <c r="AF313" s="861"/>
      <c r="AG313" s="861"/>
    </row>
    <row r="314" spans="1:33" ht="17.25" customHeight="1">
      <c r="A314" s="861"/>
      <c r="B314" s="861"/>
      <c r="C314" s="861"/>
      <c r="D314" s="861"/>
      <c r="E314" s="861"/>
      <c r="F314" s="861"/>
      <c r="G314" s="861"/>
      <c r="H314" s="861"/>
      <c r="I314" s="861"/>
      <c r="J314" s="861"/>
      <c r="K314" s="861"/>
      <c r="L314" s="861"/>
      <c r="M314" s="861"/>
      <c r="N314" s="861"/>
      <c r="O314" s="861"/>
      <c r="P314" s="861"/>
      <c r="Q314" s="861"/>
      <c r="R314" s="861"/>
      <c r="S314" s="861"/>
      <c r="T314" s="861"/>
      <c r="U314" s="861"/>
      <c r="V314" s="861"/>
      <c r="W314" s="861"/>
      <c r="X314" s="861"/>
      <c r="Y314" s="861"/>
      <c r="Z314" s="861"/>
      <c r="AA314" s="861"/>
      <c r="AB314" s="861"/>
      <c r="AC314" s="861"/>
      <c r="AD314" s="861"/>
      <c r="AE314" s="861"/>
      <c r="AF314" s="861"/>
      <c r="AG314" s="861"/>
    </row>
    <row r="315" spans="1:33" ht="17.25" customHeight="1">
      <c r="A315" s="861"/>
      <c r="B315" s="861"/>
      <c r="C315" s="861"/>
      <c r="D315" s="861"/>
      <c r="E315" s="861"/>
      <c r="F315" s="861"/>
      <c r="G315" s="861"/>
      <c r="H315" s="861"/>
      <c r="I315" s="861"/>
      <c r="J315" s="861"/>
      <c r="K315" s="861"/>
      <c r="L315" s="861"/>
      <c r="M315" s="861"/>
      <c r="N315" s="861"/>
      <c r="O315" s="861"/>
      <c r="P315" s="861"/>
      <c r="Q315" s="861"/>
      <c r="R315" s="861"/>
      <c r="S315" s="861"/>
      <c r="T315" s="861"/>
      <c r="U315" s="861"/>
      <c r="V315" s="861"/>
      <c r="W315" s="861"/>
      <c r="X315" s="861"/>
      <c r="Y315" s="861"/>
      <c r="Z315" s="861"/>
      <c r="AA315" s="861"/>
      <c r="AB315" s="861"/>
      <c r="AC315" s="861"/>
      <c r="AD315" s="861"/>
      <c r="AE315" s="861"/>
      <c r="AF315" s="861"/>
      <c r="AG315" s="861"/>
    </row>
    <row r="316" spans="1:33" ht="17.25" customHeight="1">
      <c r="A316" s="861"/>
      <c r="B316" s="861"/>
      <c r="C316" s="861"/>
      <c r="D316" s="861"/>
      <c r="E316" s="861"/>
      <c r="F316" s="861"/>
      <c r="G316" s="861"/>
      <c r="H316" s="861"/>
      <c r="I316" s="861"/>
      <c r="J316" s="861"/>
      <c r="K316" s="861"/>
      <c r="L316" s="861"/>
      <c r="M316" s="861"/>
      <c r="N316" s="861"/>
      <c r="O316" s="861"/>
      <c r="P316" s="861"/>
      <c r="Q316" s="861"/>
      <c r="R316" s="861"/>
      <c r="S316" s="861"/>
      <c r="T316" s="861"/>
      <c r="U316" s="861"/>
      <c r="V316" s="861"/>
      <c r="W316" s="861"/>
      <c r="X316" s="861"/>
      <c r="Y316" s="861"/>
      <c r="Z316" s="861"/>
      <c r="AA316" s="861"/>
      <c r="AB316" s="861"/>
      <c r="AC316" s="861"/>
      <c r="AD316" s="861"/>
      <c r="AE316" s="861"/>
      <c r="AF316" s="861"/>
      <c r="AG316" s="861"/>
    </row>
    <row r="317" spans="1:33" ht="17.25" customHeight="1">
      <c r="A317" s="861"/>
      <c r="B317" s="861"/>
      <c r="C317" s="861"/>
      <c r="D317" s="861"/>
      <c r="E317" s="861"/>
      <c r="F317" s="861"/>
      <c r="G317" s="861"/>
      <c r="H317" s="861"/>
      <c r="I317" s="861"/>
      <c r="J317" s="861"/>
      <c r="K317" s="861"/>
      <c r="L317" s="861"/>
      <c r="M317" s="861"/>
      <c r="N317" s="861"/>
      <c r="O317" s="861"/>
      <c r="P317" s="861"/>
      <c r="Q317" s="861"/>
      <c r="R317" s="861"/>
      <c r="S317" s="861"/>
      <c r="T317" s="861"/>
      <c r="U317" s="861"/>
      <c r="V317" s="861"/>
      <c r="W317" s="861"/>
      <c r="X317" s="861"/>
      <c r="Y317" s="861"/>
      <c r="Z317" s="861"/>
      <c r="AA317" s="861"/>
      <c r="AB317" s="861"/>
      <c r="AC317" s="861"/>
      <c r="AD317" s="861"/>
      <c r="AE317" s="861"/>
      <c r="AF317" s="861"/>
      <c r="AG317" s="861"/>
    </row>
    <row r="318" spans="1:33" ht="17.25" customHeight="1">
      <c r="A318" s="861"/>
      <c r="B318" s="861"/>
      <c r="C318" s="861"/>
      <c r="D318" s="861"/>
      <c r="E318" s="861"/>
      <c r="F318" s="861"/>
      <c r="G318" s="861"/>
      <c r="H318" s="861"/>
      <c r="I318" s="861"/>
      <c r="J318" s="861"/>
      <c r="K318" s="861"/>
      <c r="L318" s="861"/>
      <c r="M318" s="861"/>
      <c r="N318" s="861"/>
      <c r="O318" s="861"/>
      <c r="P318" s="861"/>
      <c r="Q318" s="861"/>
      <c r="R318" s="861"/>
      <c r="S318" s="861"/>
      <c r="T318" s="861"/>
      <c r="U318" s="861"/>
      <c r="V318" s="861"/>
      <c r="W318" s="861"/>
      <c r="X318" s="861"/>
      <c r="Y318" s="861"/>
      <c r="Z318" s="861"/>
      <c r="AA318" s="861"/>
      <c r="AB318" s="861"/>
      <c r="AC318" s="861"/>
      <c r="AD318" s="861"/>
      <c r="AE318" s="861"/>
      <c r="AF318" s="861"/>
      <c r="AG318" s="861"/>
    </row>
    <row r="319" spans="1:33" ht="17.25" customHeight="1">
      <c r="A319" s="861"/>
      <c r="B319" s="861"/>
      <c r="C319" s="861"/>
      <c r="D319" s="861"/>
      <c r="E319" s="861"/>
      <c r="F319" s="861"/>
      <c r="G319" s="861"/>
      <c r="H319" s="861"/>
      <c r="I319" s="861"/>
      <c r="J319" s="861"/>
      <c r="K319" s="861"/>
      <c r="L319" s="861"/>
      <c r="M319" s="861"/>
      <c r="N319" s="861"/>
      <c r="O319" s="861"/>
      <c r="P319" s="861"/>
      <c r="Q319" s="861"/>
      <c r="R319" s="861"/>
      <c r="S319" s="861"/>
      <c r="T319" s="861"/>
      <c r="U319" s="861"/>
      <c r="V319" s="861"/>
      <c r="W319" s="861"/>
      <c r="X319" s="861"/>
      <c r="Y319" s="861"/>
      <c r="Z319" s="861"/>
      <c r="AA319" s="861"/>
      <c r="AB319" s="861"/>
      <c r="AC319" s="861"/>
      <c r="AD319" s="861"/>
      <c r="AE319" s="861"/>
      <c r="AF319" s="861"/>
      <c r="AG319" s="861"/>
    </row>
    <row r="320" spans="1:33" ht="17.25" customHeight="1">
      <c r="A320" s="861"/>
      <c r="B320" s="861"/>
      <c r="C320" s="861"/>
      <c r="D320" s="861"/>
      <c r="E320" s="861"/>
      <c r="F320" s="861"/>
      <c r="G320" s="861"/>
      <c r="H320" s="861"/>
      <c r="I320" s="861"/>
      <c r="J320" s="861"/>
      <c r="K320" s="861"/>
      <c r="L320" s="861"/>
      <c r="M320" s="861"/>
      <c r="N320" s="861"/>
      <c r="O320" s="861"/>
      <c r="P320" s="861"/>
      <c r="Q320" s="861"/>
      <c r="R320" s="861"/>
      <c r="S320" s="861"/>
      <c r="T320" s="861"/>
      <c r="U320" s="861"/>
      <c r="V320" s="861"/>
      <c r="W320" s="861"/>
      <c r="X320" s="861"/>
      <c r="Y320" s="861"/>
      <c r="Z320" s="861"/>
      <c r="AA320" s="861"/>
      <c r="AB320" s="861"/>
      <c r="AC320" s="861"/>
      <c r="AD320" s="861"/>
      <c r="AE320" s="861"/>
      <c r="AF320" s="861"/>
      <c r="AG320" s="861"/>
    </row>
    <row r="321" spans="1:33" ht="17.25" customHeight="1">
      <c r="A321" s="861"/>
      <c r="B321" s="861"/>
      <c r="C321" s="861"/>
      <c r="D321" s="861"/>
      <c r="E321" s="861"/>
      <c r="F321" s="861"/>
      <c r="G321" s="861"/>
      <c r="H321" s="861"/>
      <c r="I321" s="861"/>
      <c r="J321" s="861"/>
      <c r="K321" s="861"/>
      <c r="L321" s="861"/>
      <c r="M321" s="861"/>
      <c r="N321" s="861"/>
      <c r="O321" s="861"/>
      <c r="P321" s="861"/>
      <c r="Q321" s="861"/>
      <c r="R321" s="861"/>
      <c r="S321" s="861"/>
      <c r="T321" s="861"/>
      <c r="U321" s="861"/>
      <c r="V321" s="861"/>
      <c r="W321" s="861"/>
      <c r="X321" s="861"/>
      <c r="Y321" s="861"/>
      <c r="Z321" s="861"/>
      <c r="AA321" s="861"/>
      <c r="AB321" s="861"/>
      <c r="AC321" s="861"/>
      <c r="AD321" s="861"/>
      <c r="AE321" s="861"/>
      <c r="AF321" s="861"/>
      <c r="AG321" s="861"/>
    </row>
    <row r="322" spans="1:33" ht="17.25" customHeight="1">
      <c r="A322" s="861"/>
      <c r="B322" s="861"/>
      <c r="C322" s="861"/>
      <c r="D322" s="861"/>
      <c r="E322" s="861"/>
      <c r="F322" s="861"/>
      <c r="G322" s="861"/>
      <c r="H322" s="861"/>
      <c r="I322" s="861"/>
      <c r="J322" s="861"/>
      <c r="K322" s="861"/>
      <c r="L322" s="861"/>
      <c r="M322" s="861"/>
      <c r="N322" s="861"/>
      <c r="O322" s="861"/>
      <c r="P322" s="861"/>
      <c r="Q322" s="861"/>
      <c r="R322" s="861"/>
      <c r="S322" s="861"/>
      <c r="T322" s="861"/>
      <c r="U322" s="861"/>
      <c r="V322" s="861"/>
      <c r="W322" s="861"/>
      <c r="X322" s="861"/>
      <c r="Y322" s="861"/>
      <c r="Z322" s="861"/>
      <c r="AA322" s="861"/>
      <c r="AB322" s="861"/>
      <c r="AC322" s="861"/>
      <c r="AD322" s="861"/>
      <c r="AE322" s="861"/>
      <c r="AF322" s="861"/>
      <c r="AG322" s="861"/>
    </row>
    <row r="323" spans="1:33" ht="17.25" customHeight="1">
      <c r="A323" s="861"/>
      <c r="B323" s="861"/>
      <c r="C323" s="861"/>
      <c r="D323" s="861"/>
      <c r="E323" s="861"/>
      <c r="F323" s="861"/>
      <c r="G323" s="861"/>
      <c r="H323" s="861"/>
      <c r="I323" s="861"/>
      <c r="J323" s="861"/>
      <c r="K323" s="861"/>
      <c r="L323" s="861"/>
      <c r="M323" s="861"/>
      <c r="N323" s="861"/>
      <c r="O323" s="861"/>
      <c r="P323" s="861"/>
      <c r="Q323" s="861"/>
      <c r="R323" s="861"/>
      <c r="S323" s="861"/>
      <c r="T323" s="861"/>
      <c r="U323" s="861"/>
      <c r="V323" s="861"/>
      <c r="W323" s="861"/>
      <c r="X323" s="861"/>
      <c r="Y323" s="861"/>
      <c r="Z323" s="861"/>
      <c r="AA323" s="861"/>
      <c r="AB323" s="861"/>
      <c r="AC323" s="861"/>
      <c r="AD323" s="861"/>
      <c r="AE323" s="861"/>
      <c r="AF323" s="861"/>
      <c r="AG323" s="861"/>
    </row>
    <row r="324" spans="1:33" ht="17.25" customHeight="1">
      <c r="A324" s="861"/>
      <c r="B324" s="861"/>
      <c r="C324" s="861"/>
      <c r="D324" s="861"/>
      <c r="E324" s="861"/>
      <c r="F324" s="861"/>
      <c r="G324" s="861"/>
      <c r="H324" s="861"/>
      <c r="I324" s="861"/>
      <c r="J324" s="861"/>
      <c r="K324" s="861"/>
      <c r="L324" s="861"/>
      <c r="M324" s="861"/>
      <c r="N324" s="861"/>
      <c r="O324" s="861"/>
      <c r="P324" s="861"/>
      <c r="Q324" s="861"/>
      <c r="R324" s="861"/>
      <c r="S324" s="861"/>
      <c r="T324" s="861"/>
      <c r="U324" s="861"/>
      <c r="V324" s="861"/>
      <c r="W324" s="861"/>
      <c r="X324" s="861"/>
      <c r="Y324" s="861"/>
      <c r="Z324" s="861"/>
      <c r="AA324" s="861"/>
      <c r="AB324" s="861"/>
      <c r="AC324" s="861"/>
      <c r="AD324" s="861"/>
      <c r="AE324" s="861"/>
      <c r="AF324" s="861"/>
      <c r="AG324" s="861"/>
    </row>
    <row r="325" spans="1:33" ht="17.25" customHeight="1">
      <c r="A325" s="861"/>
      <c r="B325" s="861"/>
      <c r="C325" s="861"/>
      <c r="D325" s="861"/>
      <c r="E325" s="861"/>
      <c r="F325" s="861"/>
      <c r="G325" s="861"/>
      <c r="H325" s="861"/>
      <c r="I325" s="861"/>
      <c r="J325" s="861"/>
      <c r="K325" s="861"/>
      <c r="L325" s="861"/>
      <c r="M325" s="861"/>
      <c r="N325" s="861"/>
      <c r="O325" s="861"/>
      <c r="P325" s="861"/>
      <c r="Q325" s="861"/>
      <c r="R325" s="861"/>
      <c r="S325" s="861"/>
      <c r="T325" s="861"/>
      <c r="U325" s="861"/>
      <c r="V325" s="861"/>
      <c r="W325" s="861"/>
      <c r="X325" s="861"/>
      <c r="Y325" s="861"/>
      <c r="Z325" s="861"/>
      <c r="AA325" s="861"/>
      <c r="AB325" s="861"/>
      <c r="AC325" s="861"/>
      <c r="AD325" s="861"/>
      <c r="AE325" s="861"/>
      <c r="AF325" s="861"/>
      <c r="AG325" s="861"/>
    </row>
    <row r="326" spans="1:33" ht="17.25" customHeight="1">
      <c r="A326" s="861"/>
      <c r="B326" s="861"/>
      <c r="C326" s="861"/>
      <c r="D326" s="861"/>
      <c r="E326" s="861"/>
      <c r="F326" s="861"/>
      <c r="G326" s="861"/>
      <c r="H326" s="861"/>
      <c r="I326" s="861"/>
      <c r="J326" s="861"/>
      <c r="K326" s="861"/>
      <c r="L326" s="861"/>
      <c r="M326" s="861"/>
      <c r="N326" s="861"/>
      <c r="O326" s="861"/>
      <c r="P326" s="861"/>
      <c r="Q326" s="861"/>
      <c r="R326" s="861"/>
      <c r="S326" s="861"/>
      <c r="T326" s="861"/>
      <c r="U326" s="861"/>
      <c r="V326" s="861"/>
      <c r="W326" s="861"/>
      <c r="X326" s="861"/>
      <c r="Y326" s="861"/>
      <c r="Z326" s="861"/>
      <c r="AA326" s="861"/>
      <c r="AB326" s="861"/>
      <c r="AC326" s="861"/>
      <c r="AD326" s="861"/>
      <c r="AE326" s="861"/>
      <c r="AF326" s="861"/>
      <c r="AG326" s="861"/>
    </row>
    <row r="327" spans="1:33" ht="17.25" customHeight="1">
      <c r="A327" s="861"/>
      <c r="B327" s="861"/>
      <c r="C327" s="861"/>
      <c r="D327" s="861"/>
      <c r="E327" s="861"/>
      <c r="F327" s="861"/>
      <c r="G327" s="861"/>
      <c r="H327" s="861"/>
      <c r="I327" s="861"/>
      <c r="J327" s="861"/>
      <c r="K327" s="861"/>
      <c r="L327" s="861"/>
      <c r="M327" s="861"/>
      <c r="N327" s="861"/>
      <c r="O327" s="861"/>
      <c r="P327" s="861"/>
      <c r="Q327" s="861"/>
      <c r="R327" s="861"/>
      <c r="S327" s="861"/>
      <c r="T327" s="861"/>
      <c r="U327" s="861"/>
      <c r="V327" s="861"/>
      <c r="W327" s="861"/>
      <c r="X327" s="861"/>
      <c r="Y327" s="861"/>
      <c r="Z327" s="861"/>
      <c r="AA327" s="861"/>
      <c r="AB327" s="861"/>
      <c r="AC327" s="861"/>
      <c r="AD327" s="861"/>
      <c r="AE327" s="861"/>
      <c r="AF327" s="861"/>
      <c r="AG327" s="861"/>
    </row>
    <row r="328" spans="1:33" ht="17.25" customHeight="1">
      <c r="A328" s="861"/>
      <c r="B328" s="861"/>
      <c r="C328" s="861"/>
      <c r="D328" s="861"/>
      <c r="E328" s="861"/>
      <c r="F328" s="861"/>
      <c r="G328" s="861"/>
      <c r="H328" s="861"/>
      <c r="I328" s="861"/>
      <c r="J328" s="861"/>
      <c r="K328" s="861"/>
      <c r="L328" s="861"/>
      <c r="M328" s="861"/>
      <c r="N328" s="861"/>
      <c r="O328" s="861"/>
      <c r="P328" s="861"/>
      <c r="Q328" s="861"/>
      <c r="R328" s="861"/>
      <c r="S328" s="861"/>
      <c r="T328" s="861"/>
      <c r="U328" s="861"/>
      <c r="V328" s="861"/>
      <c r="W328" s="861"/>
      <c r="X328" s="861"/>
      <c r="Y328" s="861"/>
      <c r="Z328" s="861"/>
      <c r="AA328" s="861"/>
      <c r="AB328" s="861"/>
      <c r="AC328" s="861"/>
      <c r="AD328" s="861"/>
      <c r="AE328" s="861"/>
      <c r="AF328" s="861"/>
      <c r="AG328" s="861"/>
    </row>
    <row r="329" spans="1:33" ht="17.25" customHeight="1">
      <c r="A329" s="861"/>
      <c r="B329" s="861"/>
      <c r="C329" s="861"/>
      <c r="D329" s="861"/>
      <c r="E329" s="861"/>
      <c r="F329" s="861"/>
      <c r="G329" s="861"/>
      <c r="H329" s="861"/>
      <c r="I329" s="861"/>
      <c r="J329" s="861"/>
      <c r="K329" s="861"/>
      <c r="L329" s="861"/>
      <c r="M329" s="861"/>
      <c r="N329" s="861"/>
      <c r="O329" s="861"/>
      <c r="P329" s="861"/>
      <c r="Q329" s="861"/>
      <c r="R329" s="861"/>
      <c r="S329" s="861"/>
      <c r="T329" s="861"/>
      <c r="U329" s="861"/>
      <c r="V329" s="861"/>
      <c r="W329" s="861"/>
      <c r="X329" s="861"/>
      <c r="Y329" s="861"/>
      <c r="Z329" s="861"/>
      <c r="AA329" s="861"/>
      <c r="AB329" s="861"/>
      <c r="AC329" s="861"/>
      <c r="AD329" s="861"/>
      <c r="AE329" s="861"/>
      <c r="AF329" s="861"/>
      <c r="AG329" s="861"/>
    </row>
    <row r="330" spans="1:33" ht="17.25" customHeight="1">
      <c r="A330" s="861"/>
      <c r="B330" s="861"/>
      <c r="C330" s="861"/>
      <c r="D330" s="861"/>
      <c r="E330" s="861"/>
      <c r="F330" s="861"/>
      <c r="G330" s="861"/>
      <c r="H330" s="861"/>
      <c r="I330" s="861"/>
      <c r="J330" s="861"/>
      <c r="K330" s="861"/>
      <c r="L330" s="861"/>
      <c r="M330" s="861"/>
      <c r="N330" s="861"/>
      <c r="O330" s="861"/>
      <c r="P330" s="861"/>
      <c r="Q330" s="861"/>
      <c r="R330" s="861"/>
      <c r="S330" s="861"/>
      <c r="T330" s="861"/>
      <c r="U330" s="861"/>
      <c r="V330" s="861"/>
      <c r="W330" s="861"/>
      <c r="X330" s="861"/>
      <c r="Y330" s="861"/>
      <c r="Z330" s="861"/>
      <c r="AA330" s="861"/>
      <c r="AB330" s="861"/>
      <c r="AC330" s="861"/>
      <c r="AD330" s="861"/>
      <c r="AE330" s="861"/>
      <c r="AF330" s="861"/>
      <c r="AG330" s="861"/>
    </row>
    <row r="331" spans="1:33" ht="17.25" customHeight="1">
      <c r="A331" s="861"/>
      <c r="B331" s="861"/>
      <c r="C331" s="861"/>
      <c r="D331" s="861"/>
      <c r="E331" s="861"/>
      <c r="F331" s="861"/>
      <c r="G331" s="861"/>
      <c r="H331" s="861"/>
      <c r="I331" s="861"/>
      <c r="J331" s="861"/>
      <c r="K331" s="861"/>
      <c r="L331" s="861"/>
      <c r="M331" s="861"/>
      <c r="N331" s="861"/>
      <c r="O331" s="861"/>
      <c r="P331" s="861"/>
      <c r="Q331" s="861"/>
      <c r="R331" s="861"/>
      <c r="S331" s="861"/>
      <c r="T331" s="861"/>
      <c r="U331" s="861"/>
      <c r="V331" s="861"/>
      <c r="W331" s="861"/>
      <c r="X331" s="861"/>
      <c r="Y331" s="861"/>
      <c r="Z331" s="861"/>
      <c r="AA331" s="861"/>
      <c r="AB331" s="861"/>
      <c r="AC331" s="861"/>
      <c r="AD331" s="861"/>
      <c r="AE331" s="861"/>
      <c r="AF331" s="861"/>
      <c r="AG331" s="861"/>
    </row>
    <row r="332" spans="1:33" ht="17.25" customHeight="1">
      <c r="A332" s="861"/>
      <c r="B332" s="861"/>
      <c r="C332" s="861"/>
      <c r="D332" s="861"/>
      <c r="E332" s="861"/>
      <c r="F332" s="861"/>
      <c r="G332" s="861"/>
      <c r="H332" s="861"/>
      <c r="I332" s="861"/>
      <c r="J332" s="861"/>
      <c r="K332" s="861"/>
      <c r="L332" s="861"/>
      <c r="M332" s="861"/>
      <c r="N332" s="861"/>
      <c r="O332" s="861"/>
      <c r="P332" s="861"/>
      <c r="Q332" s="861"/>
      <c r="R332" s="861"/>
      <c r="S332" s="861"/>
      <c r="T332" s="861"/>
      <c r="U332" s="861"/>
      <c r="V332" s="861"/>
      <c r="W332" s="861"/>
      <c r="X332" s="861"/>
      <c r="Y332" s="861"/>
      <c r="Z332" s="861"/>
      <c r="AA332" s="861"/>
      <c r="AB332" s="861"/>
      <c r="AC332" s="861"/>
      <c r="AD332" s="861"/>
      <c r="AE332" s="861"/>
      <c r="AF332" s="861"/>
      <c r="AG332" s="861"/>
    </row>
    <row r="333" spans="1:33" ht="17.25" customHeight="1">
      <c r="A333" s="861"/>
      <c r="B333" s="861"/>
      <c r="C333" s="861"/>
      <c r="D333" s="861"/>
      <c r="E333" s="861"/>
      <c r="F333" s="861"/>
      <c r="G333" s="861"/>
      <c r="H333" s="861"/>
      <c r="I333" s="861"/>
      <c r="J333" s="861"/>
      <c r="K333" s="861"/>
      <c r="L333" s="861"/>
      <c r="M333" s="861"/>
      <c r="N333" s="861"/>
      <c r="O333" s="861"/>
      <c r="P333" s="861"/>
      <c r="Q333" s="861"/>
      <c r="R333" s="861"/>
      <c r="S333" s="861"/>
      <c r="T333" s="861"/>
      <c r="U333" s="861"/>
      <c r="V333" s="861"/>
      <c r="W333" s="861"/>
      <c r="X333" s="861"/>
      <c r="Y333" s="861"/>
      <c r="Z333" s="861"/>
      <c r="AA333" s="861"/>
      <c r="AB333" s="861"/>
      <c r="AC333" s="861"/>
      <c r="AD333" s="861"/>
      <c r="AE333" s="861"/>
      <c r="AF333" s="861"/>
      <c r="AG333" s="861"/>
    </row>
    <row r="334" spans="1:33" ht="17.25" customHeight="1">
      <c r="A334" s="861"/>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c r="AA334" s="861"/>
      <c r="AB334" s="861"/>
      <c r="AC334" s="861"/>
      <c r="AD334" s="861"/>
      <c r="AE334" s="861"/>
      <c r="AF334" s="861"/>
      <c r="AG334" s="861"/>
    </row>
    <row r="335" spans="1:33" ht="17.25" customHeight="1">
      <c r="A335" s="861"/>
      <c r="B335" s="861"/>
      <c r="C335" s="861"/>
      <c r="D335" s="861"/>
      <c r="E335" s="861"/>
      <c r="F335" s="861"/>
      <c r="G335" s="861"/>
      <c r="H335" s="861"/>
      <c r="I335" s="861"/>
      <c r="J335" s="861"/>
      <c r="K335" s="861"/>
      <c r="L335" s="861"/>
      <c r="M335" s="861"/>
      <c r="N335" s="861"/>
      <c r="O335" s="861"/>
      <c r="P335" s="861"/>
      <c r="Q335" s="861"/>
      <c r="R335" s="861"/>
      <c r="S335" s="861"/>
      <c r="T335" s="861"/>
      <c r="U335" s="861"/>
      <c r="V335" s="861"/>
      <c r="W335" s="861"/>
      <c r="X335" s="861"/>
      <c r="Y335" s="861"/>
      <c r="Z335" s="861"/>
      <c r="AA335" s="861"/>
      <c r="AB335" s="861"/>
      <c r="AC335" s="861"/>
      <c r="AD335" s="861"/>
      <c r="AE335" s="861"/>
      <c r="AF335" s="861"/>
      <c r="AG335" s="861"/>
    </row>
    <row r="336" spans="1:33" ht="17.25" customHeight="1">
      <c r="A336" s="861"/>
      <c r="B336" s="861"/>
      <c r="C336" s="861"/>
      <c r="D336" s="861"/>
      <c r="E336" s="861"/>
      <c r="F336" s="861"/>
      <c r="G336" s="861"/>
      <c r="H336" s="861"/>
      <c r="I336" s="861"/>
      <c r="J336" s="861"/>
      <c r="K336" s="861"/>
      <c r="L336" s="861"/>
      <c r="M336" s="861"/>
      <c r="N336" s="861"/>
      <c r="O336" s="861"/>
      <c r="P336" s="861"/>
      <c r="Q336" s="861"/>
      <c r="R336" s="861"/>
      <c r="S336" s="861"/>
      <c r="T336" s="861"/>
      <c r="U336" s="861"/>
      <c r="V336" s="861"/>
      <c r="W336" s="861"/>
      <c r="X336" s="861"/>
      <c r="Y336" s="861"/>
      <c r="Z336" s="861"/>
      <c r="AA336" s="861"/>
      <c r="AB336" s="861"/>
      <c r="AC336" s="861"/>
      <c r="AD336" s="861"/>
      <c r="AE336" s="861"/>
      <c r="AF336" s="861"/>
      <c r="AG336" s="861"/>
    </row>
    <row r="337" spans="1:33" ht="17.25" customHeight="1">
      <c r="A337" s="861"/>
      <c r="B337" s="861"/>
      <c r="C337" s="861"/>
      <c r="D337" s="861"/>
      <c r="E337" s="861"/>
      <c r="F337" s="861"/>
      <c r="G337" s="861"/>
      <c r="H337" s="861"/>
      <c r="I337" s="861"/>
      <c r="J337" s="861"/>
      <c r="K337" s="861"/>
      <c r="L337" s="861"/>
      <c r="M337" s="861"/>
      <c r="N337" s="861"/>
      <c r="O337" s="861"/>
      <c r="P337" s="861"/>
      <c r="Q337" s="861"/>
      <c r="R337" s="861"/>
      <c r="S337" s="861"/>
      <c r="T337" s="861"/>
      <c r="U337" s="861"/>
      <c r="V337" s="861"/>
      <c r="W337" s="861"/>
      <c r="X337" s="861"/>
      <c r="Y337" s="861"/>
      <c r="Z337" s="861"/>
      <c r="AA337" s="861"/>
      <c r="AB337" s="861"/>
      <c r="AC337" s="861"/>
      <c r="AD337" s="861"/>
      <c r="AE337" s="861"/>
      <c r="AF337" s="861"/>
      <c r="AG337" s="861"/>
    </row>
    <row r="338" spans="1:33" ht="17.25" customHeight="1">
      <c r="A338" s="861"/>
      <c r="B338" s="861"/>
      <c r="C338" s="861"/>
      <c r="D338" s="861"/>
      <c r="E338" s="861"/>
      <c r="F338" s="861"/>
      <c r="G338" s="861"/>
      <c r="H338" s="861"/>
      <c r="I338" s="861"/>
      <c r="J338" s="861"/>
      <c r="K338" s="861"/>
      <c r="L338" s="861"/>
      <c r="M338" s="861"/>
      <c r="N338" s="861"/>
      <c r="O338" s="861"/>
      <c r="P338" s="861"/>
      <c r="Q338" s="861"/>
      <c r="R338" s="861"/>
      <c r="S338" s="861"/>
      <c r="T338" s="861"/>
      <c r="U338" s="861"/>
      <c r="V338" s="861"/>
      <c r="W338" s="861"/>
      <c r="X338" s="861"/>
      <c r="Y338" s="861"/>
      <c r="Z338" s="861"/>
      <c r="AA338" s="861"/>
      <c r="AB338" s="861"/>
      <c r="AC338" s="861"/>
      <c r="AD338" s="861"/>
      <c r="AE338" s="861"/>
      <c r="AF338" s="861"/>
      <c r="AG338" s="861"/>
    </row>
    <row r="339" spans="1:33" ht="17.25" customHeight="1">
      <c r="A339" s="861"/>
      <c r="B339" s="861"/>
      <c r="C339" s="861"/>
      <c r="D339" s="861"/>
      <c r="E339" s="861"/>
      <c r="F339" s="861"/>
      <c r="G339" s="861"/>
      <c r="H339" s="861"/>
      <c r="I339" s="861"/>
      <c r="J339" s="861"/>
      <c r="K339" s="861"/>
      <c r="L339" s="861"/>
      <c r="M339" s="861"/>
      <c r="N339" s="861"/>
      <c r="O339" s="861"/>
      <c r="P339" s="861"/>
      <c r="Q339" s="861"/>
      <c r="R339" s="861"/>
      <c r="S339" s="861"/>
      <c r="T339" s="861"/>
      <c r="U339" s="861"/>
      <c r="V339" s="861"/>
      <c r="W339" s="861"/>
      <c r="X339" s="861"/>
      <c r="Y339" s="861"/>
      <c r="Z339" s="861"/>
      <c r="AA339" s="861"/>
      <c r="AB339" s="861"/>
      <c r="AC339" s="861"/>
      <c r="AD339" s="861"/>
      <c r="AE339" s="861"/>
      <c r="AF339" s="861"/>
      <c r="AG339" s="861"/>
    </row>
    <row r="340" spans="1:33" ht="17.25" customHeight="1">
      <c r="A340" s="861"/>
      <c r="B340" s="861"/>
      <c r="C340" s="861"/>
      <c r="D340" s="861"/>
      <c r="E340" s="861"/>
      <c r="F340" s="861"/>
      <c r="G340" s="861"/>
      <c r="H340" s="861"/>
      <c r="I340" s="861"/>
      <c r="J340" s="861"/>
      <c r="K340" s="861"/>
      <c r="L340" s="861"/>
      <c r="M340" s="861"/>
      <c r="N340" s="861"/>
      <c r="O340" s="861"/>
      <c r="P340" s="861"/>
      <c r="Q340" s="861"/>
      <c r="R340" s="861"/>
      <c r="S340" s="861"/>
      <c r="T340" s="861"/>
      <c r="U340" s="861"/>
      <c r="V340" s="861"/>
      <c r="W340" s="861"/>
      <c r="X340" s="861"/>
      <c r="Y340" s="861"/>
      <c r="Z340" s="861"/>
      <c r="AA340" s="861"/>
      <c r="AB340" s="861"/>
      <c r="AC340" s="861"/>
      <c r="AD340" s="861"/>
      <c r="AE340" s="861"/>
      <c r="AF340" s="861"/>
      <c r="AG340" s="861"/>
    </row>
    <row r="341" spans="1:33" ht="17.25" customHeight="1">
      <c r="A341" s="861"/>
      <c r="B341" s="861"/>
      <c r="C341" s="861"/>
      <c r="D341" s="861"/>
      <c r="E341" s="861"/>
      <c r="F341" s="861"/>
      <c r="G341" s="861"/>
      <c r="H341" s="861"/>
      <c r="I341" s="861"/>
      <c r="J341" s="861"/>
      <c r="K341" s="861"/>
      <c r="L341" s="861"/>
      <c r="M341" s="861"/>
      <c r="N341" s="861"/>
      <c r="O341" s="861"/>
      <c r="P341" s="861"/>
      <c r="Q341" s="861"/>
      <c r="R341" s="861"/>
      <c r="S341" s="861"/>
      <c r="T341" s="861"/>
      <c r="U341" s="861"/>
      <c r="V341" s="861"/>
      <c r="W341" s="861"/>
      <c r="X341" s="861"/>
      <c r="Y341" s="861"/>
      <c r="Z341" s="861"/>
      <c r="AA341" s="861"/>
      <c r="AB341" s="861"/>
      <c r="AC341" s="861"/>
      <c r="AD341" s="861"/>
      <c r="AE341" s="861"/>
      <c r="AF341" s="861"/>
      <c r="AG341" s="861"/>
    </row>
    <row r="342" spans="1:33" ht="17.25" customHeight="1">
      <c r="A342" s="861"/>
      <c r="B342" s="861"/>
      <c r="C342" s="861"/>
      <c r="D342" s="861"/>
      <c r="E342" s="861"/>
      <c r="F342" s="861"/>
      <c r="G342" s="861"/>
      <c r="H342" s="861"/>
      <c r="I342" s="861"/>
      <c r="J342" s="861"/>
      <c r="K342" s="861"/>
      <c r="L342" s="861"/>
      <c r="M342" s="861"/>
      <c r="N342" s="861"/>
      <c r="O342" s="861"/>
      <c r="P342" s="861"/>
      <c r="Q342" s="861"/>
      <c r="R342" s="861"/>
      <c r="S342" s="861"/>
      <c r="T342" s="861"/>
      <c r="U342" s="861"/>
      <c r="V342" s="861"/>
      <c r="W342" s="861"/>
      <c r="X342" s="861"/>
      <c r="Y342" s="861"/>
      <c r="Z342" s="861"/>
      <c r="AA342" s="861"/>
      <c r="AB342" s="861"/>
      <c r="AC342" s="861"/>
      <c r="AD342" s="861"/>
      <c r="AE342" s="861"/>
      <c r="AF342" s="861"/>
      <c r="AG342" s="861"/>
    </row>
    <row r="343" spans="1:33" ht="17.25" customHeight="1">
      <c r="A343" s="861"/>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c r="AA343" s="861"/>
      <c r="AB343" s="861"/>
      <c r="AC343" s="861"/>
      <c r="AD343" s="861"/>
      <c r="AE343" s="861"/>
      <c r="AF343" s="861"/>
      <c r="AG343" s="861"/>
    </row>
    <row r="344" spans="1:33" ht="17.25" customHeight="1">
      <c r="A344" s="861"/>
      <c r="B344" s="861"/>
      <c r="C344" s="861"/>
      <c r="D344" s="861"/>
      <c r="E344" s="861"/>
      <c r="F344" s="861"/>
      <c r="G344" s="861"/>
      <c r="H344" s="861"/>
      <c r="I344" s="861"/>
      <c r="J344" s="861"/>
      <c r="K344" s="861"/>
      <c r="L344" s="861"/>
      <c r="M344" s="861"/>
      <c r="N344" s="861"/>
      <c r="O344" s="861"/>
      <c r="P344" s="861"/>
      <c r="Q344" s="861"/>
      <c r="R344" s="861"/>
      <c r="S344" s="861"/>
      <c r="T344" s="861"/>
      <c r="U344" s="861"/>
      <c r="V344" s="861"/>
      <c r="W344" s="861"/>
      <c r="X344" s="861"/>
      <c r="Y344" s="861"/>
      <c r="Z344" s="861"/>
      <c r="AA344" s="861"/>
      <c r="AB344" s="861"/>
      <c r="AC344" s="861"/>
      <c r="AD344" s="861"/>
      <c r="AE344" s="861"/>
      <c r="AF344" s="861"/>
      <c r="AG344" s="861"/>
    </row>
    <row r="345" spans="1:33" ht="17.25" customHeight="1">
      <c r="A345" s="861"/>
      <c r="B345" s="861"/>
      <c r="C345" s="861"/>
      <c r="D345" s="861"/>
      <c r="E345" s="861"/>
      <c r="F345" s="861"/>
      <c r="G345" s="861"/>
      <c r="H345" s="861"/>
      <c r="I345" s="861"/>
      <c r="J345" s="861"/>
      <c r="K345" s="861"/>
      <c r="L345" s="861"/>
      <c r="M345" s="861"/>
      <c r="N345" s="861"/>
      <c r="O345" s="861"/>
      <c r="P345" s="861"/>
      <c r="Q345" s="861"/>
      <c r="R345" s="861"/>
      <c r="S345" s="861"/>
      <c r="T345" s="861"/>
      <c r="U345" s="861"/>
      <c r="V345" s="861"/>
      <c r="W345" s="861"/>
      <c r="X345" s="861"/>
      <c r="Y345" s="861"/>
      <c r="Z345" s="861"/>
      <c r="AA345" s="861"/>
      <c r="AB345" s="861"/>
      <c r="AC345" s="861"/>
      <c r="AD345" s="861"/>
      <c r="AE345" s="861"/>
      <c r="AF345" s="861"/>
      <c r="AG345" s="861"/>
    </row>
    <row r="346" spans="1:33" ht="17.25" customHeight="1">
      <c r="A346" s="861"/>
      <c r="B346" s="861"/>
      <c r="C346" s="861"/>
      <c r="D346" s="861"/>
      <c r="E346" s="861"/>
      <c r="F346" s="861"/>
      <c r="G346" s="861"/>
      <c r="H346" s="861"/>
      <c r="I346" s="861"/>
      <c r="J346" s="861"/>
      <c r="K346" s="861"/>
      <c r="L346" s="861"/>
      <c r="M346" s="861"/>
      <c r="N346" s="861"/>
      <c r="O346" s="861"/>
      <c r="P346" s="861"/>
      <c r="Q346" s="861"/>
      <c r="R346" s="861"/>
      <c r="S346" s="861"/>
      <c r="T346" s="861"/>
      <c r="U346" s="861"/>
      <c r="V346" s="861"/>
      <c r="W346" s="861"/>
      <c r="X346" s="861"/>
      <c r="Y346" s="861"/>
      <c r="Z346" s="861"/>
      <c r="AA346" s="861"/>
      <c r="AB346" s="861"/>
      <c r="AC346" s="861"/>
      <c r="AD346" s="861"/>
      <c r="AE346" s="861"/>
      <c r="AF346" s="861"/>
      <c r="AG346" s="861"/>
    </row>
    <row r="347" spans="1:33" ht="17.25" customHeight="1">
      <c r="A347" s="861"/>
      <c r="B347" s="861"/>
      <c r="C347" s="861"/>
      <c r="D347" s="861"/>
      <c r="E347" s="861"/>
      <c r="F347" s="861"/>
      <c r="G347" s="861"/>
      <c r="H347" s="861"/>
      <c r="I347" s="861"/>
      <c r="J347" s="861"/>
      <c r="K347" s="861"/>
      <c r="L347" s="861"/>
      <c r="M347" s="861"/>
      <c r="N347" s="861"/>
      <c r="O347" s="861"/>
      <c r="P347" s="861"/>
      <c r="Q347" s="861"/>
      <c r="R347" s="861"/>
      <c r="S347" s="861"/>
      <c r="T347" s="861"/>
      <c r="U347" s="861"/>
      <c r="V347" s="861"/>
      <c r="W347" s="861"/>
      <c r="X347" s="861"/>
      <c r="Y347" s="861"/>
      <c r="Z347" s="861"/>
      <c r="AA347" s="861"/>
      <c r="AB347" s="861"/>
      <c r="AC347" s="861"/>
      <c r="AD347" s="861"/>
      <c r="AE347" s="861"/>
      <c r="AF347" s="861"/>
      <c r="AG347" s="861"/>
    </row>
    <row r="348" spans="1:33" ht="17.25" customHeight="1">
      <c r="A348" s="861"/>
      <c r="B348" s="861"/>
      <c r="C348" s="861"/>
      <c r="D348" s="861"/>
      <c r="E348" s="861"/>
      <c r="F348" s="861"/>
      <c r="G348" s="861"/>
      <c r="H348" s="861"/>
      <c r="I348" s="861"/>
      <c r="J348" s="861"/>
      <c r="K348" s="861"/>
      <c r="L348" s="861"/>
      <c r="M348" s="861"/>
      <c r="N348" s="861"/>
      <c r="O348" s="861"/>
      <c r="P348" s="861"/>
      <c r="Q348" s="861"/>
      <c r="R348" s="861"/>
      <c r="S348" s="861"/>
      <c r="T348" s="861"/>
      <c r="U348" s="861"/>
      <c r="V348" s="861"/>
      <c r="W348" s="861"/>
      <c r="X348" s="861"/>
      <c r="Y348" s="861"/>
      <c r="Z348" s="861"/>
      <c r="AA348" s="861"/>
      <c r="AB348" s="861"/>
      <c r="AC348" s="861"/>
      <c r="AD348" s="861"/>
      <c r="AE348" s="861"/>
      <c r="AF348" s="861"/>
      <c r="AG348" s="861"/>
    </row>
    <row r="349" spans="1:33" ht="17.25" customHeight="1">
      <c r="A349" s="861"/>
      <c r="B349" s="861"/>
      <c r="C349" s="861"/>
      <c r="D349" s="861"/>
      <c r="E349" s="861"/>
      <c r="F349" s="861"/>
      <c r="G349" s="861"/>
      <c r="H349" s="861"/>
      <c r="I349" s="861"/>
      <c r="J349" s="861"/>
      <c r="K349" s="861"/>
      <c r="L349" s="861"/>
      <c r="M349" s="861"/>
      <c r="N349" s="861"/>
      <c r="O349" s="861"/>
      <c r="P349" s="861"/>
      <c r="Q349" s="861"/>
      <c r="R349" s="861"/>
      <c r="S349" s="861"/>
      <c r="T349" s="861"/>
      <c r="U349" s="861"/>
      <c r="V349" s="861"/>
      <c r="W349" s="861"/>
      <c r="X349" s="861"/>
      <c r="Y349" s="861"/>
      <c r="Z349" s="861"/>
      <c r="AA349" s="861"/>
      <c r="AB349" s="861"/>
      <c r="AC349" s="861"/>
      <c r="AD349" s="861"/>
      <c r="AE349" s="861"/>
      <c r="AF349" s="861"/>
      <c r="AG349" s="861"/>
    </row>
    <row r="350" spans="1:33" ht="17.25" customHeight="1">
      <c r="A350" s="861"/>
      <c r="B350" s="861"/>
      <c r="C350" s="861"/>
      <c r="D350" s="861"/>
      <c r="E350" s="861"/>
      <c r="F350" s="861"/>
      <c r="G350" s="861"/>
      <c r="H350" s="861"/>
      <c r="I350" s="861"/>
      <c r="J350" s="861"/>
      <c r="K350" s="861"/>
      <c r="L350" s="861"/>
      <c r="M350" s="861"/>
      <c r="N350" s="861"/>
      <c r="O350" s="861"/>
      <c r="P350" s="861"/>
      <c r="Q350" s="861"/>
      <c r="R350" s="861"/>
      <c r="S350" s="861"/>
      <c r="T350" s="861"/>
      <c r="U350" s="861"/>
      <c r="V350" s="861"/>
      <c r="W350" s="861"/>
      <c r="X350" s="861"/>
      <c r="Y350" s="861"/>
      <c r="Z350" s="861"/>
      <c r="AA350" s="861"/>
      <c r="AB350" s="861"/>
      <c r="AC350" s="861"/>
      <c r="AD350" s="861"/>
      <c r="AE350" s="861"/>
      <c r="AF350" s="861"/>
      <c r="AG350" s="861"/>
    </row>
    <row r="351" spans="1:33" ht="17.25" customHeight="1">
      <c r="A351" s="861"/>
      <c r="B351" s="861"/>
      <c r="C351" s="861"/>
      <c r="D351" s="861"/>
      <c r="E351" s="861"/>
      <c r="F351" s="861"/>
      <c r="G351" s="861"/>
      <c r="H351" s="861"/>
      <c r="I351" s="861"/>
      <c r="J351" s="861"/>
      <c r="K351" s="861"/>
      <c r="L351" s="861"/>
      <c r="M351" s="861"/>
      <c r="N351" s="861"/>
      <c r="O351" s="861"/>
      <c r="P351" s="861"/>
      <c r="Q351" s="861"/>
      <c r="R351" s="861"/>
      <c r="S351" s="861"/>
      <c r="T351" s="861"/>
      <c r="U351" s="861"/>
      <c r="V351" s="861"/>
      <c r="W351" s="861"/>
      <c r="X351" s="861"/>
      <c r="Y351" s="861"/>
      <c r="Z351" s="861"/>
      <c r="AA351" s="861"/>
      <c r="AB351" s="861"/>
      <c r="AC351" s="861"/>
      <c r="AD351" s="861"/>
      <c r="AE351" s="861"/>
      <c r="AF351" s="861"/>
      <c r="AG351" s="861"/>
    </row>
    <row r="352" spans="1:33" ht="17.25" customHeight="1">
      <c r="A352" s="861"/>
      <c r="B352" s="861"/>
      <c r="C352" s="861"/>
      <c r="D352" s="861"/>
      <c r="E352" s="861"/>
      <c r="F352" s="861"/>
      <c r="G352" s="861"/>
      <c r="H352" s="861"/>
      <c r="I352" s="861"/>
      <c r="J352" s="861"/>
      <c r="K352" s="861"/>
      <c r="L352" s="861"/>
      <c r="M352" s="861"/>
      <c r="N352" s="861"/>
      <c r="O352" s="861"/>
      <c r="P352" s="861"/>
      <c r="Q352" s="861"/>
      <c r="R352" s="861"/>
      <c r="S352" s="861"/>
      <c r="T352" s="861"/>
      <c r="U352" s="861"/>
      <c r="V352" s="861"/>
      <c r="W352" s="861"/>
      <c r="X352" s="861"/>
      <c r="Y352" s="861"/>
      <c r="Z352" s="861"/>
      <c r="AA352" s="861"/>
      <c r="AB352" s="861"/>
      <c r="AC352" s="861"/>
      <c r="AD352" s="861"/>
      <c r="AE352" s="861"/>
      <c r="AF352" s="861"/>
      <c r="AG352" s="861"/>
    </row>
    <row r="353" spans="1:33" ht="17.25" customHeight="1">
      <c r="A353" s="861"/>
      <c r="B353" s="861"/>
      <c r="C353" s="861"/>
      <c r="D353" s="861"/>
      <c r="E353" s="861"/>
      <c r="F353" s="861"/>
      <c r="G353" s="861"/>
      <c r="H353" s="861"/>
      <c r="I353" s="861"/>
      <c r="J353" s="861"/>
      <c r="K353" s="861"/>
      <c r="L353" s="861"/>
      <c r="M353" s="861"/>
      <c r="N353" s="861"/>
      <c r="O353" s="861"/>
      <c r="P353" s="861"/>
      <c r="Q353" s="861"/>
      <c r="R353" s="861"/>
      <c r="S353" s="861"/>
      <c r="T353" s="861"/>
      <c r="U353" s="861"/>
      <c r="V353" s="861"/>
      <c r="W353" s="861"/>
      <c r="X353" s="861"/>
      <c r="Y353" s="861"/>
      <c r="Z353" s="861"/>
      <c r="AA353" s="861"/>
      <c r="AB353" s="861"/>
      <c r="AC353" s="861"/>
      <c r="AD353" s="861"/>
      <c r="AE353" s="861"/>
      <c r="AF353" s="861"/>
      <c r="AG353" s="861"/>
    </row>
    <row r="354" spans="1:33" ht="17.25" customHeight="1">
      <c r="A354" s="861"/>
      <c r="B354" s="861"/>
      <c r="C354" s="861"/>
      <c r="D354" s="861"/>
      <c r="E354" s="861"/>
      <c r="F354" s="861"/>
      <c r="G354" s="861"/>
      <c r="H354" s="861"/>
      <c r="I354" s="861"/>
      <c r="J354" s="861"/>
      <c r="K354" s="861"/>
      <c r="L354" s="861"/>
      <c r="M354" s="861"/>
      <c r="N354" s="861"/>
      <c r="O354" s="861"/>
      <c r="P354" s="861"/>
      <c r="Q354" s="861"/>
      <c r="R354" s="861"/>
      <c r="S354" s="861"/>
      <c r="T354" s="861"/>
      <c r="U354" s="861"/>
      <c r="V354" s="861"/>
      <c r="W354" s="861"/>
      <c r="X354" s="861"/>
      <c r="Y354" s="861"/>
      <c r="Z354" s="861"/>
      <c r="AA354" s="861"/>
      <c r="AB354" s="861"/>
      <c r="AC354" s="861"/>
      <c r="AD354" s="861"/>
      <c r="AE354" s="861"/>
      <c r="AF354" s="861"/>
      <c r="AG354" s="861"/>
    </row>
    <row r="355" spans="1:33" ht="17.25" customHeight="1">
      <c r="A355" s="861"/>
      <c r="B355" s="861"/>
      <c r="C355" s="861"/>
      <c r="D355" s="861"/>
      <c r="E355" s="861"/>
      <c r="F355" s="861"/>
      <c r="G355" s="861"/>
      <c r="H355" s="861"/>
      <c r="I355" s="861"/>
      <c r="J355" s="861"/>
      <c r="K355" s="861"/>
      <c r="L355" s="861"/>
      <c r="M355" s="861"/>
      <c r="N355" s="861"/>
      <c r="O355" s="861"/>
      <c r="P355" s="861"/>
      <c r="Q355" s="861"/>
      <c r="R355" s="861"/>
      <c r="S355" s="861"/>
      <c r="T355" s="861"/>
      <c r="U355" s="861"/>
      <c r="V355" s="861"/>
      <c r="W355" s="861"/>
      <c r="X355" s="861"/>
      <c r="Y355" s="861"/>
      <c r="Z355" s="861"/>
      <c r="AA355" s="861"/>
      <c r="AB355" s="861"/>
      <c r="AC355" s="861"/>
      <c r="AD355" s="861"/>
      <c r="AE355" s="861"/>
      <c r="AF355" s="861"/>
      <c r="AG355" s="861"/>
    </row>
    <row r="356" spans="1:33" ht="17.25" customHeight="1">
      <c r="A356" s="861"/>
      <c r="B356" s="861"/>
      <c r="C356" s="861"/>
      <c r="D356" s="861"/>
      <c r="E356" s="861"/>
      <c r="F356" s="861"/>
      <c r="G356" s="861"/>
      <c r="H356" s="861"/>
      <c r="I356" s="861"/>
      <c r="J356" s="861"/>
      <c r="K356" s="861"/>
      <c r="L356" s="861"/>
      <c r="M356" s="861"/>
      <c r="N356" s="861"/>
      <c r="O356" s="861"/>
      <c r="P356" s="861"/>
      <c r="Q356" s="861"/>
      <c r="R356" s="861"/>
      <c r="S356" s="861"/>
      <c r="T356" s="861"/>
      <c r="U356" s="861"/>
      <c r="V356" s="861"/>
      <c r="W356" s="861"/>
      <c r="X356" s="861"/>
      <c r="Y356" s="861"/>
      <c r="Z356" s="861"/>
      <c r="AA356" s="861"/>
      <c r="AB356" s="861"/>
      <c r="AC356" s="861"/>
      <c r="AD356" s="861"/>
      <c r="AE356" s="861"/>
      <c r="AF356" s="861"/>
      <c r="AG356" s="861"/>
    </row>
    <row r="357" spans="1:33" ht="17.25" customHeight="1">
      <c r="A357" s="861"/>
      <c r="B357" s="861"/>
      <c r="C357" s="861"/>
      <c r="D357" s="861"/>
      <c r="E357" s="861"/>
      <c r="F357" s="861"/>
      <c r="G357" s="861"/>
      <c r="H357" s="861"/>
      <c r="I357" s="861"/>
      <c r="J357" s="861"/>
      <c r="K357" s="861"/>
      <c r="L357" s="861"/>
      <c r="M357" s="861"/>
      <c r="N357" s="861"/>
      <c r="O357" s="861"/>
      <c r="P357" s="861"/>
      <c r="Q357" s="861"/>
      <c r="R357" s="861"/>
      <c r="S357" s="861"/>
      <c r="T357" s="861"/>
      <c r="U357" s="861"/>
      <c r="V357" s="861"/>
      <c r="W357" s="861"/>
      <c r="X357" s="861"/>
      <c r="Y357" s="861"/>
      <c r="Z357" s="861"/>
      <c r="AA357" s="861"/>
      <c r="AB357" s="861"/>
      <c r="AC357" s="861"/>
      <c r="AD357" s="861"/>
      <c r="AE357" s="861"/>
      <c r="AF357" s="861"/>
      <c r="AG357" s="861"/>
    </row>
    <row r="358" spans="1:33" ht="17.25" customHeight="1">
      <c r="A358" s="861"/>
      <c r="B358" s="861"/>
      <c r="C358" s="861"/>
      <c r="D358" s="861"/>
      <c r="E358" s="861"/>
      <c r="F358" s="861"/>
      <c r="G358" s="861"/>
      <c r="H358" s="861"/>
      <c r="I358" s="861"/>
      <c r="J358" s="861"/>
      <c r="K358" s="861"/>
      <c r="L358" s="861"/>
      <c r="M358" s="861"/>
      <c r="N358" s="861"/>
      <c r="O358" s="861"/>
      <c r="P358" s="861"/>
      <c r="Q358" s="861"/>
      <c r="R358" s="861"/>
      <c r="S358" s="861"/>
      <c r="T358" s="861"/>
      <c r="U358" s="861"/>
      <c r="V358" s="861"/>
      <c r="W358" s="861"/>
      <c r="X358" s="861"/>
      <c r="Y358" s="861"/>
      <c r="Z358" s="861"/>
      <c r="AA358" s="861"/>
      <c r="AB358" s="861"/>
      <c r="AC358" s="861"/>
      <c r="AD358" s="861"/>
      <c r="AE358" s="861"/>
      <c r="AF358" s="861"/>
      <c r="AG358" s="861"/>
    </row>
    <row r="359" spans="1:33" ht="17.25" customHeight="1">
      <c r="A359" s="861"/>
      <c r="B359" s="861"/>
      <c r="C359" s="861"/>
      <c r="D359" s="861"/>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c r="AA359" s="861"/>
      <c r="AB359" s="861"/>
      <c r="AC359" s="861"/>
      <c r="AD359" s="861"/>
      <c r="AE359" s="861"/>
      <c r="AF359" s="861"/>
      <c r="AG359" s="861"/>
    </row>
    <row r="360" spans="1:33" ht="17.25" customHeight="1">
      <c r="A360" s="861"/>
      <c r="B360" s="861"/>
      <c r="C360" s="861"/>
      <c r="D360" s="861"/>
      <c r="E360" s="861"/>
      <c r="F360" s="861"/>
      <c r="G360" s="861"/>
      <c r="H360" s="861"/>
      <c r="I360" s="861"/>
      <c r="J360" s="861"/>
      <c r="K360" s="861"/>
      <c r="L360" s="861"/>
      <c r="M360" s="861"/>
      <c r="N360" s="861"/>
      <c r="O360" s="861"/>
      <c r="P360" s="861"/>
      <c r="Q360" s="861"/>
      <c r="R360" s="861"/>
      <c r="S360" s="861"/>
      <c r="T360" s="861"/>
      <c r="U360" s="861"/>
      <c r="V360" s="861"/>
      <c r="W360" s="861"/>
      <c r="X360" s="861"/>
      <c r="Y360" s="861"/>
      <c r="Z360" s="861"/>
      <c r="AA360" s="861"/>
      <c r="AB360" s="861"/>
      <c r="AC360" s="861"/>
      <c r="AD360" s="861"/>
      <c r="AE360" s="861"/>
      <c r="AF360" s="861"/>
      <c r="AG360" s="861"/>
    </row>
    <row r="361" spans="1:33" ht="17.25" customHeight="1">
      <c r="A361" s="861"/>
      <c r="B361" s="861"/>
      <c r="C361" s="861"/>
      <c r="D361" s="861"/>
      <c r="E361" s="861"/>
      <c r="F361" s="861"/>
      <c r="G361" s="861"/>
      <c r="H361" s="861"/>
      <c r="I361" s="861"/>
      <c r="J361" s="861"/>
      <c r="K361" s="861"/>
      <c r="L361" s="861"/>
      <c r="M361" s="861"/>
      <c r="N361" s="861"/>
      <c r="O361" s="861"/>
      <c r="P361" s="861"/>
      <c r="Q361" s="861"/>
      <c r="R361" s="861"/>
      <c r="S361" s="861"/>
      <c r="T361" s="861"/>
      <c r="U361" s="861"/>
      <c r="V361" s="861"/>
      <c r="W361" s="861"/>
      <c r="X361" s="861"/>
      <c r="Y361" s="861"/>
      <c r="Z361" s="861"/>
      <c r="AA361" s="861"/>
      <c r="AB361" s="861"/>
      <c r="AC361" s="861"/>
      <c r="AD361" s="861"/>
      <c r="AE361" s="861"/>
      <c r="AF361" s="861"/>
      <c r="AG361" s="861"/>
    </row>
    <row r="362" spans="1:33" ht="17.25" customHeight="1">
      <c r="A362" s="861"/>
      <c r="B362" s="861"/>
      <c r="C362" s="861"/>
      <c r="D362" s="861"/>
      <c r="E362" s="861"/>
      <c r="F362" s="861"/>
      <c r="G362" s="861"/>
      <c r="H362" s="861"/>
      <c r="I362" s="861"/>
      <c r="J362" s="861"/>
      <c r="K362" s="861"/>
      <c r="L362" s="861"/>
      <c r="M362" s="861"/>
      <c r="N362" s="861"/>
      <c r="O362" s="861"/>
      <c r="P362" s="861"/>
      <c r="Q362" s="861"/>
      <c r="R362" s="861"/>
      <c r="S362" s="861"/>
      <c r="T362" s="861"/>
      <c r="U362" s="861"/>
      <c r="V362" s="861"/>
      <c r="W362" s="861"/>
      <c r="X362" s="861"/>
      <c r="Y362" s="861"/>
      <c r="Z362" s="861"/>
      <c r="AA362" s="861"/>
      <c r="AB362" s="861"/>
      <c r="AC362" s="861"/>
      <c r="AD362" s="861"/>
      <c r="AE362" s="861"/>
      <c r="AF362" s="861"/>
      <c r="AG362" s="861"/>
    </row>
    <row r="363" spans="1:33" ht="17.25" customHeight="1">
      <c r="A363" s="861"/>
      <c r="B363" s="861"/>
      <c r="C363" s="861"/>
      <c r="D363" s="861"/>
      <c r="E363" s="861"/>
      <c r="F363" s="861"/>
      <c r="G363" s="861"/>
      <c r="H363" s="861"/>
      <c r="I363" s="861"/>
      <c r="J363" s="861"/>
      <c r="K363" s="861"/>
      <c r="L363" s="861"/>
      <c r="M363" s="861"/>
      <c r="N363" s="861"/>
      <c r="O363" s="861"/>
      <c r="P363" s="861"/>
      <c r="Q363" s="861"/>
      <c r="R363" s="861"/>
      <c r="S363" s="861"/>
      <c r="T363" s="861"/>
      <c r="U363" s="861"/>
      <c r="V363" s="861"/>
      <c r="W363" s="861"/>
      <c r="X363" s="861"/>
      <c r="Y363" s="861"/>
      <c r="Z363" s="861"/>
      <c r="AA363" s="861"/>
      <c r="AB363" s="861"/>
      <c r="AC363" s="861"/>
      <c r="AD363" s="861"/>
      <c r="AE363" s="861"/>
      <c r="AF363" s="861"/>
      <c r="AG363" s="861"/>
    </row>
    <row r="364" spans="1:33" ht="17.25" customHeight="1">
      <c r="A364" s="861"/>
      <c r="B364" s="861"/>
      <c r="C364" s="861"/>
      <c r="D364" s="861"/>
      <c r="E364" s="861"/>
      <c r="F364" s="861"/>
      <c r="G364" s="861"/>
      <c r="H364" s="861"/>
      <c r="I364" s="861"/>
      <c r="J364" s="861"/>
      <c r="K364" s="861"/>
      <c r="L364" s="861"/>
      <c r="M364" s="861"/>
      <c r="N364" s="861"/>
      <c r="O364" s="861"/>
      <c r="P364" s="861"/>
      <c r="Q364" s="861"/>
      <c r="R364" s="861"/>
      <c r="S364" s="861"/>
      <c r="T364" s="861"/>
      <c r="U364" s="861"/>
      <c r="V364" s="861"/>
      <c r="W364" s="861"/>
      <c r="X364" s="861"/>
      <c r="Y364" s="861"/>
      <c r="Z364" s="861"/>
      <c r="AA364" s="861"/>
      <c r="AB364" s="861"/>
      <c r="AC364" s="861"/>
      <c r="AD364" s="861"/>
      <c r="AE364" s="861"/>
      <c r="AF364" s="861"/>
      <c r="AG364" s="861"/>
    </row>
    <row r="365" spans="1:33" ht="17.25" customHeight="1">
      <c r="A365" s="861"/>
      <c r="B365" s="861"/>
      <c r="C365" s="861"/>
      <c r="D365" s="861"/>
      <c r="E365" s="861"/>
      <c r="F365" s="861"/>
      <c r="G365" s="861"/>
      <c r="H365" s="861"/>
      <c r="I365" s="861"/>
      <c r="J365" s="861"/>
      <c r="K365" s="861"/>
      <c r="L365" s="861"/>
      <c r="M365" s="861"/>
      <c r="N365" s="861"/>
      <c r="O365" s="861"/>
      <c r="P365" s="861"/>
      <c r="Q365" s="861"/>
      <c r="R365" s="861"/>
      <c r="S365" s="861"/>
      <c r="T365" s="861"/>
      <c r="U365" s="861"/>
      <c r="V365" s="861"/>
      <c r="W365" s="861"/>
      <c r="X365" s="861"/>
      <c r="Y365" s="861"/>
      <c r="Z365" s="861"/>
      <c r="AA365" s="861"/>
      <c r="AB365" s="861"/>
      <c r="AC365" s="861"/>
      <c r="AD365" s="861"/>
      <c r="AE365" s="861"/>
      <c r="AF365" s="861"/>
      <c r="AG365" s="861"/>
    </row>
    <row r="366" spans="1:33" ht="17.25" customHeight="1">
      <c r="A366" s="861"/>
      <c r="B366" s="861"/>
      <c r="C366" s="861"/>
      <c r="D366" s="861"/>
      <c r="E366" s="861"/>
      <c r="F366" s="861"/>
      <c r="G366" s="861"/>
      <c r="H366" s="861"/>
      <c r="I366" s="861"/>
      <c r="J366" s="861"/>
      <c r="K366" s="861"/>
      <c r="L366" s="861"/>
      <c r="M366" s="861"/>
      <c r="N366" s="861"/>
      <c r="O366" s="861"/>
      <c r="P366" s="861"/>
      <c r="Q366" s="861"/>
      <c r="R366" s="861"/>
      <c r="S366" s="861"/>
      <c r="T366" s="861"/>
      <c r="U366" s="861"/>
      <c r="V366" s="861"/>
      <c r="W366" s="861"/>
      <c r="X366" s="861"/>
      <c r="Y366" s="861"/>
      <c r="Z366" s="861"/>
      <c r="AA366" s="861"/>
      <c r="AB366" s="861"/>
      <c r="AC366" s="861"/>
      <c r="AD366" s="861"/>
      <c r="AE366" s="861"/>
      <c r="AF366" s="861"/>
      <c r="AG366" s="861"/>
    </row>
    <row r="367" spans="1:33" ht="17.25" customHeight="1">
      <c r="A367" s="861"/>
      <c r="B367" s="861"/>
      <c r="C367" s="861"/>
      <c r="D367" s="861"/>
      <c r="E367" s="861"/>
      <c r="F367" s="861"/>
      <c r="G367" s="861"/>
      <c r="H367" s="861"/>
      <c r="I367" s="861"/>
      <c r="J367" s="861"/>
      <c r="K367" s="861"/>
      <c r="L367" s="861"/>
      <c r="M367" s="861"/>
      <c r="N367" s="861"/>
      <c r="O367" s="861"/>
      <c r="P367" s="861"/>
      <c r="Q367" s="861"/>
      <c r="R367" s="861"/>
      <c r="S367" s="861"/>
      <c r="T367" s="861"/>
      <c r="U367" s="861"/>
      <c r="V367" s="861"/>
      <c r="W367" s="861"/>
      <c r="X367" s="861"/>
      <c r="Y367" s="861"/>
      <c r="Z367" s="861"/>
      <c r="AA367" s="861"/>
      <c r="AB367" s="861"/>
      <c r="AC367" s="861"/>
      <c r="AD367" s="861"/>
      <c r="AE367" s="861"/>
      <c r="AF367" s="861"/>
      <c r="AG367" s="861"/>
    </row>
    <row r="368" spans="1:33" ht="17.25" customHeight="1">
      <c r="A368" s="861"/>
      <c r="B368" s="861"/>
      <c r="C368" s="861"/>
      <c r="D368" s="861"/>
      <c r="E368" s="861"/>
      <c r="F368" s="861"/>
      <c r="G368" s="861"/>
      <c r="H368" s="861"/>
      <c r="I368" s="861"/>
      <c r="J368" s="861"/>
      <c r="K368" s="861"/>
      <c r="L368" s="861"/>
      <c r="M368" s="861"/>
      <c r="N368" s="861"/>
      <c r="O368" s="861"/>
      <c r="P368" s="861"/>
      <c r="Q368" s="861"/>
      <c r="R368" s="861"/>
      <c r="S368" s="861"/>
      <c r="T368" s="861"/>
      <c r="U368" s="861"/>
      <c r="V368" s="861"/>
      <c r="W368" s="861"/>
      <c r="X368" s="861"/>
      <c r="Y368" s="861"/>
      <c r="Z368" s="861"/>
      <c r="AA368" s="861"/>
      <c r="AB368" s="861"/>
      <c r="AC368" s="861"/>
      <c r="AD368" s="861"/>
      <c r="AE368" s="861"/>
      <c r="AF368" s="861"/>
      <c r="AG368" s="861"/>
    </row>
    <row r="369" spans="1:33" ht="17.25" customHeight="1">
      <c r="A369" s="861"/>
      <c r="B369" s="861"/>
      <c r="C369" s="861"/>
      <c r="D369" s="861"/>
      <c r="E369" s="861"/>
      <c r="F369" s="861"/>
      <c r="G369" s="861"/>
      <c r="H369" s="861"/>
      <c r="I369" s="861"/>
      <c r="J369" s="861"/>
      <c r="K369" s="861"/>
      <c r="L369" s="861"/>
      <c r="M369" s="861"/>
      <c r="N369" s="861"/>
      <c r="O369" s="861"/>
      <c r="P369" s="861"/>
      <c r="Q369" s="861"/>
      <c r="R369" s="861"/>
      <c r="S369" s="861"/>
      <c r="T369" s="861"/>
      <c r="U369" s="861"/>
      <c r="V369" s="861"/>
      <c r="W369" s="861"/>
      <c r="X369" s="861"/>
      <c r="Y369" s="861"/>
      <c r="Z369" s="861"/>
      <c r="AA369" s="861"/>
      <c r="AB369" s="861"/>
      <c r="AC369" s="861"/>
      <c r="AD369" s="861"/>
      <c r="AE369" s="861"/>
      <c r="AF369" s="861"/>
      <c r="AG369" s="861"/>
    </row>
    <row r="370" spans="1:33" ht="17.25" customHeight="1">
      <c r="A370" s="861"/>
      <c r="B370" s="861"/>
      <c r="C370" s="861"/>
      <c r="D370" s="861"/>
      <c r="E370" s="861"/>
      <c r="F370" s="861"/>
      <c r="G370" s="861"/>
      <c r="H370" s="861"/>
      <c r="I370" s="861"/>
      <c r="J370" s="861"/>
      <c r="K370" s="861"/>
      <c r="L370" s="861"/>
      <c r="M370" s="861"/>
      <c r="N370" s="861"/>
      <c r="O370" s="861"/>
      <c r="P370" s="861"/>
      <c r="Q370" s="861"/>
      <c r="R370" s="861"/>
      <c r="S370" s="861"/>
      <c r="T370" s="861"/>
      <c r="U370" s="861"/>
      <c r="V370" s="861"/>
      <c r="W370" s="861"/>
      <c r="X370" s="861"/>
      <c r="Y370" s="861"/>
      <c r="Z370" s="861"/>
      <c r="AA370" s="861"/>
      <c r="AB370" s="861"/>
      <c r="AC370" s="861"/>
      <c r="AD370" s="861"/>
      <c r="AE370" s="861"/>
      <c r="AF370" s="861"/>
      <c r="AG370" s="861"/>
    </row>
    <row r="371" spans="1:33" ht="17.25" customHeight="1">
      <c r="A371" s="861"/>
      <c r="B371" s="861"/>
      <c r="C371" s="861"/>
      <c r="D371" s="861"/>
      <c r="E371" s="861"/>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row>
    <row r="372" spans="1:33" ht="17.25" customHeight="1">
      <c r="A372" s="861"/>
      <c r="B372" s="861"/>
      <c r="C372" s="861"/>
      <c r="D372" s="861"/>
      <c r="E372" s="861"/>
      <c r="F372" s="861"/>
      <c r="G372" s="861"/>
      <c r="H372" s="861"/>
      <c r="I372" s="861"/>
      <c r="J372" s="861"/>
      <c r="K372" s="861"/>
      <c r="L372" s="861"/>
      <c r="M372" s="861"/>
      <c r="N372" s="861"/>
      <c r="O372" s="861"/>
      <c r="P372" s="861"/>
      <c r="Q372" s="861"/>
      <c r="R372" s="861"/>
      <c r="S372" s="861"/>
      <c r="T372" s="861"/>
      <c r="U372" s="861"/>
      <c r="V372" s="861"/>
      <c r="W372" s="861"/>
      <c r="X372" s="861"/>
      <c r="Y372" s="861"/>
      <c r="Z372" s="861"/>
      <c r="AA372" s="861"/>
      <c r="AB372" s="861"/>
      <c r="AC372" s="861"/>
      <c r="AD372" s="861"/>
      <c r="AE372" s="861"/>
      <c r="AF372" s="861"/>
      <c r="AG372" s="861"/>
    </row>
    <row r="373" spans="1:33" ht="17.25" customHeight="1">
      <c r="A373" s="861"/>
      <c r="B373" s="861"/>
      <c r="C373" s="861"/>
      <c r="D373" s="861"/>
      <c r="E373" s="861"/>
      <c r="F373" s="861"/>
      <c r="G373" s="861"/>
      <c r="H373" s="861"/>
      <c r="I373" s="861"/>
      <c r="J373" s="861"/>
      <c r="K373" s="861"/>
      <c r="L373" s="861"/>
      <c r="M373" s="861"/>
      <c r="N373" s="861"/>
      <c r="O373" s="861"/>
      <c r="P373" s="861"/>
      <c r="Q373" s="861"/>
      <c r="R373" s="861"/>
      <c r="S373" s="861"/>
      <c r="T373" s="861"/>
      <c r="U373" s="861"/>
      <c r="V373" s="861"/>
      <c r="W373" s="861"/>
      <c r="X373" s="861"/>
      <c r="Y373" s="861"/>
      <c r="Z373" s="861"/>
      <c r="AA373" s="861"/>
      <c r="AB373" s="861"/>
      <c r="AC373" s="861"/>
      <c r="AD373" s="861"/>
      <c r="AE373" s="861"/>
      <c r="AF373" s="861"/>
      <c r="AG373" s="861"/>
    </row>
    <row r="374" spans="1:33" ht="17.25" customHeight="1">
      <c r="A374" s="861"/>
      <c r="B374" s="861"/>
      <c r="C374" s="861"/>
      <c r="D374" s="861"/>
      <c r="E374" s="861"/>
      <c r="F374" s="861"/>
      <c r="G374" s="861"/>
      <c r="H374" s="861"/>
      <c r="I374" s="861"/>
      <c r="J374" s="861"/>
      <c r="K374" s="861"/>
      <c r="L374" s="861"/>
      <c r="M374" s="861"/>
      <c r="N374" s="861"/>
      <c r="O374" s="861"/>
      <c r="P374" s="861"/>
      <c r="Q374" s="861"/>
      <c r="R374" s="861"/>
      <c r="S374" s="861"/>
      <c r="T374" s="861"/>
      <c r="U374" s="861"/>
      <c r="V374" s="861"/>
      <c r="W374" s="861"/>
      <c r="X374" s="861"/>
      <c r="Y374" s="861"/>
      <c r="Z374" s="861"/>
      <c r="AA374" s="861"/>
      <c r="AB374" s="861"/>
      <c r="AC374" s="861"/>
      <c r="AD374" s="861"/>
      <c r="AE374" s="861"/>
      <c r="AF374" s="861"/>
      <c r="AG374" s="861"/>
    </row>
    <row r="375" spans="1:33" ht="17.25" customHeight="1">
      <c r="A375" s="861"/>
      <c r="B375" s="861"/>
      <c r="C375" s="861"/>
      <c r="D375" s="861"/>
      <c r="E375" s="861"/>
      <c r="F375" s="861"/>
      <c r="G375" s="861"/>
      <c r="H375" s="861"/>
      <c r="I375" s="861"/>
      <c r="J375" s="861"/>
      <c r="K375" s="861"/>
      <c r="L375" s="861"/>
      <c r="M375" s="861"/>
      <c r="N375" s="861"/>
      <c r="O375" s="861"/>
      <c r="P375" s="861"/>
      <c r="Q375" s="861"/>
      <c r="R375" s="861"/>
      <c r="S375" s="861"/>
      <c r="T375" s="861"/>
      <c r="U375" s="861"/>
      <c r="V375" s="861"/>
      <c r="W375" s="861"/>
      <c r="X375" s="861"/>
      <c r="Y375" s="861"/>
      <c r="Z375" s="861"/>
      <c r="AA375" s="861"/>
      <c r="AB375" s="861"/>
      <c r="AC375" s="861"/>
      <c r="AD375" s="861"/>
      <c r="AE375" s="861"/>
      <c r="AF375" s="861"/>
      <c r="AG375" s="861"/>
    </row>
    <row r="376" spans="1:33" ht="17.25" customHeight="1">
      <c r="A376" s="861"/>
      <c r="B376" s="861"/>
      <c r="C376" s="861"/>
      <c r="D376" s="861"/>
      <c r="E376" s="861"/>
      <c r="F376" s="861"/>
      <c r="G376" s="861"/>
      <c r="H376" s="861"/>
      <c r="I376" s="861"/>
      <c r="J376" s="861"/>
      <c r="K376" s="861"/>
      <c r="L376" s="861"/>
      <c r="M376" s="861"/>
      <c r="N376" s="861"/>
      <c r="O376" s="861"/>
      <c r="P376" s="861"/>
      <c r="Q376" s="861"/>
      <c r="R376" s="861"/>
      <c r="S376" s="861"/>
      <c r="T376" s="861"/>
      <c r="U376" s="861"/>
      <c r="V376" s="861"/>
      <c r="W376" s="861"/>
      <c r="X376" s="861"/>
      <c r="Y376" s="861"/>
      <c r="Z376" s="861"/>
      <c r="AA376" s="861"/>
      <c r="AB376" s="861"/>
      <c r="AC376" s="861"/>
      <c r="AD376" s="861"/>
      <c r="AE376" s="861"/>
      <c r="AF376" s="861"/>
      <c r="AG376" s="861"/>
    </row>
    <row r="377" spans="1:33" ht="17.25" customHeight="1">
      <c r="A377" s="861"/>
      <c r="B377" s="861"/>
      <c r="C377" s="861"/>
      <c r="D377" s="861"/>
      <c r="E377" s="861"/>
      <c r="F377" s="861"/>
      <c r="G377" s="861"/>
      <c r="H377" s="861"/>
      <c r="I377" s="861"/>
      <c r="J377" s="861"/>
      <c r="K377" s="861"/>
      <c r="L377" s="861"/>
      <c r="M377" s="861"/>
      <c r="N377" s="861"/>
      <c r="O377" s="861"/>
      <c r="P377" s="861"/>
      <c r="Q377" s="861"/>
      <c r="R377" s="861"/>
      <c r="S377" s="861"/>
      <c r="T377" s="861"/>
      <c r="U377" s="861"/>
      <c r="V377" s="861"/>
      <c r="W377" s="861"/>
      <c r="X377" s="861"/>
      <c r="Y377" s="861"/>
      <c r="Z377" s="861"/>
      <c r="AA377" s="861"/>
      <c r="AB377" s="861"/>
      <c r="AC377" s="861"/>
      <c r="AD377" s="861"/>
      <c r="AE377" s="861"/>
      <c r="AF377" s="861"/>
      <c r="AG377" s="861"/>
    </row>
    <row r="378" spans="1:33" ht="17.25" customHeight="1">
      <c r="A378" s="861"/>
      <c r="B378" s="861"/>
      <c r="C378" s="861"/>
      <c r="D378" s="861"/>
      <c r="E378" s="861"/>
      <c r="F378" s="861"/>
      <c r="G378" s="861"/>
      <c r="H378" s="861"/>
      <c r="I378" s="861"/>
      <c r="J378" s="861"/>
      <c r="K378" s="861"/>
      <c r="L378" s="861"/>
      <c r="M378" s="861"/>
      <c r="N378" s="861"/>
      <c r="O378" s="861"/>
      <c r="P378" s="861"/>
      <c r="Q378" s="861"/>
      <c r="R378" s="861"/>
      <c r="S378" s="861"/>
      <c r="T378" s="861"/>
      <c r="U378" s="861"/>
      <c r="V378" s="861"/>
      <c r="W378" s="861"/>
      <c r="X378" s="861"/>
      <c r="Y378" s="861"/>
      <c r="Z378" s="861"/>
      <c r="AA378" s="861"/>
      <c r="AB378" s="861"/>
      <c r="AC378" s="861"/>
      <c r="AD378" s="861"/>
      <c r="AE378" s="861"/>
      <c r="AF378" s="861"/>
      <c r="AG378" s="861"/>
    </row>
    <row r="379" spans="1:33" ht="17.25" customHeight="1">
      <c r="A379" s="861"/>
      <c r="B379" s="861"/>
      <c r="C379" s="861"/>
      <c r="D379" s="861"/>
      <c r="E379" s="861"/>
      <c r="F379" s="861"/>
      <c r="G379" s="861"/>
      <c r="H379" s="861"/>
      <c r="I379" s="861"/>
      <c r="J379" s="861"/>
      <c r="K379" s="861"/>
      <c r="L379" s="861"/>
      <c r="M379" s="861"/>
      <c r="N379" s="861"/>
      <c r="O379" s="861"/>
      <c r="P379" s="861"/>
      <c r="Q379" s="861"/>
      <c r="R379" s="861"/>
      <c r="S379" s="861"/>
      <c r="T379" s="861"/>
      <c r="U379" s="861"/>
      <c r="V379" s="861"/>
      <c r="W379" s="861"/>
      <c r="X379" s="861"/>
      <c r="Y379" s="861"/>
      <c r="Z379" s="861"/>
      <c r="AA379" s="861"/>
      <c r="AB379" s="861"/>
      <c r="AC379" s="861"/>
      <c r="AD379" s="861"/>
      <c r="AE379" s="861"/>
      <c r="AF379" s="861"/>
      <c r="AG379" s="861"/>
    </row>
    <row r="380" spans="1:33" ht="17.25" customHeight="1">
      <c r="A380" s="861"/>
      <c r="B380" s="861"/>
      <c r="C380" s="861"/>
      <c r="D380" s="861"/>
      <c r="E380" s="861"/>
      <c r="F380" s="861"/>
      <c r="G380" s="861"/>
      <c r="H380" s="861"/>
      <c r="I380" s="861"/>
      <c r="J380" s="861"/>
      <c r="K380" s="861"/>
      <c r="L380" s="861"/>
      <c r="M380" s="861"/>
      <c r="N380" s="861"/>
      <c r="O380" s="861"/>
      <c r="P380" s="861"/>
      <c r="Q380" s="861"/>
      <c r="R380" s="861"/>
      <c r="S380" s="861"/>
      <c r="T380" s="861"/>
      <c r="U380" s="861"/>
      <c r="V380" s="861"/>
      <c r="W380" s="861"/>
      <c r="X380" s="861"/>
      <c r="Y380" s="861"/>
      <c r="Z380" s="861"/>
      <c r="AA380" s="861"/>
      <c r="AB380" s="861"/>
      <c r="AC380" s="861"/>
      <c r="AD380" s="861"/>
      <c r="AE380" s="861"/>
      <c r="AF380" s="861"/>
      <c r="AG380" s="861"/>
    </row>
    <row r="381" spans="1:33" ht="17.25" customHeight="1">
      <c r="A381" s="861"/>
      <c r="B381" s="861"/>
      <c r="C381" s="861"/>
      <c r="D381" s="861"/>
      <c r="E381" s="861"/>
      <c r="F381" s="861"/>
      <c r="G381" s="861"/>
      <c r="H381" s="861"/>
      <c r="I381" s="861"/>
      <c r="J381" s="861"/>
      <c r="K381" s="861"/>
      <c r="L381" s="861"/>
      <c r="M381" s="861"/>
      <c r="N381" s="861"/>
      <c r="O381" s="861"/>
      <c r="P381" s="861"/>
      <c r="Q381" s="861"/>
      <c r="R381" s="861"/>
      <c r="S381" s="861"/>
      <c r="T381" s="861"/>
      <c r="U381" s="861"/>
      <c r="V381" s="861"/>
      <c r="W381" s="861"/>
      <c r="X381" s="861"/>
      <c r="Y381" s="861"/>
      <c r="Z381" s="861"/>
      <c r="AA381" s="861"/>
      <c r="AB381" s="861"/>
      <c r="AC381" s="861"/>
      <c r="AD381" s="861"/>
      <c r="AE381" s="861"/>
      <c r="AF381" s="861"/>
      <c r="AG381" s="861"/>
    </row>
    <row r="382" spans="1:33" ht="17.25" customHeight="1">
      <c r="A382" s="861"/>
      <c r="B382" s="861"/>
      <c r="C382" s="861"/>
      <c r="D382" s="861"/>
      <c r="E382" s="861"/>
      <c r="F382" s="861"/>
      <c r="G382" s="861"/>
      <c r="H382" s="861"/>
      <c r="I382" s="861"/>
      <c r="J382" s="861"/>
      <c r="K382" s="861"/>
      <c r="L382" s="861"/>
      <c r="M382" s="861"/>
      <c r="N382" s="861"/>
      <c r="O382" s="861"/>
      <c r="P382" s="861"/>
      <c r="Q382" s="861"/>
      <c r="R382" s="861"/>
      <c r="S382" s="861"/>
      <c r="T382" s="861"/>
      <c r="U382" s="861"/>
      <c r="V382" s="861"/>
      <c r="W382" s="861"/>
      <c r="X382" s="861"/>
      <c r="Y382" s="861"/>
      <c r="Z382" s="861"/>
      <c r="AA382" s="861"/>
      <c r="AB382" s="861"/>
      <c r="AC382" s="861"/>
      <c r="AD382" s="861"/>
      <c r="AE382" s="861"/>
      <c r="AF382" s="861"/>
      <c r="AG382" s="861"/>
    </row>
    <row r="383" spans="1:33" ht="17.25" customHeight="1">
      <c r="A383" s="861"/>
      <c r="B383" s="861"/>
      <c r="C383" s="861"/>
      <c r="D383" s="861"/>
      <c r="E383" s="861"/>
      <c r="F383" s="861"/>
      <c r="G383" s="861"/>
      <c r="H383" s="861"/>
      <c r="I383" s="861"/>
      <c r="J383" s="861"/>
      <c r="K383" s="861"/>
      <c r="L383" s="861"/>
      <c r="M383" s="861"/>
      <c r="N383" s="861"/>
      <c r="O383" s="861"/>
      <c r="P383" s="861"/>
      <c r="Q383" s="861"/>
      <c r="R383" s="861"/>
      <c r="S383" s="861"/>
      <c r="T383" s="861"/>
      <c r="U383" s="861"/>
      <c r="V383" s="861"/>
      <c r="W383" s="861"/>
      <c r="X383" s="861"/>
      <c r="Y383" s="861"/>
      <c r="Z383" s="861"/>
      <c r="AA383" s="861"/>
      <c r="AB383" s="861"/>
      <c r="AC383" s="861"/>
      <c r="AD383" s="861"/>
      <c r="AE383" s="861"/>
      <c r="AF383" s="861"/>
      <c r="AG383" s="861"/>
    </row>
    <row r="384" spans="1:33" ht="17.25" customHeight="1">
      <c r="A384" s="861"/>
      <c r="B384" s="861"/>
      <c r="C384" s="861"/>
      <c r="D384" s="861"/>
      <c r="E384" s="861"/>
      <c r="F384" s="861"/>
      <c r="G384" s="861"/>
      <c r="H384" s="861"/>
      <c r="I384" s="861"/>
      <c r="J384" s="861"/>
      <c r="K384" s="861"/>
      <c r="L384" s="861"/>
      <c r="M384" s="861"/>
      <c r="N384" s="861"/>
      <c r="O384" s="861"/>
      <c r="P384" s="861"/>
      <c r="Q384" s="861"/>
      <c r="R384" s="861"/>
      <c r="S384" s="861"/>
      <c r="T384" s="861"/>
      <c r="U384" s="861"/>
      <c r="V384" s="861"/>
      <c r="W384" s="861"/>
      <c r="X384" s="861"/>
      <c r="Y384" s="861"/>
      <c r="Z384" s="861"/>
      <c r="AA384" s="861"/>
      <c r="AB384" s="861"/>
      <c r="AC384" s="861"/>
      <c r="AD384" s="861"/>
      <c r="AE384" s="861"/>
      <c r="AF384" s="861"/>
      <c r="AG384" s="861"/>
    </row>
    <row r="385" spans="1:33" ht="17.25" customHeight="1">
      <c r="A385" s="861"/>
      <c r="B385" s="861"/>
      <c r="C385" s="861"/>
      <c r="D385" s="861"/>
      <c r="E385" s="861"/>
      <c r="F385" s="861"/>
      <c r="G385" s="861"/>
      <c r="H385" s="861"/>
      <c r="I385" s="861"/>
      <c r="J385" s="861"/>
      <c r="K385" s="861"/>
      <c r="L385" s="861"/>
      <c r="M385" s="861"/>
      <c r="N385" s="861"/>
      <c r="O385" s="861"/>
      <c r="P385" s="861"/>
      <c r="Q385" s="861"/>
      <c r="R385" s="861"/>
      <c r="S385" s="861"/>
      <c r="T385" s="861"/>
      <c r="U385" s="861"/>
      <c r="V385" s="861"/>
      <c r="W385" s="861"/>
      <c r="X385" s="861"/>
      <c r="Y385" s="861"/>
      <c r="Z385" s="861"/>
      <c r="AA385" s="861"/>
      <c r="AB385" s="861"/>
      <c r="AC385" s="861"/>
      <c r="AD385" s="861"/>
      <c r="AE385" s="861"/>
      <c r="AF385" s="861"/>
      <c r="AG385" s="861"/>
    </row>
    <row r="386" spans="1:33" ht="17.25" customHeight="1">
      <c r="A386" s="861"/>
      <c r="B386" s="861"/>
      <c r="C386" s="861"/>
      <c r="D386" s="861"/>
      <c r="E386" s="861"/>
      <c r="F386" s="861"/>
      <c r="G386" s="861"/>
      <c r="H386" s="861"/>
      <c r="I386" s="861"/>
      <c r="J386" s="861"/>
      <c r="K386" s="861"/>
      <c r="L386" s="861"/>
      <c r="M386" s="861"/>
      <c r="N386" s="861"/>
      <c r="O386" s="861"/>
      <c r="P386" s="861"/>
      <c r="Q386" s="861"/>
      <c r="R386" s="861"/>
      <c r="S386" s="861"/>
      <c r="T386" s="861"/>
      <c r="U386" s="861"/>
      <c r="V386" s="861"/>
      <c r="W386" s="861"/>
      <c r="X386" s="861"/>
      <c r="Y386" s="861"/>
      <c r="Z386" s="861"/>
      <c r="AA386" s="861"/>
      <c r="AB386" s="861"/>
      <c r="AC386" s="861"/>
      <c r="AD386" s="861"/>
      <c r="AE386" s="861"/>
      <c r="AF386" s="861"/>
      <c r="AG386" s="861"/>
    </row>
    <row r="387" spans="1:33" ht="17.25" customHeight="1">
      <c r="A387" s="861"/>
      <c r="B387" s="861"/>
      <c r="C387" s="861"/>
      <c r="D387" s="861"/>
      <c r="E387" s="861"/>
      <c r="F387" s="861"/>
      <c r="G387" s="861"/>
      <c r="H387" s="861"/>
      <c r="I387" s="861"/>
      <c r="J387" s="861"/>
      <c r="K387" s="861"/>
      <c r="L387" s="861"/>
      <c r="M387" s="861"/>
      <c r="N387" s="861"/>
      <c r="O387" s="861"/>
      <c r="P387" s="861"/>
      <c r="Q387" s="861"/>
      <c r="R387" s="861"/>
      <c r="S387" s="861"/>
      <c r="T387" s="861"/>
      <c r="U387" s="861"/>
      <c r="V387" s="861"/>
      <c r="W387" s="861"/>
      <c r="X387" s="861"/>
      <c r="Y387" s="861"/>
      <c r="Z387" s="861"/>
      <c r="AA387" s="861"/>
      <c r="AB387" s="861"/>
      <c r="AC387" s="861"/>
      <c r="AD387" s="861"/>
      <c r="AE387" s="861"/>
      <c r="AF387" s="861"/>
      <c r="AG387" s="861"/>
    </row>
    <row r="388" spans="1:33" ht="17.25" customHeight="1">
      <c r="A388" s="861"/>
      <c r="B388" s="861"/>
      <c r="C388" s="861"/>
      <c r="D388" s="861"/>
      <c r="E388" s="861"/>
      <c r="F388" s="861"/>
      <c r="G388" s="861"/>
      <c r="H388" s="861"/>
      <c r="I388" s="861"/>
      <c r="J388" s="861"/>
      <c r="K388" s="861"/>
      <c r="L388" s="861"/>
      <c r="M388" s="861"/>
      <c r="N388" s="861"/>
      <c r="O388" s="861"/>
      <c r="P388" s="861"/>
      <c r="Q388" s="861"/>
      <c r="R388" s="861"/>
      <c r="S388" s="861"/>
      <c r="T388" s="861"/>
      <c r="U388" s="861"/>
      <c r="V388" s="861"/>
      <c r="W388" s="861"/>
      <c r="X388" s="861"/>
      <c r="Y388" s="861"/>
      <c r="Z388" s="861"/>
      <c r="AA388" s="861"/>
      <c r="AB388" s="861"/>
      <c r="AC388" s="861"/>
      <c r="AD388" s="861"/>
      <c r="AE388" s="861"/>
      <c r="AF388" s="861"/>
      <c r="AG388" s="861"/>
    </row>
    <row r="389" spans="1:33" ht="17.25" customHeight="1">
      <c r="A389" s="861"/>
      <c r="B389" s="861"/>
      <c r="C389" s="861"/>
      <c r="D389" s="861"/>
      <c r="E389" s="861"/>
      <c r="F389" s="861"/>
      <c r="G389" s="861"/>
      <c r="H389" s="861"/>
      <c r="I389" s="861"/>
      <c r="J389" s="861"/>
      <c r="K389" s="861"/>
      <c r="L389" s="861"/>
      <c r="M389" s="861"/>
      <c r="N389" s="861"/>
      <c r="O389" s="861"/>
      <c r="P389" s="861"/>
      <c r="Q389" s="861"/>
      <c r="R389" s="861"/>
      <c r="S389" s="861"/>
      <c r="T389" s="861"/>
      <c r="U389" s="861"/>
      <c r="V389" s="861"/>
      <c r="W389" s="861"/>
      <c r="X389" s="861"/>
      <c r="Y389" s="861"/>
      <c r="Z389" s="861"/>
      <c r="AA389" s="861"/>
      <c r="AB389" s="861"/>
      <c r="AC389" s="861"/>
      <c r="AD389" s="861"/>
      <c r="AE389" s="861"/>
      <c r="AF389" s="861"/>
      <c r="AG389" s="861"/>
    </row>
    <row r="390" spans="1:33" ht="17.25" customHeight="1">
      <c r="A390" s="861"/>
      <c r="B390" s="861"/>
      <c r="C390" s="861"/>
      <c r="D390" s="861"/>
      <c r="E390" s="861"/>
      <c r="F390" s="861"/>
      <c r="G390" s="861"/>
      <c r="H390" s="861"/>
      <c r="I390" s="861"/>
      <c r="J390" s="861"/>
      <c r="K390" s="861"/>
      <c r="L390" s="861"/>
      <c r="M390" s="861"/>
      <c r="N390" s="861"/>
      <c r="O390" s="861"/>
      <c r="P390" s="861"/>
      <c r="Q390" s="861"/>
      <c r="R390" s="861"/>
      <c r="S390" s="861"/>
      <c r="T390" s="861"/>
      <c r="U390" s="861"/>
      <c r="V390" s="861"/>
      <c r="W390" s="861"/>
      <c r="X390" s="861"/>
      <c r="Y390" s="861"/>
      <c r="Z390" s="861"/>
      <c r="AA390" s="861"/>
      <c r="AB390" s="861"/>
      <c r="AC390" s="861"/>
      <c r="AD390" s="861"/>
      <c r="AE390" s="861"/>
      <c r="AF390" s="861"/>
      <c r="AG390" s="861"/>
    </row>
    <row r="391" spans="1:33" ht="17.25" customHeight="1">
      <c r="A391" s="861"/>
      <c r="B391" s="861"/>
      <c r="C391" s="861"/>
      <c r="D391" s="861"/>
      <c r="E391" s="861"/>
      <c r="F391" s="861"/>
      <c r="G391" s="861"/>
      <c r="H391" s="861"/>
      <c r="I391" s="861"/>
      <c r="J391" s="861"/>
      <c r="K391" s="861"/>
      <c r="L391" s="861"/>
      <c r="M391" s="861"/>
      <c r="N391" s="861"/>
      <c r="O391" s="861"/>
      <c r="P391" s="861"/>
      <c r="Q391" s="861"/>
      <c r="R391" s="861"/>
      <c r="S391" s="861"/>
      <c r="T391" s="861"/>
      <c r="U391" s="861"/>
      <c r="V391" s="861"/>
      <c r="W391" s="861"/>
      <c r="X391" s="861"/>
      <c r="Y391" s="861"/>
      <c r="Z391" s="861"/>
      <c r="AA391" s="861"/>
      <c r="AB391" s="861"/>
      <c r="AC391" s="861"/>
      <c r="AD391" s="861"/>
      <c r="AE391" s="861"/>
      <c r="AF391" s="861"/>
      <c r="AG391" s="861"/>
    </row>
    <row r="392" spans="1:33" ht="17.25" customHeight="1">
      <c r="A392" s="861"/>
      <c r="B392" s="861"/>
      <c r="C392" s="861"/>
      <c r="D392" s="861"/>
      <c r="E392" s="861"/>
      <c r="F392" s="861"/>
      <c r="G392" s="861"/>
      <c r="H392" s="861"/>
      <c r="I392" s="861"/>
      <c r="J392" s="861"/>
      <c r="K392" s="861"/>
      <c r="L392" s="861"/>
      <c r="M392" s="861"/>
      <c r="N392" s="861"/>
      <c r="O392" s="861"/>
      <c r="P392" s="861"/>
      <c r="Q392" s="861"/>
      <c r="R392" s="861"/>
      <c r="S392" s="861"/>
      <c r="T392" s="861"/>
      <c r="U392" s="861"/>
      <c r="V392" s="861"/>
      <c r="W392" s="861"/>
      <c r="X392" s="861"/>
      <c r="Y392" s="861"/>
      <c r="Z392" s="861"/>
      <c r="AA392" s="861"/>
      <c r="AB392" s="861"/>
      <c r="AC392" s="861"/>
      <c r="AD392" s="861"/>
      <c r="AE392" s="861"/>
      <c r="AF392" s="861"/>
      <c r="AG392" s="861"/>
    </row>
    <row r="393" spans="1:33" ht="17.25" customHeight="1">
      <c r="A393" s="861"/>
      <c r="B393" s="861"/>
      <c r="C393" s="861"/>
      <c r="D393" s="861"/>
      <c r="E393" s="861"/>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row>
    <row r="394" spans="1:33" ht="17.25" customHeight="1">
      <c r="A394" s="861"/>
      <c r="B394" s="861"/>
      <c r="C394" s="861"/>
      <c r="D394" s="861"/>
      <c r="E394" s="861"/>
      <c r="F394" s="861"/>
      <c r="G394" s="861"/>
      <c r="H394" s="861"/>
      <c r="I394" s="861"/>
      <c r="J394" s="861"/>
      <c r="K394" s="861"/>
      <c r="L394" s="861"/>
      <c r="M394" s="861"/>
      <c r="N394" s="861"/>
      <c r="O394" s="861"/>
      <c r="P394" s="861"/>
      <c r="Q394" s="861"/>
      <c r="R394" s="861"/>
      <c r="S394" s="861"/>
      <c r="T394" s="861"/>
      <c r="U394" s="861"/>
      <c r="V394" s="861"/>
      <c r="W394" s="861"/>
      <c r="X394" s="861"/>
      <c r="Y394" s="861"/>
      <c r="Z394" s="861"/>
      <c r="AA394" s="861"/>
      <c r="AB394" s="861"/>
      <c r="AC394" s="861"/>
      <c r="AD394" s="861"/>
      <c r="AE394" s="861"/>
      <c r="AF394" s="861"/>
      <c r="AG394" s="861"/>
    </row>
    <row r="395" spans="1:33" ht="17.25" customHeight="1">
      <c r="A395" s="861"/>
      <c r="B395" s="861"/>
      <c r="C395" s="861"/>
      <c r="D395" s="861"/>
      <c r="E395" s="861"/>
      <c r="F395" s="861"/>
      <c r="G395" s="861"/>
      <c r="H395" s="861"/>
      <c r="I395" s="861"/>
      <c r="J395" s="861"/>
      <c r="K395" s="861"/>
      <c r="L395" s="861"/>
      <c r="M395" s="861"/>
      <c r="N395" s="861"/>
      <c r="O395" s="861"/>
      <c r="P395" s="861"/>
      <c r="Q395" s="861"/>
      <c r="R395" s="861"/>
      <c r="S395" s="861"/>
      <c r="T395" s="861"/>
      <c r="U395" s="861"/>
      <c r="V395" s="861"/>
      <c r="W395" s="861"/>
      <c r="X395" s="861"/>
      <c r="Y395" s="861"/>
      <c r="Z395" s="861"/>
      <c r="AA395" s="861"/>
      <c r="AB395" s="861"/>
      <c r="AC395" s="861"/>
      <c r="AD395" s="861"/>
      <c r="AE395" s="861"/>
      <c r="AF395" s="861"/>
      <c r="AG395" s="861"/>
    </row>
    <row r="396" spans="1:33" ht="17.25" customHeight="1">
      <c r="A396" s="861"/>
      <c r="B396" s="861"/>
      <c r="C396" s="861"/>
      <c r="D396" s="861"/>
      <c r="E396" s="861"/>
      <c r="F396" s="861"/>
      <c r="G396" s="861"/>
      <c r="H396" s="861"/>
      <c r="I396" s="861"/>
      <c r="J396" s="861"/>
      <c r="K396" s="861"/>
      <c r="L396" s="861"/>
      <c r="M396" s="861"/>
      <c r="N396" s="861"/>
      <c r="O396" s="861"/>
      <c r="P396" s="861"/>
      <c r="Q396" s="861"/>
      <c r="R396" s="861"/>
      <c r="S396" s="861"/>
      <c r="T396" s="861"/>
      <c r="U396" s="861"/>
      <c r="V396" s="861"/>
      <c r="W396" s="861"/>
      <c r="X396" s="861"/>
      <c r="Y396" s="861"/>
      <c r="Z396" s="861"/>
      <c r="AA396" s="861"/>
      <c r="AB396" s="861"/>
      <c r="AC396" s="861"/>
      <c r="AD396" s="861"/>
      <c r="AE396" s="861"/>
      <c r="AF396" s="861"/>
      <c r="AG396" s="861"/>
    </row>
    <row r="397" spans="1:33" ht="17.25" customHeight="1">
      <c r="A397" s="861"/>
      <c r="B397" s="861"/>
      <c r="C397" s="861"/>
      <c r="D397" s="861"/>
      <c r="E397" s="861"/>
      <c r="F397" s="861"/>
      <c r="G397" s="861"/>
      <c r="H397" s="861"/>
      <c r="I397" s="861"/>
      <c r="J397" s="861"/>
      <c r="K397" s="861"/>
      <c r="L397" s="861"/>
      <c r="M397" s="861"/>
      <c r="N397" s="861"/>
      <c r="O397" s="861"/>
      <c r="P397" s="861"/>
      <c r="Q397" s="861"/>
      <c r="R397" s="861"/>
      <c r="S397" s="861"/>
      <c r="T397" s="861"/>
      <c r="U397" s="861"/>
      <c r="V397" s="861"/>
      <c r="W397" s="861"/>
      <c r="X397" s="861"/>
      <c r="Y397" s="861"/>
      <c r="Z397" s="861"/>
      <c r="AA397" s="861"/>
      <c r="AB397" s="861"/>
      <c r="AC397" s="861"/>
      <c r="AD397" s="861"/>
      <c r="AE397" s="861"/>
      <c r="AF397" s="861"/>
      <c r="AG397" s="861"/>
    </row>
    <row r="398" spans="1:33" ht="17.25" customHeight="1">
      <c r="A398" s="861"/>
      <c r="B398" s="861"/>
      <c r="C398" s="861"/>
      <c r="D398" s="861"/>
      <c r="E398" s="861"/>
      <c r="F398" s="861"/>
      <c r="G398" s="861"/>
      <c r="H398" s="861"/>
      <c r="I398" s="861"/>
      <c r="J398" s="861"/>
      <c r="K398" s="861"/>
      <c r="L398" s="861"/>
      <c r="M398" s="861"/>
      <c r="N398" s="861"/>
      <c r="O398" s="861"/>
      <c r="P398" s="861"/>
      <c r="Q398" s="861"/>
      <c r="R398" s="861"/>
      <c r="S398" s="861"/>
      <c r="T398" s="861"/>
      <c r="U398" s="861"/>
      <c r="V398" s="861"/>
      <c r="W398" s="861"/>
      <c r="X398" s="861"/>
      <c r="Y398" s="861"/>
      <c r="Z398" s="861"/>
      <c r="AA398" s="861"/>
      <c r="AB398" s="861"/>
      <c r="AC398" s="861"/>
      <c r="AD398" s="861"/>
      <c r="AE398" s="861"/>
      <c r="AF398" s="861"/>
      <c r="AG398" s="861"/>
    </row>
    <row r="399" spans="1:33" ht="17.25" customHeight="1">
      <c r="A399" s="861"/>
      <c r="B399" s="861"/>
      <c r="C399" s="861"/>
      <c r="D399" s="861"/>
      <c r="E399" s="861"/>
      <c r="F399" s="861"/>
      <c r="G399" s="861"/>
      <c r="H399" s="861"/>
      <c r="I399" s="861"/>
      <c r="J399" s="861"/>
      <c r="K399" s="861"/>
      <c r="L399" s="861"/>
      <c r="M399" s="861"/>
      <c r="N399" s="861"/>
      <c r="O399" s="861"/>
      <c r="P399" s="861"/>
      <c r="Q399" s="861"/>
      <c r="R399" s="861"/>
      <c r="S399" s="861"/>
      <c r="T399" s="861"/>
      <c r="U399" s="861"/>
      <c r="V399" s="861"/>
      <c r="W399" s="861"/>
      <c r="X399" s="861"/>
      <c r="Y399" s="861"/>
      <c r="Z399" s="861"/>
      <c r="AA399" s="861"/>
      <c r="AB399" s="861"/>
      <c r="AC399" s="861"/>
      <c r="AD399" s="861"/>
      <c r="AE399" s="861"/>
      <c r="AF399" s="861"/>
      <c r="AG399" s="861"/>
    </row>
    <row r="400" spans="1:33" ht="17.25" customHeight="1">
      <c r="A400" s="861"/>
      <c r="B400" s="861"/>
      <c r="C400" s="861"/>
      <c r="D400" s="861"/>
      <c r="E400" s="861"/>
      <c r="F400" s="861"/>
      <c r="G400" s="861"/>
      <c r="H400" s="861"/>
      <c r="I400" s="861"/>
      <c r="J400" s="861"/>
      <c r="K400" s="861"/>
      <c r="L400" s="861"/>
      <c r="M400" s="861"/>
      <c r="N400" s="861"/>
      <c r="O400" s="861"/>
      <c r="P400" s="861"/>
      <c r="Q400" s="861"/>
      <c r="R400" s="861"/>
      <c r="S400" s="861"/>
      <c r="T400" s="861"/>
      <c r="U400" s="861"/>
      <c r="V400" s="861"/>
      <c r="W400" s="861"/>
      <c r="X400" s="861"/>
      <c r="Y400" s="861"/>
      <c r="Z400" s="861"/>
      <c r="AA400" s="861"/>
      <c r="AB400" s="861"/>
      <c r="AC400" s="861"/>
      <c r="AD400" s="861"/>
      <c r="AE400" s="861"/>
      <c r="AF400" s="861"/>
      <c r="AG400" s="861"/>
    </row>
    <row r="401" spans="1:33" ht="17.25" customHeight="1">
      <c r="A401" s="861"/>
      <c r="B401" s="861"/>
      <c r="C401" s="861"/>
      <c r="D401" s="861"/>
      <c r="E401" s="861"/>
      <c r="F401" s="861"/>
      <c r="G401" s="861"/>
      <c r="H401" s="861"/>
      <c r="I401" s="861"/>
      <c r="J401" s="861"/>
      <c r="K401" s="861"/>
      <c r="L401" s="861"/>
      <c r="M401" s="861"/>
      <c r="N401" s="861"/>
      <c r="O401" s="861"/>
      <c r="P401" s="861"/>
      <c r="Q401" s="861"/>
      <c r="R401" s="861"/>
      <c r="S401" s="861"/>
      <c r="T401" s="861"/>
      <c r="U401" s="861"/>
      <c r="V401" s="861"/>
      <c r="W401" s="861"/>
      <c r="X401" s="861"/>
      <c r="Y401" s="861"/>
      <c r="Z401" s="861"/>
      <c r="AA401" s="861"/>
      <c r="AB401" s="861"/>
      <c r="AC401" s="861"/>
      <c r="AD401" s="861"/>
      <c r="AE401" s="861"/>
      <c r="AF401" s="861"/>
      <c r="AG401" s="861"/>
    </row>
    <row r="402" spans="1:33" ht="17.25" customHeight="1">
      <c r="A402" s="861"/>
      <c r="B402" s="861"/>
      <c r="C402" s="861"/>
      <c r="D402" s="861"/>
      <c r="E402" s="861"/>
      <c r="F402" s="861"/>
      <c r="G402" s="861"/>
      <c r="H402" s="861"/>
      <c r="I402" s="861"/>
      <c r="J402" s="861"/>
      <c r="K402" s="861"/>
      <c r="L402" s="861"/>
      <c r="M402" s="861"/>
      <c r="N402" s="861"/>
      <c r="O402" s="861"/>
      <c r="P402" s="861"/>
      <c r="Q402" s="861"/>
      <c r="R402" s="861"/>
      <c r="S402" s="861"/>
      <c r="T402" s="861"/>
      <c r="U402" s="861"/>
      <c r="V402" s="861"/>
      <c r="W402" s="861"/>
      <c r="X402" s="861"/>
      <c r="Y402" s="861"/>
      <c r="Z402" s="861"/>
      <c r="AA402" s="861"/>
      <c r="AB402" s="861"/>
      <c r="AC402" s="861"/>
      <c r="AD402" s="861"/>
      <c r="AE402" s="861"/>
      <c r="AF402" s="861"/>
      <c r="AG402" s="861"/>
    </row>
    <row r="403" spans="1:33" ht="17.25" customHeight="1">
      <c r="A403" s="861"/>
      <c r="B403" s="861"/>
      <c r="C403" s="861"/>
      <c r="D403" s="861"/>
      <c r="E403" s="861"/>
      <c r="F403" s="861"/>
      <c r="G403" s="861"/>
      <c r="H403" s="861"/>
      <c r="I403" s="861"/>
      <c r="J403" s="861"/>
      <c r="K403" s="861"/>
      <c r="L403" s="861"/>
      <c r="M403" s="861"/>
      <c r="N403" s="861"/>
      <c r="O403" s="861"/>
      <c r="P403" s="861"/>
      <c r="Q403" s="861"/>
      <c r="R403" s="861"/>
      <c r="S403" s="861"/>
      <c r="T403" s="861"/>
      <c r="U403" s="861"/>
      <c r="V403" s="861"/>
      <c r="W403" s="861"/>
      <c r="X403" s="861"/>
      <c r="Y403" s="861"/>
      <c r="Z403" s="861"/>
      <c r="AA403" s="861"/>
      <c r="AB403" s="861"/>
      <c r="AC403" s="861"/>
      <c r="AD403" s="861"/>
      <c r="AE403" s="861"/>
      <c r="AF403" s="861"/>
      <c r="AG403" s="861"/>
    </row>
    <row r="404" spans="1:33" ht="17.25" customHeight="1">
      <c r="A404" s="861"/>
      <c r="B404" s="861"/>
      <c r="C404" s="861"/>
      <c r="D404" s="861"/>
      <c r="E404" s="861"/>
      <c r="F404" s="861"/>
      <c r="G404" s="861"/>
      <c r="H404" s="861"/>
      <c r="I404" s="861"/>
      <c r="J404" s="861"/>
      <c r="K404" s="861"/>
      <c r="L404" s="861"/>
      <c r="M404" s="861"/>
      <c r="N404" s="861"/>
      <c r="O404" s="861"/>
      <c r="P404" s="861"/>
      <c r="Q404" s="861"/>
      <c r="R404" s="861"/>
      <c r="S404" s="861"/>
      <c r="T404" s="861"/>
      <c r="U404" s="861"/>
      <c r="V404" s="861"/>
      <c r="W404" s="861"/>
      <c r="X404" s="861"/>
      <c r="Y404" s="861"/>
      <c r="Z404" s="861"/>
      <c r="AA404" s="861"/>
      <c r="AB404" s="861"/>
      <c r="AC404" s="861"/>
      <c r="AD404" s="861"/>
      <c r="AE404" s="861"/>
      <c r="AF404" s="861"/>
      <c r="AG404" s="861"/>
    </row>
    <row r="405" spans="1:33" ht="17.25" customHeight="1">
      <c r="A405" s="861"/>
      <c r="B405" s="861"/>
      <c r="C405" s="861"/>
      <c r="D405" s="861"/>
      <c r="E405" s="861"/>
      <c r="F405" s="861"/>
      <c r="G405" s="861"/>
      <c r="H405" s="861"/>
      <c r="I405" s="861"/>
      <c r="J405" s="861"/>
      <c r="K405" s="861"/>
      <c r="L405" s="861"/>
      <c r="M405" s="861"/>
      <c r="N405" s="861"/>
      <c r="O405" s="861"/>
      <c r="P405" s="861"/>
      <c r="Q405" s="861"/>
      <c r="R405" s="861"/>
      <c r="S405" s="861"/>
      <c r="T405" s="861"/>
      <c r="U405" s="861"/>
      <c r="V405" s="861"/>
      <c r="W405" s="861"/>
      <c r="X405" s="861"/>
      <c r="Y405" s="861"/>
      <c r="Z405" s="861"/>
      <c r="AA405" s="861"/>
      <c r="AB405" s="861"/>
      <c r="AC405" s="861"/>
      <c r="AD405" s="861"/>
      <c r="AE405" s="861"/>
      <c r="AF405" s="861"/>
      <c r="AG405" s="861"/>
    </row>
    <row r="406" spans="1:33" ht="17.25" customHeight="1">
      <c r="A406" s="861"/>
      <c r="B406" s="861"/>
      <c r="C406" s="861"/>
      <c r="D406" s="861"/>
      <c r="E406" s="861"/>
      <c r="F406" s="861"/>
      <c r="G406" s="861"/>
      <c r="H406" s="861"/>
      <c r="I406" s="861"/>
      <c r="J406" s="861"/>
      <c r="K406" s="861"/>
      <c r="L406" s="861"/>
      <c r="M406" s="861"/>
      <c r="N406" s="861"/>
      <c r="O406" s="861"/>
      <c r="P406" s="861"/>
      <c r="Q406" s="861"/>
      <c r="R406" s="861"/>
      <c r="S406" s="861"/>
      <c r="T406" s="861"/>
      <c r="U406" s="861"/>
      <c r="V406" s="861"/>
      <c r="W406" s="861"/>
      <c r="X406" s="861"/>
      <c r="Y406" s="861"/>
      <c r="Z406" s="861"/>
      <c r="AA406" s="861"/>
      <c r="AB406" s="861"/>
      <c r="AC406" s="861"/>
      <c r="AD406" s="861"/>
      <c r="AE406" s="861"/>
      <c r="AF406" s="861"/>
      <c r="AG406" s="861"/>
    </row>
    <row r="407" spans="1:33" ht="17.25" customHeight="1">
      <c r="A407" s="861"/>
      <c r="B407" s="861"/>
      <c r="C407" s="861"/>
      <c r="D407" s="861"/>
      <c r="E407" s="861"/>
      <c r="F407" s="861"/>
      <c r="G407" s="861"/>
      <c r="H407" s="861"/>
      <c r="I407" s="861"/>
      <c r="J407" s="861"/>
      <c r="K407" s="861"/>
      <c r="L407" s="861"/>
      <c r="M407" s="861"/>
      <c r="N407" s="861"/>
      <c r="O407" s="861"/>
      <c r="P407" s="861"/>
      <c r="Q407" s="861"/>
      <c r="R407" s="861"/>
      <c r="S407" s="861"/>
      <c r="T407" s="861"/>
      <c r="U407" s="861"/>
      <c r="V407" s="861"/>
      <c r="W407" s="861"/>
      <c r="X407" s="861"/>
      <c r="Y407" s="861"/>
      <c r="Z407" s="861"/>
      <c r="AA407" s="861"/>
      <c r="AB407" s="861"/>
      <c r="AC407" s="861"/>
      <c r="AD407" s="861"/>
      <c r="AE407" s="861"/>
      <c r="AF407" s="861"/>
      <c r="AG407" s="861"/>
    </row>
    <row r="408" spans="1:33" ht="17.25" customHeight="1">
      <c r="A408" s="861"/>
      <c r="B408" s="861"/>
      <c r="C408" s="861"/>
      <c r="D408" s="861"/>
      <c r="E408" s="861"/>
      <c r="F408" s="861"/>
      <c r="G408" s="861"/>
      <c r="H408" s="861"/>
      <c r="I408" s="861"/>
      <c r="J408" s="861"/>
      <c r="K408" s="861"/>
      <c r="L408" s="861"/>
      <c r="M408" s="861"/>
      <c r="N408" s="861"/>
      <c r="O408" s="861"/>
      <c r="P408" s="861"/>
      <c r="Q408" s="861"/>
      <c r="R408" s="861"/>
      <c r="S408" s="861"/>
      <c r="T408" s="861"/>
      <c r="U408" s="861"/>
      <c r="V408" s="861"/>
      <c r="W408" s="861"/>
      <c r="X408" s="861"/>
      <c r="Y408" s="861"/>
      <c r="Z408" s="861"/>
      <c r="AA408" s="861"/>
      <c r="AB408" s="861"/>
      <c r="AC408" s="861"/>
      <c r="AD408" s="861"/>
      <c r="AE408" s="861"/>
      <c r="AF408" s="861"/>
      <c r="AG408" s="861"/>
    </row>
    <row r="409" spans="1:33" ht="17.25" customHeight="1">
      <c r="A409" s="861"/>
      <c r="B409" s="861"/>
      <c r="C409" s="861"/>
      <c r="D409" s="861"/>
      <c r="E409" s="861"/>
      <c r="F409" s="861"/>
      <c r="G409" s="861"/>
      <c r="H409" s="861"/>
      <c r="I409" s="861"/>
      <c r="J409" s="861"/>
      <c r="K409" s="861"/>
      <c r="L409" s="861"/>
      <c r="M409" s="861"/>
      <c r="N409" s="861"/>
      <c r="O409" s="861"/>
      <c r="P409" s="861"/>
      <c r="Q409" s="861"/>
      <c r="R409" s="861"/>
      <c r="S409" s="861"/>
      <c r="T409" s="861"/>
      <c r="U409" s="861"/>
      <c r="V409" s="861"/>
      <c r="W409" s="861"/>
      <c r="X409" s="861"/>
      <c r="Y409" s="861"/>
      <c r="Z409" s="861"/>
      <c r="AA409" s="861"/>
      <c r="AB409" s="861"/>
      <c r="AC409" s="861"/>
      <c r="AD409" s="861"/>
      <c r="AE409" s="861"/>
      <c r="AF409" s="861"/>
      <c r="AG409" s="861"/>
    </row>
    <row r="410" spans="1:33" ht="17.25" customHeight="1">
      <c r="A410" s="861"/>
      <c r="B410" s="861"/>
      <c r="C410" s="861"/>
      <c r="D410" s="861"/>
      <c r="E410" s="861"/>
      <c r="F410" s="861"/>
      <c r="G410" s="861"/>
      <c r="H410" s="861"/>
      <c r="I410" s="861"/>
      <c r="J410" s="861"/>
      <c r="K410" s="861"/>
      <c r="L410" s="861"/>
      <c r="M410" s="861"/>
      <c r="N410" s="861"/>
      <c r="O410" s="861"/>
      <c r="P410" s="861"/>
      <c r="Q410" s="861"/>
      <c r="R410" s="861"/>
      <c r="S410" s="861"/>
      <c r="T410" s="861"/>
      <c r="U410" s="861"/>
      <c r="V410" s="861"/>
      <c r="W410" s="861"/>
      <c r="X410" s="861"/>
      <c r="Y410" s="861"/>
      <c r="Z410" s="861"/>
      <c r="AA410" s="861"/>
      <c r="AB410" s="861"/>
      <c r="AC410" s="861"/>
      <c r="AD410" s="861"/>
      <c r="AE410" s="861"/>
      <c r="AF410" s="861"/>
      <c r="AG410" s="861"/>
    </row>
    <row r="411" spans="1:33" ht="17.25" customHeight="1">
      <c r="A411" s="861"/>
      <c r="B411" s="861"/>
      <c r="C411" s="861"/>
      <c r="D411" s="861"/>
      <c r="E411" s="861"/>
      <c r="F411" s="861"/>
      <c r="G411" s="861"/>
      <c r="H411" s="861"/>
      <c r="I411" s="861"/>
      <c r="J411" s="861"/>
      <c r="K411" s="861"/>
      <c r="L411" s="861"/>
      <c r="M411" s="861"/>
      <c r="N411" s="861"/>
      <c r="O411" s="861"/>
      <c r="P411" s="861"/>
      <c r="Q411" s="861"/>
      <c r="R411" s="861"/>
      <c r="S411" s="861"/>
      <c r="T411" s="861"/>
      <c r="U411" s="861"/>
      <c r="V411" s="861"/>
      <c r="W411" s="861"/>
      <c r="X411" s="861"/>
      <c r="Y411" s="861"/>
      <c r="Z411" s="861"/>
      <c r="AA411" s="861"/>
      <c r="AB411" s="861"/>
      <c r="AC411" s="861"/>
      <c r="AD411" s="861"/>
      <c r="AE411" s="861"/>
      <c r="AF411" s="861"/>
      <c r="AG411" s="861"/>
    </row>
    <row r="412" spans="1:33" ht="17.25" customHeight="1">
      <c r="A412" s="861"/>
      <c r="B412" s="861"/>
      <c r="C412" s="861"/>
      <c r="D412" s="861"/>
      <c r="E412" s="861"/>
      <c r="F412" s="861"/>
      <c r="G412" s="861"/>
      <c r="H412" s="861"/>
      <c r="I412" s="861"/>
      <c r="J412" s="861"/>
      <c r="K412" s="861"/>
      <c r="L412" s="861"/>
      <c r="M412" s="861"/>
      <c r="N412" s="861"/>
      <c r="O412" s="861"/>
      <c r="P412" s="861"/>
      <c r="Q412" s="861"/>
      <c r="R412" s="861"/>
      <c r="S412" s="861"/>
      <c r="T412" s="861"/>
      <c r="U412" s="861"/>
      <c r="V412" s="861"/>
      <c r="W412" s="861"/>
      <c r="X412" s="861"/>
      <c r="Y412" s="861"/>
      <c r="Z412" s="861"/>
      <c r="AA412" s="861"/>
      <c r="AB412" s="861"/>
      <c r="AC412" s="861"/>
      <c r="AD412" s="861"/>
      <c r="AE412" s="861"/>
      <c r="AF412" s="861"/>
      <c r="AG412" s="861"/>
    </row>
    <row r="413" spans="1:33" ht="17.25" customHeight="1">
      <c r="A413" s="861"/>
      <c r="B413" s="861"/>
      <c r="C413" s="861"/>
      <c r="D413" s="861"/>
      <c r="E413" s="861"/>
      <c r="F413" s="861"/>
      <c r="G413" s="861"/>
      <c r="H413" s="861"/>
      <c r="I413" s="861"/>
      <c r="J413" s="861"/>
      <c r="K413" s="861"/>
      <c r="L413" s="861"/>
      <c r="M413" s="861"/>
      <c r="N413" s="861"/>
      <c r="O413" s="861"/>
      <c r="P413" s="861"/>
      <c r="Q413" s="861"/>
      <c r="R413" s="861"/>
      <c r="S413" s="861"/>
      <c r="T413" s="861"/>
      <c r="U413" s="861"/>
      <c r="V413" s="861"/>
      <c r="W413" s="861"/>
      <c r="X413" s="861"/>
      <c r="Y413" s="861"/>
      <c r="Z413" s="861"/>
      <c r="AA413" s="861"/>
      <c r="AB413" s="861"/>
      <c r="AC413" s="861"/>
      <c r="AD413" s="861"/>
      <c r="AE413" s="861"/>
      <c r="AF413" s="861"/>
      <c r="AG413" s="861"/>
    </row>
    <row r="414" spans="1:33" ht="17.25" customHeight="1">
      <c r="A414" s="861"/>
      <c r="B414" s="861"/>
      <c r="C414" s="861"/>
      <c r="D414" s="861"/>
      <c r="E414" s="861"/>
      <c r="F414" s="861"/>
      <c r="G414" s="861"/>
      <c r="H414" s="861"/>
      <c r="I414" s="861"/>
      <c r="J414" s="861"/>
      <c r="K414" s="861"/>
      <c r="L414" s="861"/>
      <c r="M414" s="861"/>
      <c r="N414" s="861"/>
      <c r="O414" s="861"/>
      <c r="P414" s="861"/>
      <c r="Q414" s="861"/>
      <c r="R414" s="861"/>
      <c r="S414" s="861"/>
      <c r="T414" s="861"/>
      <c r="U414" s="861"/>
      <c r="V414" s="861"/>
      <c r="W414" s="861"/>
      <c r="X414" s="861"/>
      <c r="Y414" s="861"/>
      <c r="Z414" s="861"/>
      <c r="AA414" s="861"/>
      <c r="AB414" s="861"/>
      <c r="AC414" s="861"/>
      <c r="AD414" s="861"/>
      <c r="AE414" s="861"/>
      <c r="AF414" s="861"/>
      <c r="AG414" s="861"/>
    </row>
    <row r="415" spans="1:33" ht="17.25" customHeight="1">
      <c r="A415" s="861"/>
      <c r="B415" s="861"/>
      <c r="C415" s="861"/>
      <c r="D415" s="861"/>
      <c r="E415" s="861"/>
      <c r="F415" s="861"/>
      <c r="G415" s="861"/>
      <c r="H415" s="861"/>
      <c r="I415" s="861"/>
      <c r="J415" s="861"/>
      <c r="K415" s="861"/>
      <c r="L415" s="861"/>
      <c r="M415" s="861"/>
      <c r="N415" s="861"/>
      <c r="O415" s="861"/>
      <c r="P415" s="861"/>
      <c r="Q415" s="861"/>
      <c r="R415" s="861"/>
      <c r="S415" s="861"/>
      <c r="T415" s="861"/>
      <c r="U415" s="861"/>
      <c r="V415" s="861"/>
      <c r="W415" s="861"/>
      <c r="X415" s="861"/>
      <c r="Y415" s="861"/>
      <c r="Z415" s="861"/>
      <c r="AA415" s="861"/>
      <c r="AB415" s="861"/>
      <c r="AC415" s="861"/>
      <c r="AD415" s="861"/>
      <c r="AE415" s="861"/>
      <c r="AF415" s="861"/>
      <c r="AG415" s="861"/>
    </row>
    <row r="416" spans="1:33" ht="17.25" customHeight="1">
      <c r="A416" s="861"/>
      <c r="B416" s="861"/>
      <c r="C416" s="861"/>
      <c r="D416" s="861"/>
      <c r="E416" s="861"/>
      <c r="F416" s="861"/>
      <c r="G416" s="861"/>
      <c r="H416" s="861"/>
      <c r="I416" s="861"/>
      <c r="J416" s="861"/>
      <c r="K416" s="861"/>
      <c r="L416" s="861"/>
      <c r="M416" s="861"/>
      <c r="N416" s="861"/>
      <c r="O416" s="861"/>
      <c r="P416" s="861"/>
      <c r="Q416" s="861"/>
      <c r="R416" s="861"/>
      <c r="S416" s="861"/>
      <c r="T416" s="861"/>
      <c r="U416" s="861"/>
      <c r="V416" s="861"/>
      <c r="W416" s="861"/>
      <c r="X416" s="861"/>
      <c r="Y416" s="861"/>
      <c r="Z416" s="861"/>
      <c r="AA416" s="861"/>
      <c r="AB416" s="861"/>
      <c r="AC416" s="861"/>
      <c r="AD416" s="861"/>
      <c r="AE416" s="861"/>
      <c r="AF416" s="861"/>
      <c r="AG416" s="861"/>
    </row>
    <row r="417" spans="1:33" ht="17.25" customHeight="1">
      <c r="A417" s="861"/>
      <c r="B417" s="861"/>
      <c r="C417" s="861"/>
      <c r="D417" s="861"/>
      <c r="E417" s="861"/>
      <c r="F417" s="861"/>
      <c r="G417" s="861"/>
      <c r="H417" s="861"/>
      <c r="I417" s="861"/>
      <c r="J417" s="861"/>
      <c r="K417" s="861"/>
      <c r="L417" s="861"/>
      <c r="M417" s="861"/>
      <c r="N417" s="861"/>
      <c r="O417" s="861"/>
      <c r="P417" s="861"/>
      <c r="Q417" s="861"/>
      <c r="R417" s="861"/>
      <c r="S417" s="861"/>
      <c r="T417" s="861"/>
      <c r="U417" s="861"/>
      <c r="V417" s="861"/>
      <c r="W417" s="861"/>
      <c r="X417" s="861"/>
      <c r="Y417" s="861"/>
      <c r="Z417" s="861"/>
      <c r="AA417" s="861"/>
      <c r="AB417" s="861"/>
      <c r="AC417" s="861"/>
      <c r="AD417" s="861"/>
      <c r="AE417" s="861"/>
      <c r="AF417" s="861"/>
      <c r="AG417" s="861"/>
    </row>
    <row r="418" spans="1:33" ht="17.25" customHeight="1">
      <c r="A418" s="861"/>
      <c r="B418" s="861"/>
      <c r="C418" s="861"/>
      <c r="D418" s="861"/>
      <c r="E418" s="861"/>
      <c r="F418" s="861"/>
      <c r="G418" s="861"/>
      <c r="H418" s="861"/>
      <c r="I418" s="861"/>
      <c r="J418" s="861"/>
      <c r="K418" s="861"/>
      <c r="L418" s="861"/>
      <c r="M418" s="861"/>
      <c r="N418" s="861"/>
      <c r="O418" s="861"/>
      <c r="P418" s="861"/>
      <c r="Q418" s="861"/>
      <c r="R418" s="861"/>
      <c r="S418" s="861"/>
      <c r="T418" s="861"/>
      <c r="U418" s="861"/>
      <c r="V418" s="861"/>
      <c r="W418" s="861"/>
      <c r="X418" s="861"/>
      <c r="Y418" s="861"/>
      <c r="Z418" s="861"/>
      <c r="AA418" s="861"/>
      <c r="AB418" s="861"/>
      <c r="AC418" s="861"/>
      <c r="AD418" s="861"/>
      <c r="AE418" s="861"/>
      <c r="AF418" s="861"/>
      <c r="AG418" s="861"/>
    </row>
    <row r="419" spans="1:33" ht="17.25" customHeight="1">
      <c r="A419" s="861"/>
      <c r="B419" s="861"/>
      <c r="C419" s="861"/>
      <c r="D419" s="861"/>
      <c r="E419" s="861"/>
      <c r="F419" s="861"/>
      <c r="G419" s="861"/>
      <c r="H419" s="861"/>
      <c r="I419" s="861"/>
      <c r="J419" s="861"/>
      <c r="K419" s="861"/>
      <c r="L419" s="861"/>
      <c r="M419" s="861"/>
      <c r="N419" s="861"/>
      <c r="O419" s="861"/>
      <c r="P419" s="861"/>
      <c r="Q419" s="861"/>
      <c r="R419" s="861"/>
      <c r="S419" s="861"/>
      <c r="T419" s="861"/>
      <c r="U419" s="861"/>
      <c r="V419" s="861"/>
      <c r="W419" s="861"/>
      <c r="X419" s="861"/>
      <c r="Y419" s="861"/>
      <c r="Z419" s="861"/>
      <c r="AA419" s="861"/>
      <c r="AB419" s="861"/>
      <c r="AC419" s="861"/>
      <c r="AD419" s="861"/>
      <c r="AE419" s="861"/>
      <c r="AF419" s="861"/>
      <c r="AG419" s="861"/>
    </row>
    <row r="420" spans="1:33" ht="17.25" customHeight="1">
      <c r="A420" s="861"/>
      <c r="B420" s="861"/>
      <c r="C420" s="861"/>
      <c r="D420" s="861"/>
      <c r="E420" s="861"/>
      <c r="F420" s="861"/>
      <c r="G420" s="861"/>
      <c r="H420" s="861"/>
      <c r="I420" s="861"/>
      <c r="J420" s="861"/>
      <c r="K420" s="861"/>
      <c r="L420" s="861"/>
      <c r="M420" s="861"/>
      <c r="N420" s="861"/>
      <c r="O420" s="861"/>
      <c r="P420" s="861"/>
      <c r="Q420" s="861"/>
      <c r="R420" s="861"/>
      <c r="S420" s="861"/>
      <c r="T420" s="861"/>
      <c r="U420" s="861"/>
      <c r="V420" s="861"/>
      <c r="W420" s="861"/>
      <c r="X420" s="861"/>
      <c r="Y420" s="861"/>
      <c r="Z420" s="861"/>
      <c r="AA420" s="861"/>
      <c r="AB420" s="861"/>
      <c r="AC420" s="861"/>
      <c r="AD420" s="861"/>
      <c r="AE420" s="861"/>
      <c r="AF420" s="861"/>
      <c r="AG420" s="861"/>
    </row>
    <row r="421" spans="1:33" ht="17.25" customHeight="1">
      <c r="A421" s="861"/>
      <c r="B421" s="861"/>
      <c r="C421" s="861"/>
      <c r="D421" s="861"/>
      <c r="E421" s="861"/>
      <c r="F421" s="861"/>
      <c r="G421" s="861"/>
      <c r="H421" s="861"/>
      <c r="I421" s="861"/>
      <c r="J421" s="861"/>
      <c r="K421" s="861"/>
      <c r="L421" s="861"/>
      <c r="M421" s="861"/>
      <c r="N421" s="861"/>
      <c r="O421" s="861"/>
      <c r="P421" s="861"/>
      <c r="Q421" s="861"/>
      <c r="R421" s="861"/>
      <c r="S421" s="861"/>
      <c r="T421" s="861"/>
      <c r="U421" s="861"/>
      <c r="V421" s="861"/>
      <c r="W421" s="861"/>
      <c r="X421" s="861"/>
      <c r="Y421" s="861"/>
      <c r="Z421" s="861"/>
      <c r="AA421" s="861"/>
      <c r="AB421" s="861"/>
      <c r="AC421" s="861"/>
      <c r="AD421" s="861"/>
      <c r="AE421" s="861"/>
      <c r="AF421" s="861"/>
      <c r="AG421" s="861"/>
    </row>
    <row r="422" spans="1:33" ht="17.25" customHeight="1">
      <c r="A422" s="861"/>
      <c r="B422" s="861"/>
      <c r="C422" s="861"/>
      <c r="D422" s="861"/>
      <c r="E422" s="861"/>
      <c r="F422" s="861"/>
      <c r="G422" s="861"/>
      <c r="H422" s="861"/>
      <c r="I422" s="861"/>
      <c r="J422" s="861"/>
      <c r="K422" s="861"/>
      <c r="L422" s="861"/>
      <c r="M422" s="861"/>
      <c r="N422" s="861"/>
      <c r="O422" s="861"/>
      <c r="P422" s="861"/>
      <c r="Q422" s="861"/>
      <c r="R422" s="861"/>
      <c r="S422" s="861"/>
      <c r="T422" s="861"/>
      <c r="U422" s="861"/>
      <c r="V422" s="861"/>
      <c r="W422" s="861"/>
      <c r="X422" s="861"/>
      <c r="Y422" s="861"/>
      <c r="Z422" s="861"/>
      <c r="AA422" s="861"/>
      <c r="AB422" s="861"/>
      <c r="AC422" s="861"/>
      <c r="AD422" s="861"/>
      <c r="AE422" s="861"/>
      <c r="AF422" s="861"/>
      <c r="AG422" s="861"/>
    </row>
    <row r="423" spans="1:33" ht="17.25" customHeight="1">
      <c r="A423" s="861"/>
      <c r="B423" s="861"/>
      <c r="C423" s="861"/>
      <c r="D423" s="861"/>
      <c r="E423" s="861"/>
      <c r="F423" s="861"/>
      <c r="G423" s="861"/>
      <c r="H423" s="861"/>
      <c r="I423" s="861"/>
      <c r="J423" s="861"/>
      <c r="K423" s="861"/>
      <c r="L423" s="861"/>
      <c r="M423" s="861"/>
      <c r="N423" s="861"/>
      <c r="O423" s="861"/>
      <c r="P423" s="861"/>
      <c r="Q423" s="861"/>
      <c r="R423" s="861"/>
      <c r="S423" s="861"/>
      <c r="T423" s="861"/>
      <c r="U423" s="861"/>
      <c r="V423" s="861"/>
      <c r="W423" s="861"/>
      <c r="X423" s="861"/>
      <c r="Y423" s="861"/>
      <c r="Z423" s="861"/>
      <c r="AA423" s="861"/>
      <c r="AB423" s="861"/>
      <c r="AC423" s="861"/>
      <c r="AD423" s="861"/>
      <c r="AE423" s="861"/>
      <c r="AF423" s="861"/>
      <c r="AG423" s="861"/>
    </row>
    <row r="424" spans="1:33" ht="17.25" customHeight="1">
      <c r="A424" s="861"/>
      <c r="B424" s="861"/>
      <c r="C424" s="861"/>
      <c r="D424" s="861"/>
      <c r="E424" s="861"/>
      <c r="F424" s="861"/>
      <c r="G424" s="861"/>
      <c r="H424" s="861"/>
      <c r="I424" s="861"/>
      <c r="J424" s="861"/>
      <c r="K424" s="861"/>
      <c r="L424" s="861"/>
      <c r="M424" s="861"/>
      <c r="N424" s="861"/>
      <c r="O424" s="861"/>
      <c r="P424" s="861"/>
      <c r="Q424" s="861"/>
      <c r="R424" s="861"/>
      <c r="S424" s="861"/>
      <c r="T424" s="861"/>
      <c r="U424" s="861"/>
      <c r="V424" s="861"/>
      <c r="W424" s="861"/>
      <c r="X424" s="861"/>
      <c r="Y424" s="861"/>
      <c r="Z424" s="861"/>
      <c r="AA424" s="861"/>
      <c r="AB424" s="861"/>
      <c r="AC424" s="861"/>
      <c r="AD424" s="861"/>
      <c r="AE424" s="861"/>
      <c r="AF424" s="861"/>
      <c r="AG424" s="861"/>
    </row>
    <row r="425" spans="1:33" ht="17.25" customHeight="1">
      <c r="A425" s="861"/>
      <c r="B425" s="861"/>
      <c r="C425" s="861"/>
      <c r="D425" s="861"/>
      <c r="E425" s="861"/>
      <c r="F425" s="861"/>
      <c r="G425" s="861"/>
      <c r="H425" s="861"/>
      <c r="I425" s="861"/>
      <c r="J425" s="861"/>
      <c r="K425" s="861"/>
      <c r="L425" s="861"/>
      <c r="M425" s="861"/>
      <c r="N425" s="861"/>
      <c r="O425" s="861"/>
      <c r="P425" s="861"/>
      <c r="Q425" s="861"/>
      <c r="R425" s="861"/>
      <c r="S425" s="861"/>
      <c r="T425" s="861"/>
      <c r="U425" s="861"/>
      <c r="V425" s="861"/>
      <c r="W425" s="861"/>
      <c r="X425" s="861"/>
      <c r="Y425" s="861"/>
      <c r="Z425" s="861"/>
      <c r="AA425" s="861"/>
      <c r="AB425" s="861"/>
      <c r="AC425" s="861"/>
      <c r="AD425" s="861"/>
      <c r="AE425" s="861"/>
      <c r="AF425" s="861"/>
      <c r="AG425" s="861"/>
    </row>
    <row r="426" spans="1:33" ht="17.25" customHeight="1">
      <c r="A426" s="861"/>
      <c r="B426" s="861"/>
      <c r="C426" s="861"/>
      <c r="D426" s="861"/>
      <c r="E426" s="861"/>
      <c r="F426" s="861"/>
      <c r="G426" s="861"/>
      <c r="H426" s="861"/>
      <c r="I426" s="861"/>
      <c r="J426" s="861"/>
      <c r="K426" s="861"/>
      <c r="L426" s="861"/>
      <c r="M426" s="861"/>
      <c r="N426" s="861"/>
      <c r="O426" s="861"/>
      <c r="P426" s="861"/>
      <c r="Q426" s="861"/>
      <c r="R426" s="861"/>
      <c r="S426" s="861"/>
      <c r="T426" s="861"/>
      <c r="U426" s="861"/>
      <c r="V426" s="861"/>
      <c r="W426" s="861"/>
      <c r="X426" s="861"/>
      <c r="Y426" s="861"/>
      <c r="Z426" s="861"/>
      <c r="AA426" s="861"/>
      <c r="AB426" s="861"/>
      <c r="AC426" s="861"/>
      <c r="AD426" s="861"/>
      <c r="AE426" s="861"/>
      <c r="AF426" s="861"/>
      <c r="AG426" s="861"/>
    </row>
    <row r="427" spans="1:33" ht="17.25" customHeight="1">
      <c r="A427" s="861"/>
      <c r="B427" s="861"/>
      <c r="C427" s="861"/>
      <c r="D427" s="861"/>
      <c r="E427" s="861"/>
      <c r="F427" s="861"/>
      <c r="G427" s="861"/>
      <c r="H427" s="861"/>
      <c r="I427" s="861"/>
      <c r="J427" s="861"/>
      <c r="K427" s="861"/>
      <c r="L427" s="861"/>
      <c r="M427" s="861"/>
      <c r="N427" s="861"/>
      <c r="O427" s="861"/>
      <c r="P427" s="861"/>
      <c r="Q427" s="861"/>
      <c r="R427" s="861"/>
      <c r="S427" s="861"/>
      <c r="T427" s="861"/>
      <c r="U427" s="861"/>
      <c r="V427" s="861"/>
      <c r="W427" s="861"/>
      <c r="X427" s="861"/>
      <c r="Y427" s="861"/>
      <c r="Z427" s="861"/>
      <c r="AA427" s="861"/>
      <c r="AB427" s="861"/>
      <c r="AC427" s="861"/>
      <c r="AD427" s="861"/>
      <c r="AE427" s="861"/>
      <c r="AF427" s="861"/>
      <c r="AG427" s="861"/>
    </row>
    <row r="428" spans="1:33" ht="17.25" customHeight="1">
      <c r="A428" s="861"/>
      <c r="B428" s="861"/>
      <c r="C428" s="861"/>
      <c r="D428" s="861"/>
      <c r="E428" s="861"/>
      <c r="F428" s="861"/>
      <c r="G428" s="861"/>
      <c r="H428" s="861"/>
      <c r="I428" s="861"/>
      <c r="J428" s="861"/>
      <c r="K428" s="861"/>
      <c r="L428" s="861"/>
      <c r="M428" s="861"/>
      <c r="N428" s="861"/>
      <c r="O428" s="861"/>
      <c r="P428" s="861"/>
      <c r="Q428" s="861"/>
      <c r="R428" s="861"/>
      <c r="S428" s="861"/>
      <c r="T428" s="861"/>
      <c r="U428" s="861"/>
      <c r="V428" s="861"/>
      <c r="W428" s="861"/>
      <c r="X428" s="861"/>
      <c r="Y428" s="861"/>
      <c r="Z428" s="861"/>
      <c r="AA428" s="861"/>
      <c r="AB428" s="861"/>
      <c r="AC428" s="861"/>
      <c r="AD428" s="861"/>
      <c r="AE428" s="861"/>
      <c r="AF428" s="861"/>
      <c r="AG428" s="861"/>
    </row>
    <row r="429" spans="1:33" ht="17.25" customHeight="1">
      <c r="A429" s="861"/>
      <c r="B429" s="861"/>
      <c r="C429" s="861"/>
      <c r="D429" s="861"/>
      <c r="E429" s="861"/>
      <c r="F429" s="861"/>
      <c r="G429" s="861"/>
      <c r="H429" s="861"/>
      <c r="I429" s="861"/>
      <c r="J429" s="861"/>
      <c r="K429" s="861"/>
      <c r="L429" s="861"/>
      <c r="M429" s="861"/>
      <c r="N429" s="861"/>
      <c r="O429" s="861"/>
      <c r="P429" s="861"/>
      <c r="Q429" s="861"/>
      <c r="R429" s="861"/>
      <c r="S429" s="861"/>
      <c r="T429" s="861"/>
      <c r="U429" s="861"/>
      <c r="V429" s="861"/>
      <c r="W429" s="861"/>
      <c r="X429" s="861"/>
      <c r="Y429" s="861"/>
      <c r="Z429" s="861"/>
      <c r="AA429" s="861"/>
      <c r="AB429" s="861"/>
      <c r="AC429" s="861"/>
      <c r="AD429" s="861"/>
      <c r="AE429" s="861"/>
      <c r="AF429" s="861"/>
      <c r="AG429" s="861"/>
    </row>
    <row r="430" spans="1:33" ht="17.25" customHeight="1">
      <c r="A430" s="861"/>
      <c r="B430" s="861"/>
      <c r="C430" s="861"/>
      <c r="D430" s="861"/>
      <c r="E430" s="861"/>
      <c r="F430" s="861"/>
      <c r="G430" s="861"/>
      <c r="H430" s="861"/>
      <c r="I430" s="861"/>
      <c r="J430" s="861"/>
      <c r="K430" s="861"/>
      <c r="L430" s="861"/>
      <c r="M430" s="861"/>
      <c r="N430" s="861"/>
      <c r="O430" s="861"/>
      <c r="P430" s="861"/>
      <c r="Q430" s="861"/>
      <c r="R430" s="861"/>
      <c r="S430" s="861"/>
      <c r="T430" s="861"/>
      <c r="U430" s="861"/>
      <c r="V430" s="861"/>
      <c r="W430" s="861"/>
      <c r="X430" s="861"/>
      <c r="Y430" s="861"/>
      <c r="Z430" s="861"/>
      <c r="AA430" s="861"/>
      <c r="AB430" s="861"/>
      <c r="AC430" s="861"/>
      <c r="AD430" s="861"/>
      <c r="AE430" s="861"/>
      <c r="AF430" s="861"/>
      <c r="AG430" s="861"/>
    </row>
    <row r="431" spans="1:33" ht="17.25" customHeight="1">
      <c r="A431" s="861"/>
      <c r="B431" s="861"/>
      <c r="C431" s="861"/>
      <c r="D431" s="861"/>
      <c r="E431" s="861"/>
      <c r="F431" s="861"/>
      <c r="G431" s="861"/>
      <c r="H431" s="861"/>
      <c r="I431" s="861"/>
      <c r="J431" s="861"/>
      <c r="K431" s="861"/>
      <c r="L431" s="861"/>
      <c r="M431" s="861"/>
      <c r="N431" s="861"/>
      <c r="O431" s="861"/>
      <c r="P431" s="861"/>
      <c r="Q431" s="861"/>
      <c r="R431" s="861"/>
      <c r="S431" s="861"/>
      <c r="T431" s="861"/>
      <c r="U431" s="861"/>
      <c r="V431" s="861"/>
      <c r="W431" s="861"/>
      <c r="X431" s="861"/>
      <c r="Y431" s="861"/>
      <c r="Z431" s="861"/>
      <c r="AA431" s="861"/>
      <c r="AB431" s="861"/>
      <c r="AC431" s="861"/>
      <c r="AD431" s="861"/>
      <c r="AE431" s="861"/>
      <c r="AF431" s="861"/>
      <c r="AG431" s="861"/>
    </row>
    <row r="432" spans="1:33" ht="17.25" customHeight="1">
      <c r="A432" s="861"/>
      <c r="B432" s="861"/>
      <c r="C432" s="861"/>
      <c r="D432" s="861"/>
      <c r="E432" s="861"/>
      <c r="F432" s="861"/>
      <c r="G432" s="861"/>
      <c r="H432" s="861"/>
      <c r="I432" s="861"/>
      <c r="J432" s="861"/>
      <c r="K432" s="861"/>
      <c r="L432" s="861"/>
      <c r="M432" s="861"/>
      <c r="N432" s="861"/>
      <c r="O432" s="861"/>
      <c r="P432" s="861"/>
      <c r="Q432" s="861"/>
      <c r="R432" s="861"/>
      <c r="S432" s="861"/>
      <c r="T432" s="861"/>
      <c r="U432" s="861"/>
      <c r="V432" s="861"/>
      <c r="W432" s="861"/>
      <c r="X432" s="861"/>
      <c r="Y432" s="861"/>
      <c r="Z432" s="861"/>
      <c r="AA432" s="861"/>
      <c r="AB432" s="861"/>
      <c r="AC432" s="861"/>
      <c r="AD432" s="861"/>
      <c r="AE432" s="861"/>
      <c r="AF432" s="861"/>
      <c r="AG432" s="861"/>
    </row>
    <row r="433" spans="1:33" ht="17.25" customHeight="1">
      <c r="A433" s="861"/>
      <c r="B433" s="861"/>
      <c r="C433" s="861"/>
      <c r="D433" s="861"/>
      <c r="E433" s="861"/>
      <c r="F433" s="861"/>
      <c r="G433" s="861"/>
      <c r="H433" s="861"/>
      <c r="I433" s="861"/>
      <c r="J433" s="861"/>
      <c r="K433" s="861"/>
      <c r="L433" s="861"/>
      <c r="M433" s="861"/>
      <c r="N433" s="861"/>
      <c r="O433" s="861"/>
      <c r="P433" s="861"/>
      <c r="Q433" s="861"/>
      <c r="R433" s="861"/>
      <c r="S433" s="861"/>
      <c r="T433" s="861"/>
      <c r="U433" s="861"/>
      <c r="V433" s="861"/>
      <c r="W433" s="861"/>
      <c r="X433" s="861"/>
      <c r="Y433" s="861"/>
      <c r="Z433" s="861"/>
      <c r="AA433" s="861"/>
      <c r="AB433" s="861"/>
      <c r="AC433" s="861"/>
      <c r="AD433" s="861"/>
      <c r="AE433" s="861"/>
      <c r="AF433" s="861"/>
      <c r="AG433" s="861"/>
    </row>
    <row r="434" spans="1:33" ht="17.25" customHeight="1">
      <c r="A434" s="861"/>
      <c r="B434" s="861"/>
      <c r="C434" s="861"/>
      <c r="D434" s="861"/>
      <c r="E434" s="861"/>
      <c r="F434" s="861"/>
      <c r="G434" s="861"/>
      <c r="H434" s="861"/>
      <c r="I434" s="861"/>
      <c r="J434" s="861"/>
      <c r="K434" s="861"/>
      <c r="L434" s="861"/>
      <c r="M434" s="861"/>
      <c r="N434" s="861"/>
      <c r="O434" s="861"/>
      <c r="P434" s="861"/>
      <c r="Q434" s="861"/>
      <c r="R434" s="861"/>
      <c r="S434" s="861"/>
      <c r="T434" s="861"/>
      <c r="U434" s="861"/>
      <c r="V434" s="861"/>
      <c r="W434" s="861"/>
      <c r="X434" s="861"/>
      <c r="Y434" s="861"/>
      <c r="Z434" s="861"/>
      <c r="AA434" s="861"/>
      <c r="AB434" s="861"/>
      <c r="AC434" s="861"/>
      <c r="AD434" s="861"/>
      <c r="AE434" s="861"/>
      <c r="AF434" s="861"/>
      <c r="AG434" s="861"/>
    </row>
    <row r="435" spans="1:33" ht="17.25" customHeight="1">
      <c r="A435" s="861"/>
      <c r="B435" s="861"/>
      <c r="C435" s="861"/>
      <c r="D435" s="861"/>
      <c r="E435" s="861"/>
      <c r="F435" s="861"/>
      <c r="G435" s="861"/>
      <c r="H435" s="861"/>
      <c r="I435" s="861"/>
      <c r="J435" s="861"/>
      <c r="K435" s="861"/>
      <c r="L435" s="861"/>
      <c r="M435" s="861"/>
      <c r="N435" s="861"/>
      <c r="O435" s="861"/>
      <c r="P435" s="861"/>
      <c r="Q435" s="861"/>
      <c r="R435" s="861"/>
      <c r="S435" s="861"/>
      <c r="T435" s="861"/>
      <c r="U435" s="861"/>
      <c r="V435" s="861"/>
      <c r="W435" s="861"/>
      <c r="X435" s="861"/>
      <c r="Y435" s="861"/>
      <c r="Z435" s="861"/>
      <c r="AA435" s="861"/>
      <c r="AB435" s="861"/>
      <c r="AC435" s="861"/>
      <c r="AD435" s="861"/>
      <c r="AE435" s="861"/>
      <c r="AF435" s="861"/>
      <c r="AG435" s="861"/>
    </row>
    <row r="436" spans="1:33" ht="17.25" customHeight="1">
      <c r="A436" s="861"/>
      <c r="B436" s="861"/>
      <c r="C436" s="861"/>
      <c r="D436" s="861"/>
      <c r="E436" s="861"/>
      <c r="F436" s="861"/>
      <c r="G436" s="861"/>
      <c r="H436" s="861"/>
      <c r="I436" s="861"/>
      <c r="J436" s="861"/>
      <c r="K436" s="861"/>
      <c r="L436" s="861"/>
      <c r="M436" s="861"/>
      <c r="N436" s="861"/>
      <c r="O436" s="861"/>
      <c r="P436" s="861"/>
      <c r="Q436" s="861"/>
      <c r="R436" s="861"/>
      <c r="S436" s="861"/>
      <c r="T436" s="861"/>
      <c r="U436" s="861"/>
      <c r="V436" s="861"/>
      <c r="W436" s="861"/>
      <c r="X436" s="861"/>
      <c r="Y436" s="861"/>
      <c r="Z436" s="861"/>
      <c r="AA436" s="861"/>
      <c r="AB436" s="861"/>
      <c r="AC436" s="861"/>
      <c r="AD436" s="861"/>
      <c r="AE436" s="861"/>
      <c r="AF436" s="861"/>
      <c r="AG436" s="861"/>
    </row>
    <row r="437" spans="1:33" ht="17.25" customHeight="1">
      <c r="A437" s="861"/>
      <c r="B437" s="861"/>
      <c r="C437" s="861"/>
      <c r="D437" s="861"/>
      <c r="E437" s="861"/>
      <c r="F437" s="861"/>
      <c r="G437" s="861"/>
      <c r="H437" s="861"/>
      <c r="I437" s="861"/>
      <c r="J437" s="861"/>
      <c r="K437" s="861"/>
      <c r="L437" s="861"/>
      <c r="M437" s="861"/>
      <c r="N437" s="861"/>
      <c r="O437" s="861"/>
      <c r="P437" s="861"/>
      <c r="Q437" s="861"/>
      <c r="R437" s="861"/>
      <c r="S437" s="861"/>
      <c r="T437" s="861"/>
      <c r="U437" s="861"/>
      <c r="V437" s="861"/>
      <c r="W437" s="861"/>
      <c r="X437" s="861"/>
      <c r="Y437" s="861"/>
      <c r="Z437" s="861"/>
      <c r="AA437" s="861"/>
      <c r="AB437" s="861"/>
      <c r="AC437" s="861"/>
      <c r="AD437" s="861"/>
      <c r="AE437" s="861"/>
      <c r="AF437" s="861"/>
      <c r="AG437" s="861"/>
    </row>
    <row r="438" spans="1:33" ht="17.25" customHeight="1">
      <c r="A438" s="861"/>
      <c r="B438" s="861"/>
      <c r="C438" s="861"/>
      <c r="D438" s="861"/>
      <c r="E438" s="861"/>
      <c r="F438" s="861"/>
      <c r="G438" s="861"/>
      <c r="H438" s="861"/>
      <c r="I438" s="861"/>
      <c r="J438" s="861"/>
      <c r="K438" s="861"/>
      <c r="L438" s="861"/>
      <c r="M438" s="861"/>
      <c r="N438" s="861"/>
      <c r="O438" s="861"/>
      <c r="P438" s="861"/>
      <c r="Q438" s="861"/>
      <c r="R438" s="861"/>
      <c r="S438" s="861"/>
      <c r="T438" s="861"/>
      <c r="U438" s="861"/>
      <c r="V438" s="861"/>
      <c r="W438" s="861"/>
      <c r="X438" s="861"/>
      <c r="Y438" s="861"/>
      <c r="Z438" s="861"/>
      <c r="AA438" s="861"/>
      <c r="AB438" s="861"/>
      <c r="AC438" s="861"/>
      <c r="AD438" s="861"/>
      <c r="AE438" s="861"/>
      <c r="AF438" s="861"/>
      <c r="AG438" s="861"/>
    </row>
    <row r="439" spans="1:33" ht="17.25" customHeight="1">
      <c r="A439" s="861"/>
      <c r="B439" s="861"/>
      <c r="C439" s="861"/>
      <c r="D439" s="861"/>
      <c r="E439" s="861"/>
      <c r="F439" s="861"/>
      <c r="G439" s="861"/>
      <c r="H439" s="861"/>
      <c r="I439" s="861"/>
      <c r="J439" s="861"/>
      <c r="K439" s="861"/>
      <c r="L439" s="861"/>
      <c r="M439" s="861"/>
      <c r="N439" s="861"/>
      <c r="O439" s="861"/>
      <c r="P439" s="861"/>
      <c r="Q439" s="861"/>
      <c r="R439" s="861"/>
      <c r="S439" s="861"/>
      <c r="T439" s="861"/>
      <c r="U439" s="861"/>
      <c r="V439" s="861"/>
      <c r="W439" s="861"/>
      <c r="X439" s="861"/>
      <c r="Y439" s="861"/>
      <c r="Z439" s="861"/>
      <c r="AA439" s="861"/>
      <c r="AB439" s="861"/>
      <c r="AC439" s="861"/>
      <c r="AD439" s="861"/>
      <c r="AE439" s="861"/>
      <c r="AF439" s="861"/>
      <c r="AG439" s="861"/>
    </row>
    <row r="440" spans="1:33" ht="17.25" customHeight="1">
      <c r="A440" s="861"/>
      <c r="B440" s="861"/>
      <c r="C440" s="861"/>
      <c r="D440" s="861"/>
      <c r="E440" s="861"/>
      <c r="F440" s="861"/>
      <c r="G440" s="861"/>
      <c r="H440" s="861"/>
      <c r="I440" s="861"/>
      <c r="J440" s="861"/>
      <c r="K440" s="861"/>
      <c r="L440" s="861"/>
      <c r="M440" s="861"/>
      <c r="N440" s="861"/>
      <c r="O440" s="861"/>
      <c r="P440" s="861"/>
      <c r="Q440" s="861"/>
      <c r="R440" s="861"/>
      <c r="S440" s="861"/>
      <c r="T440" s="861"/>
      <c r="U440" s="861"/>
      <c r="V440" s="861"/>
      <c r="W440" s="861"/>
      <c r="X440" s="861"/>
      <c r="Y440" s="861"/>
      <c r="Z440" s="861"/>
      <c r="AA440" s="861"/>
      <c r="AB440" s="861"/>
      <c r="AC440" s="861"/>
      <c r="AD440" s="861"/>
      <c r="AE440" s="861"/>
      <c r="AF440" s="861"/>
      <c r="AG440" s="861"/>
    </row>
    <row r="441" spans="1:33" ht="17.25" customHeight="1">
      <c r="A441" s="861"/>
      <c r="B441" s="861"/>
      <c r="C441" s="861"/>
      <c r="D441" s="861"/>
      <c r="E441" s="861"/>
      <c r="F441" s="861"/>
      <c r="G441" s="861"/>
      <c r="H441" s="861"/>
      <c r="I441" s="861"/>
      <c r="J441" s="861"/>
      <c r="K441" s="861"/>
      <c r="L441" s="861"/>
      <c r="M441" s="861"/>
      <c r="N441" s="861"/>
      <c r="O441" s="861"/>
      <c r="P441" s="861"/>
      <c r="Q441" s="861"/>
      <c r="R441" s="861"/>
      <c r="S441" s="861"/>
      <c r="T441" s="861"/>
      <c r="U441" s="861"/>
      <c r="V441" s="861"/>
      <c r="W441" s="861"/>
      <c r="X441" s="861"/>
      <c r="Y441" s="861"/>
      <c r="Z441" s="861"/>
      <c r="AA441" s="861"/>
      <c r="AB441" s="861"/>
      <c r="AC441" s="861"/>
      <c r="AD441" s="861"/>
      <c r="AE441" s="861"/>
      <c r="AF441" s="861"/>
      <c r="AG441" s="861"/>
    </row>
    <row r="442" spans="1:33" ht="17.25" customHeight="1">
      <c r="A442" s="861"/>
      <c r="B442" s="861"/>
      <c r="C442" s="861"/>
      <c r="D442" s="861"/>
      <c r="E442" s="861"/>
      <c r="F442" s="861"/>
      <c r="G442" s="861"/>
      <c r="H442" s="861"/>
      <c r="I442" s="861"/>
      <c r="J442" s="861"/>
      <c r="K442" s="861"/>
      <c r="L442" s="861"/>
      <c r="M442" s="861"/>
      <c r="N442" s="861"/>
      <c r="O442" s="861"/>
      <c r="P442" s="861"/>
      <c r="Q442" s="861"/>
      <c r="R442" s="861"/>
      <c r="S442" s="861"/>
      <c r="T442" s="861"/>
      <c r="U442" s="861"/>
      <c r="V442" s="861"/>
      <c r="W442" s="861"/>
      <c r="X442" s="861"/>
      <c r="Y442" s="861"/>
      <c r="Z442" s="861"/>
      <c r="AA442" s="861"/>
      <c r="AB442" s="861"/>
      <c r="AC442" s="861"/>
      <c r="AD442" s="861"/>
      <c r="AE442" s="861"/>
      <c r="AF442" s="861"/>
      <c r="AG442" s="861"/>
    </row>
    <row r="443" spans="1:33" ht="17.25" customHeight="1">
      <c r="A443" s="861"/>
      <c r="B443" s="861"/>
      <c r="C443" s="861"/>
      <c r="D443" s="861"/>
      <c r="E443" s="861"/>
      <c r="F443" s="861"/>
      <c r="G443" s="861"/>
      <c r="H443" s="861"/>
      <c r="I443" s="861"/>
      <c r="J443" s="861"/>
      <c r="K443" s="861"/>
      <c r="L443" s="861"/>
      <c r="M443" s="861"/>
      <c r="N443" s="861"/>
      <c r="O443" s="861"/>
      <c r="P443" s="861"/>
      <c r="Q443" s="861"/>
      <c r="R443" s="861"/>
      <c r="S443" s="861"/>
      <c r="T443" s="861"/>
      <c r="U443" s="861"/>
      <c r="V443" s="861"/>
      <c r="W443" s="861"/>
      <c r="X443" s="861"/>
      <c r="Y443" s="861"/>
      <c r="Z443" s="861"/>
      <c r="AA443" s="861"/>
      <c r="AB443" s="861"/>
      <c r="AC443" s="861"/>
      <c r="AD443" s="861"/>
      <c r="AE443" s="861"/>
      <c r="AF443" s="861"/>
      <c r="AG443" s="861"/>
    </row>
    <row r="444" spans="1:33" ht="17.25" customHeight="1">
      <c r="A444" s="861"/>
      <c r="B444" s="861"/>
      <c r="C444" s="861"/>
      <c r="D444" s="861"/>
      <c r="E444" s="861"/>
      <c r="F444" s="861"/>
      <c r="G444" s="861"/>
      <c r="H444" s="861"/>
      <c r="I444" s="861"/>
      <c r="J444" s="861"/>
      <c r="K444" s="861"/>
      <c r="L444" s="861"/>
      <c r="M444" s="861"/>
      <c r="N444" s="861"/>
      <c r="O444" s="861"/>
      <c r="P444" s="861"/>
      <c r="Q444" s="861"/>
      <c r="R444" s="861"/>
      <c r="S444" s="861"/>
      <c r="T444" s="861"/>
      <c r="U444" s="861"/>
      <c r="V444" s="861"/>
      <c r="W444" s="861"/>
      <c r="X444" s="861"/>
      <c r="Y444" s="861"/>
      <c r="Z444" s="861"/>
      <c r="AA444" s="861"/>
      <c r="AB444" s="861"/>
      <c r="AC444" s="861"/>
      <c r="AD444" s="861"/>
      <c r="AE444" s="861"/>
      <c r="AF444" s="861"/>
      <c r="AG444" s="861"/>
    </row>
    <row r="445" spans="1:33" ht="17.25" customHeight="1">
      <c r="A445" s="861"/>
      <c r="B445" s="861"/>
      <c r="C445" s="861"/>
      <c r="D445" s="861"/>
      <c r="E445" s="861"/>
      <c r="F445" s="861"/>
      <c r="G445" s="861"/>
      <c r="H445" s="861"/>
      <c r="I445" s="861"/>
      <c r="J445" s="861"/>
      <c r="K445" s="861"/>
      <c r="L445" s="861"/>
      <c r="M445" s="861"/>
      <c r="N445" s="861"/>
      <c r="O445" s="861"/>
      <c r="P445" s="861"/>
      <c r="Q445" s="861"/>
      <c r="R445" s="861"/>
      <c r="S445" s="861"/>
      <c r="T445" s="861"/>
      <c r="U445" s="861"/>
      <c r="V445" s="861"/>
      <c r="W445" s="861"/>
      <c r="X445" s="861"/>
      <c r="Y445" s="861"/>
      <c r="Z445" s="861"/>
      <c r="AA445" s="861"/>
      <c r="AB445" s="861"/>
      <c r="AC445" s="861"/>
      <c r="AD445" s="861"/>
      <c r="AE445" s="861"/>
      <c r="AF445" s="861"/>
      <c r="AG445" s="861"/>
    </row>
    <row r="446" spans="1:33" ht="17.25" customHeight="1">
      <c r="A446" s="861"/>
      <c r="B446" s="861"/>
      <c r="C446" s="861"/>
      <c r="D446" s="861"/>
      <c r="E446" s="861"/>
      <c r="F446" s="861"/>
      <c r="G446" s="861"/>
      <c r="H446" s="861"/>
      <c r="I446" s="861"/>
      <c r="J446" s="861"/>
      <c r="K446" s="861"/>
      <c r="L446" s="861"/>
      <c r="M446" s="861"/>
      <c r="N446" s="861"/>
      <c r="O446" s="861"/>
      <c r="P446" s="861"/>
      <c r="Q446" s="861"/>
      <c r="R446" s="861"/>
      <c r="S446" s="861"/>
      <c r="T446" s="861"/>
      <c r="U446" s="861"/>
      <c r="V446" s="861"/>
      <c r="W446" s="861"/>
      <c r="X446" s="861"/>
      <c r="Y446" s="861"/>
      <c r="Z446" s="861"/>
      <c r="AA446" s="861"/>
      <c r="AB446" s="861"/>
      <c r="AC446" s="861"/>
      <c r="AD446" s="861"/>
      <c r="AE446" s="861"/>
      <c r="AF446" s="861"/>
      <c r="AG446" s="861"/>
    </row>
    <row r="447" spans="1:33" ht="17.25" customHeight="1">
      <c r="A447" s="861"/>
      <c r="B447" s="861"/>
      <c r="C447" s="861"/>
      <c r="D447" s="861"/>
      <c r="E447" s="861"/>
      <c r="F447" s="861"/>
      <c r="G447" s="861"/>
      <c r="H447" s="861"/>
      <c r="I447" s="861"/>
      <c r="J447" s="861"/>
      <c r="K447" s="861"/>
      <c r="L447" s="861"/>
      <c r="M447" s="861"/>
      <c r="N447" s="861"/>
      <c r="O447" s="861"/>
      <c r="P447" s="861"/>
      <c r="Q447" s="861"/>
      <c r="R447" s="861"/>
      <c r="S447" s="861"/>
      <c r="T447" s="861"/>
      <c r="U447" s="861"/>
      <c r="V447" s="861"/>
      <c r="W447" s="861"/>
      <c r="X447" s="861"/>
      <c r="Y447" s="861"/>
      <c r="Z447" s="861"/>
      <c r="AA447" s="861"/>
      <c r="AB447" s="861"/>
      <c r="AC447" s="861"/>
      <c r="AD447" s="861"/>
      <c r="AE447" s="861"/>
      <c r="AF447" s="861"/>
      <c r="AG447" s="861"/>
    </row>
    <row r="448" spans="1:33" ht="17.25" customHeight="1">
      <c r="A448" s="861"/>
      <c r="B448" s="861"/>
      <c r="C448" s="861"/>
      <c r="D448" s="861"/>
      <c r="E448" s="861"/>
      <c r="F448" s="861"/>
      <c r="G448" s="861"/>
      <c r="H448" s="861"/>
      <c r="I448" s="861"/>
      <c r="J448" s="861"/>
      <c r="K448" s="861"/>
      <c r="L448" s="861"/>
      <c r="M448" s="861"/>
      <c r="N448" s="861"/>
      <c r="O448" s="861"/>
      <c r="P448" s="861"/>
      <c r="Q448" s="861"/>
      <c r="R448" s="861"/>
      <c r="S448" s="861"/>
      <c r="T448" s="861"/>
      <c r="U448" s="861"/>
      <c r="V448" s="861"/>
      <c r="W448" s="861"/>
      <c r="X448" s="861"/>
      <c r="Y448" s="861"/>
      <c r="Z448" s="861"/>
      <c r="AA448" s="861"/>
      <c r="AB448" s="861"/>
      <c r="AC448" s="861"/>
      <c r="AD448" s="861"/>
      <c r="AE448" s="861"/>
      <c r="AF448" s="861"/>
      <c r="AG448" s="861"/>
    </row>
    <row r="449" spans="1:33" ht="17.25" customHeight="1">
      <c r="A449" s="861"/>
      <c r="B449" s="861"/>
      <c r="C449" s="861"/>
      <c r="D449" s="861"/>
      <c r="E449" s="861"/>
      <c r="F449" s="861"/>
      <c r="G449" s="861"/>
      <c r="H449" s="861"/>
      <c r="I449" s="861"/>
      <c r="J449" s="861"/>
      <c r="K449" s="861"/>
      <c r="L449" s="861"/>
      <c r="M449" s="861"/>
      <c r="N449" s="861"/>
      <c r="O449" s="861"/>
      <c r="P449" s="861"/>
      <c r="Q449" s="861"/>
      <c r="R449" s="861"/>
      <c r="S449" s="861"/>
      <c r="T449" s="861"/>
      <c r="U449" s="861"/>
      <c r="V449" s="861"/>
      <c r="W449" s="861"/>
      <c r="X449" s="861"/>
      <c r="Y449" s="861"/>
      <c r="Z449" s="861"/>
      <c r="AA449" s="861"/>
      <c r="AB449" s="861"/>
      <c r="AC449" s="861"/>
      <c r="AD449" s="861"/>
      <c r="AE449" s="861"/>
      <c r="AF449" s="861"/>
      <c r="AG449" s="861"/>
    </row>
    <row r="450" spans="1:33" ht="17.25" customHeight="1">
      <c r="A450" s="861"/>
      <c r="B450" s="861"/>
      <c r="C450" s="861"/>
      <c r="D450" s="861"/>
      <c r="E450" s="861"/>
      <c r="F450" s="861"/>
      <c r="G450" s="861"/>
      <c r="H450" s="861"/>
      <c r="I450" s="861"/>
      <c r="J450" s="861"/>
      <c r="K450" s="861"/>
      <c r="L450" s="861"/>
      <c r="M450" s="861"/>
      <c r="N450" s="861"/>
      <c r="O450" s="861"/>
      <c r="P450" s="861"/>
      <c r="Q450" s="861"/>
      <c r="R450" s="861"/>
      <c r="S450" s="861"/>
      <c r="T450" s="861"/>
      <c r="U450" s="861"/>
      <c r="V450" s="861"/>
      <c r="W450" s="861"/>
      <c r="X450" s="861"/>
      <c r="Y450" s="861"/>
      <c r="Z450" s="861"/>
      <c r="AA450" s="861"/>
      <c r="AB450" s="861"/>
      <c r="AC450" s="861"/>
      <c r="AD450" s="861"/>
      <c r="AE450" s="861"/>
      <c r="AF450" s="861"/>
      <c r="AG450" s="861"/>
    </row>
    <row r="451" spans="1:33" ht="17.25" customHeight="1">
      <c r="A451" s="861"/>
      <c r="B451" s="861"/>
      <c r="C451" s="861"/>
      <c r="D451" s="861"/>
      <c r="E451" s="861"/>
      <c r="F451" s="861"/>
      <c r="G451" s="861"/>
      <c r="H451" s="861"/>
      <c r="I451" s="861"/>
      <c r="J451" s="861"/>
      <c r="K451" s="861"/>
      <c r="L451" s="861"/>
      <c r="M451" s="861"/>
      <c r="N451" s="861"/>
      <c r="O451" s="861"/>
      <c r="P451" s="861"/>
      <c r="Q451" s="861"/>
      <c r="R451" s="861"/>
      <c r="S451" s="861"/>
      <c r="T451" s="861"/>
      <c r="U451" s="861"/>
      <c r="V451" s="861"/>
      <c r="W451" s="861"/>
      <c r="X451" s="861"/>
      <c r="Y451" s="861"/>
      <c r="Z451" s="861"/>
      <c r="AA451" s="861"/>
      <c r="AB451" s="861"/>
      <c r="AC451" s="861"/>
      <c r="AD451" s="861"/>
      <c r="AE451" s="861"/>
      <c r="AF451" s="861"/>
      <c r="AG451" s="861"/>
    </row>
    <row r="452" spans="1:33" ht="17.25" customHeight="1">
      <c r="A452" s="861"/>
      <c r="B452" s="861"/>
      <c r="C452" s="861"/>
      <c r="D452" s="861"/>
      <c r="E452" s="861"/>
      <c r="F452" s="861"/>
      <c r="G452" s="861"/>
      <c r="H452" s="861"/>
      <c r="I452" s="861"/>
      <c r="J452" s="861"/>
      <c r="K452" s="861"/>
      <c r="L452" s="861"/>
      <c r="M452" s="861"/>
      <c r="N452" s="861"/>
      <c r="O452" s="861"/>
      <c r="P452" s="861"/>
      <c r="Q452" s="861"/>
      <c r="R452" s="861"/>
      <c r="S452" s="861"/>
      <c r="T452" s="861"/>
      <c r="U452" s="861"/>
      <c r="V452" s="861"/>
      <c r="W452" s="861"/>
      <c r="X452" s="861"/>
      <c r="Y452" s="861"/>
      <c r="Z452" s="861"/>
      <c r="AA452" s="861"/>
      <c r="AB452" s="861"/>
      <c r="AC452" s="861"/>
      <c r="AD452" s="861"/>
      <c r="AE452" s="861"/>
      <c r="AF452" s="861"/>
      <c r="AG452" s="861"/>
    </row>
    <row r="453" spans="1:33" ht="17.25" customHeight="1">
      <c r="A453" s="861"/>
      <c r="B453" s="861"/>
      <c r="C453" s="861"/>
      <c r="D453" s="861"/>
      <c r="E453" s="861"/>
      <c r="F453" s="861"/>
      <c r="G453" s="861"/>
      <c r="H453" s="861"/>
      <c r="I453" s="861"/>
      <c r="J453" s="861"/>
      <c r="K453" s="861"/>
      <c r="L453" s="861"/>
      <c r="M453" s="861"/>
      <c r="N453" s="861"/>
      <c r="O453" s="861"/>
      <c r="P453" s="861"/>
      <c r="Q453" s="861"/>
      <c r="R453" s="861"/>
      <c r="S453" s="861"/>
      <c r="T453" s="861"/>
      <c r="U453" s="861"/>
      <c r="V453" s="861"/>
      <c r="W453" s="861"/>
      <c r="X453" s="861"/>
      <c r="Y453" s="861"/>
      <c r="Z453" s="861"/>
      <c r="AA453" s="861"/>
      <c r="AB453" s="861"/>
      <c r="AC453" s="861"/>
      <c r="AD453" s="861"/>
      <c r="AE453" s="861"/>
      <c r="AF453" s="861"/>
      <c r="AG453" s="861"/>
    </row>
    <row r="454" spans="1:33" ht="17.25" customHeight="1">
      <c r="A454" s="861"/>
      <c r="B454" s="861"/>
      <c r="C454" s="861"/>
      <c r="D454" s="861"/>
      <c r="E454" s="861"/>
      <c r="F454" s="861"/>
      <c r="G454" s="861"/>
      <c r="H454" s="861"/>
      <c r="I454" s="861"/>
      <c r="J454" s="861"/>
      <c r="K454" s="861"/>
      <c r="L454" s="861"/>
      <c r="M454" s="861"/>
      <c r="N454" s="861"/>
      <c r="O454" s="861"/>
      <c r="P454" s="861"/>
      <c r="Q454" s="861"/>
      <c r="R454" s="861"/>
      <c r="S454" s="861"/>
      <c r="T454" s="861"/>
      <c r="U454" s="861"/>
      <c r="V454" s="861"/>
      <c r="W454" s="861"/>
      <c r="X454" s="861"/>
      <c r="Y454" s="861"/>
      <c r="Z454" s="861"/>
      <c r="AA454" s="861"/>
      <c r="AB454" s="861"/>
      <c r="AC454" s="861"/>
      <c r="AD454" s="861"/>
      <c r="AE454" s="861"/>
      <c r="AF454" s="861"/>
      <c r="AG454" s="861"/>
    </row>
    <row r="455" spans="1:33" ht="17.25" customHeight="1">
      <c r="A455" s="861"/>
      <c r="B455" s="861"/>
      <c r="C455" s="861"/>
      <c r="D455" s="861"/>
      <c r="E455" s="861"/>
      <c r="F455" s="861"/>
      <c r="G455" s="861"/>
      <c r="H455" s="861"/>
      <c r="I455" s="861"/>
      <c r="J455" s="861"/>
      <c r="K455" s="861"/>
      <c r="L455" s="861"/>
      <c r="M455" s="861"/>
      <c r="N455" s="861"/>
      <c r="O455" s="861"/>
      <c r="P455" s="861"/>
      <c r="Q455" s="861"/>
      <c r="R455" s="861"/>
      <c r="S455" s="861"/>
      <c r="T455" s="861"/>
      <c r="U455" s="861"/>
      <c r="V455" s="861"/>
      <c r="W455" s="861"/>
      <c r="X455" s="861"/>
      <c r="Y455" s="861"/>
      <c r="Z455" s="861"/>
      <c r="AA455" s="861"/>
      <c r="AB455" s="861"/>
      <c r="AC455" s="861"/>
      <c r="AD455" s="861"/>
      <c r="AE455" s="861"/>
      <c r="AF455" s="861"/>
      <c r="AG455" s="861"/>
    </row>
    <row r="456" spans="1:33" ht="17.25" customHeight="1">
      <c r="A456" s="861"/>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c r="AB456" s="861"/>
      <c r="AC456" s="861"/>
      <c r="AD456" s="861"/>
      <c r="AE456" s="861"/>
      <c r="AF456" s="861"/>
      <c r="AG456" s="861"/>
    </row>
    <row r="457" spans="1:33" ht="17.25" customHeight="1">
      <c r="A457" s="861"/>
      <c r="B457" s="861"/>
      <c r="C457" s="861"/>
      <c r="D457" s="861"/>
      <c r="E457" s="861"/>
      <c r="F457" s="861"/>
      <c r="G457" s="861"/>
      <c r="H457" s="861"/>
      <c r="I457" s="861"/>
      <c r="J457" s="861"/>
      <c r="K457" s="861"/>
      <c r="L457" s="861"/>
      <c r="M457" s="861"/>
      <c r="N457" s="861"/>
      <c r="O457" s="861"/>
      <c r="P457" s="861"/>
      <c r="Q457" s="861"/>
      <c r="R457" s="861"/>
      <c r="S457" s="861"/>
      <c r="T457" s="861"/>
      <c r="U457" s="861"/>
      <c r="V457" s="861"/>
      <c r="W457" s="861"/>
      <c r="X457" s="861"/>
      <c r="Y457" s="861"/>
      <c r="Z457" s="861"/>
      <c r="AA457" s="861"/>
      <c r="AB457" s="861"/>
      <c r="AC457" s="861"/>
      <c r="AD457" s="861"/>
      <c r="AE457" s="861"/>
      <c r="AF457" s="861"/>
      <c r="AG457" s="861"/>
    </row>
    <row r="458" spans="1:33" ht="17.25" customHeight="1">
      <c r="A458" s="861"/>
      <c r="B458" s="861"/>
      <c r="C458" s="861"/>
      <c r="D458" s="861"/>
      <c r="E458" s="861"/>
      <c r="F458" s="861"/>
      <c r="G458" s="861"/>
      <c r="H458" s="861"/>
      <c r="I458" s="861"/>
      <c r="J458" s="861"/>
      <c r="K458" s="861"/>
      <c r="L458" s="861"/>
      <c r="M458" s="861"/>
      <c r="N458" s="861"/>
      <c r="O458" s="861"/>
      <c r="P458" s="861"/>
      <c r="Q458" s="861"/>
      <c r="R458" s="861"/>
      <c r="S458" s="861"/>
      <c r="T458" s="861"/>
      <c r="U458" s="861"/>
      <c r="V458" s="861"/>
      <c r="W458" s="861"/>
      <c r="X458" s="861"/>
      <c r="Y458" s="861"/>
      <c r="Z458" s="861"/>
      <c r="AA458" s="861"/>
      <c r="AB458" s="861"/>
      <c r="AC458" s="861"/>
      <c r="AD458" s="861"/>
      <c r="AE458" s="861"/>
      <c r="AF458" s="861"/>
      <c r="AG458" s="861"/>
    </row>
    <row r="459" spans="1:33" ht="17.25" customHeight="1">
      <c r="A459" s="861"/>
      <c r="B459" s="861"/>
      <c r="C459" s="861"/>
      <c r="D459" s="861"/>
      <c r="E459" s="861"/>
      <c r="F459" s="861"/>
      <c r="G459" s="861"/>
      <c r="H459" s="861"/>
      <c r="I459" s="861"/>
      <c r="J459" s="861"/>
      <c r="K459" s="861"/>
      <c r="L459" s="861"/>
      <c r="M459" s="861"/>
      <c r="N459" s="861"/>
      <c r="O459" s="861"/>
      <c r="P459" s="861"/>
      <c r="Q459" s="861"/>
      <c r="R459" s="861"/>
      <c r="S459" s="861"/>
      <c r="T459" s="861"/>
      <c r="U459" s="861"/>
      <c r="V459" s="861"/>
      <c r="W459" s="861"/>
      <c r="X459" s="861"/>
      <c r="Y459" s="861"/>
      <c r="Z459" s="861"/>
      <c r="AA459" s="861"/>
      <c r="AB459" s="861"/>
      <c r="AC459" s="861"/>
      <c r="AD459" s="861"/>
      <c r="AE459" s="861"/>
      <c r="AF459" s="861"/>
      <c r="AG459" s="861"/>
    </row>
    <row r="460" spans="1:33" ht="17.25" customHeight="1">
      <c r="A460" s="861"/>
      <c r="B460" s="861"/>
      <c r="C460" s="861"/>
      <c r="D460" s="861"/>
      <c r="E460" s="861"/>
      <c r="F460" s="861"/>
      <c r="G460" s="861"/>
      <c r="H460" s="861"/>
      <c r="I460" s="861"/>
      <c r="J460" s="861"/>
      <c r="K460" s="861"/>
      <c r="L460" s="861"/>
      <c r="M460" s="861"/>
      <c r="N460" s="861"/>
      <c r="O460" s="861"/>
      <c r="P460" s="861"/>
      <c r="Q460" s="861"/>
      <c r="R460" s="861"/>
      <c r="S460" s="861"/>
      <c r="T460" s="861"/>
      <c r="U460" s="861"/>
      <c r="V460" s="861"/>
      <c r="W460" s="861"/>
      <c r="X460" s="861"/>
      <c r="Y460" s="861"/>
      <c r="Z460" s="861"/>
      <c r="AA460" s="861"/>
      <c r="AB460" s="861"/>
      <c r="AC460" s="861"/>
      <c r="AD460" s="861"/>
      <c r="AE460" s="861"/>
      <c r="AF460" s="861"/>
      <c r="AG460" s="861"/>
    </row>
    <row r="461" spans="1:33" ht="17.25" customHeight="1">
      <c r="A461" s="861"/>
      <c r="B461" s="861"/>
      <c r="C461" s="861"/>
      <c r="D461" s="861"/>
      <c r="E461" s="861"/>
      <c r="F461" s="861"/>
      <c r="G461" s="861"/>
      <c r="H461" s="861"/>
      <c r="I461" s="861"/>
      <c r="J461" s="861"/>
      <c r="K461" s="861"/>
      <c r="L461" s="861"/>
      <c r="M461" s="861"/>
      <c r="N461" s="861"/>
      <c r="O461" s="861"/>
      <c r="P461" s="861"/>
      <c r="Q461" s="861"/>
      <c r="R461" s="861"/>
      <c r="S461" s="861"/>
      <c r="T461" s="861"/>
      <c r="U461" s="861"/>
      <c r="V461" s="861"/>
      <c r="W461" s="861"/>
      <c r="X461" s="861"/>
      <c r="Y461" s="861"/>
      <c r="Z461" s="861"/>
      <c r="AA461" s="861"/>
      <c r="AB461" s="861"/>
      <c r="AC461" s="861"/>
      <c r="AD461" s="861"/>
      <c r="AE461" s="861"/>
      <c r="AF461" s="861"/>
      <c r="AG461" s="861"/>
    </row>
    <row r="462" spans="1:33" ht="17.25" customHeight="1">
      <c r="A462" s="861"/>
      <c r="B462" s="861"/>
      <c r="C462" s="861"/>
      <c r="D462" s="861"/>
      <c r="E462" s="861"/>
      <c r="F462" s="861"/>
      <c r="G462" s="861"/>
      <c r="H462" s="861"/>
      <c r="I462" s="861"/>
      <c r="J462" s="861"/>
      <c r="K462" s="861"/>
      <c r="L462" s="861"/>
      <c r="M462" s="861"/>
      <c r="N462" s="861"/>
      <c r="O462" s="861"/>
      <c r="P462" s="861"/>
      <c r="Q462" s="861"/>
      <c r="R462" s="861"/>
      <c r="S462" s="861"/>
      <c r="T462" s="861"/>
      <c r="U462" s="861"/>
      <c r="V462" s="861"/>
      <c r="W462" s="861"/>
      <c r="X462" s="861"/>
      <c r="Y462" s="861"/>
      <c r="Z462" s="861"/>
      <c r="AA462" s="861"/>
      <c r="AB462" s="861"/>
      <c r="AC462" s="861"/>
      <c r="AD462" s="861"/>
      <c r="AE462" s="861"/>
      <c r="AF462" s="861"/>
      <c r="AG462" s="861"/>
    </row>
    <row r="463" spans="1:33" ht="17.25" customHeight="1">
      <c r="A463" s="861"/>
      <c r="B463" s="861"/>
      <c r="C463" s="861"/>
      <c r="D463" s="861"/>
      <c r="E463" s="861"/>
      <c r="F463" s="861"/>
      <c r="G463" s="861"/>
      <c r="H463" s="861"/>
      <c r="I463" s="861"/>
      <c r="J463" s="861"/>
      <c r="K463" s="861"/>
      <c r="L463" s="861"/>
      <c r="M463" s="861"/>
      <c r="N463" s="861"/>
      <c r="O463" s="861"/>
      <c r="P463" s="861"/>
      <c r="Q463" s="861"/>
      <c r="R463" s="861"/>
      <c r="S463" s="861"/>
      <c r="T463" s="861"/>
      <c r="U463" s="861"/>
      <c r="V463" s="861"/>
      <c r="W463" s="861"/>
      <c r="X463" s="861"/>
      <c r="Y463" s="861"/>
      <c r="Z463" s="861"/>
      <c r="AA463" s="861"/>
      <c r="AB463" s="861"/>
      <c r="AC463" s="861"/>
      <c r="AD463" s="861"/>
      <c r="AE463" s="861"/>
      <c r="AF463" s="861"/>
      <c r="AG463" s="861"/>
    </row>
    <row r="464" spans="1:33" ht="17.25" customHeight="1">
      <c r="A464" s="861"/>
      <c r="B464" s="861"/>
      <c r="C464" s="861"/>
      <c r="D464" s="861"/>
      <c r="E464" s="861"/>
      <c r="F464" s="861"/>
      <c r="G464" s="861"/>
      <c r="H464" s="861"/>
      <c r="I464" s="861"/>
      <c r="J464" s="861"/>
      <c r="K464" s="861"/>
      <c r="L464" s="861"/>
      <c r="M464" s="861"/>
      <c r="N464" s="861"/>
      <c r="O464" s="861"/>
      <c r="P464" s="861"/>
      <c r="Q464" s="861"/>
      <c r="R464" s="861"/>
      <c r="S464" s="861"/>
      <c r="T464" s="861"/>
      <c r="U464" s="861"/>
      <c r="V464" s="861"/>
      <c r="W464" s="861"/>
      <c r="X464" s="861"/>
      <c r="Y464" s="861"/>
      <c r="Z464" s="861"/>
      <c r="AA464" s="861"/>
      <c r="AB464" s="861"/>
      <c r="AC464" s="861"/>
      <c r="AD464" s="861"/>
      <c r="AE464" s="861"/>
      <c r="AF464" s="861"/>
      <c r="AG464" s="861"/>
    </row>
    <row r="465" spans="1:33" ht="17.25" customHeight="1">
      <c r="A465" s="861"/>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c r="AA465" s="861"/>
      <c r="AB465" s="861"/>
      <c r="AC465" s="861"/>
      <c r="AD465" s="861"/>
      <c r="AE465" s="861"/>
      <c r="AF465" s="861"/>
      <c r="AG465" s="861"/>
    </row>
    <row r="466" spans="1:33" ht="17.25" customHeight="1">
      <c r="A466" s="861"/>
      <c r="B466" s="861"/>
      <c r="C466" s="861"/>
      <c r="D466" s="861"/>
      <c r="E466" s="861"/>
      <c r="F466" s="861"/>
      <c r="G466" s="861"/>
      <c r="H466" s="861"/>
      <c r="I466" s="861"/>
      <c r="J466" s="861"/>
      <c r="K466" s="861"/>
      <c r="L466" s="861"/>
      <c r="M466" s="861"/>
      <c r="N466" s="861"/>
      <c r="O466" s="861"/>
      <c r="P466" s="861"/>
      <c r="Q466" s="861"/>
      <c r="R466" s="861"/>
      <c r="S466" s="861"/>
      <c r="T466" s="861"/>
      <c r="U466" s="861"/>
      <c r="V466" s="861"/>
      <c r="W466" s="861"/>
      <c r="X466" s="861"/>
      <c r="Y466" s="861"/>
      <c r="Z466" s="861"/>
      <c r="AA466" s="861"/>
      <c r="AB466" s="861"/>
      <c r="AC466" s="861"/>
      <c r="AD466" s="861"/>
      <c r="AE466" s="861"/>
      <c r="AF466" s="861"/>
      <c r="AG466" s="861"/>
    </row>
    <row r="467" spans="1:33" ht="17.25" customHeight="1">
      <c r="A467" s="861"/>
      <c r="B467" s="861"/>
      <c r="C467" s="861"/>
      <c r="D467" s="861"/>
      <c r="E467" s="861"/>
      <c r="F467" s="861"/>
      <c r="G467" s="861"/>
      <c r="H467" s="861"/>
      <c r="I467" s="861"/>
      <c r="J467" s="861"/>
      <c r="K467" s="861"/>
      <c r="L467" s="861"/>
      <c r="M467" s="861"/>
      <c r="N467" s="861"/>
      <c r="O467" s="861"/>
      <c r="P467" s="861"/>
      <c r="Q467" s="861"/>
      <c r="R467" s="861"/>
      <c r="S467" s="861"/>
      <c r="T467" s="861"/>
      <c r="U467" s="861"/>
      <c r="V467" s="861"/>
      <c r="W467" s="861"/>
      <c r="X467" s="861"/>
      <c r="Y467" s="861"/>
      <c r="Z467" s="861"/>
      <c r="AA467" s="861"/>
      <c r="AB467" s="861"/>
      <c r="AC467" s="861"/>
      <c r="AD467" s="861"/>
      <c r="AE467" s="861"/>
      <c r="AF467" s="861"/>
      <c r="AG467" s="861"/>
    </row>
    <row r="468" spans="1:33" ht="17.25" customHeight="1">
      <c r="A468" s="861"/>
      <c r="B468" s="861"/>
      <c r="C468" s="861"/>
      <c r="D468" s="861"/>
      <c r="E468" s="861"/>
      <c r="F468" s="861"/>
      <c r="G468" s="861"/>
      <c r="H468" s="861"/>
      <c r="I468" s="861"/>
      <c r="J468" s="861"/>
      <c r="K468" s="861"/>
      <c r="L468" s="861"/>
      <c r="M468" s="861"/>
      <c r="N468" s="861"/>
      <c r="O468" s="861"/>
      <c r="P468" s="861"/>
      <c r="Q468" s="861"/>
      <c r="R468" s="861"/>
      <c r="S468" s="861"/>
      <c r="T468" s="861"/>
      <c r="U468" s="861"/>
      <c r="V468" s="861"/>
      <c r="W468" s="861"/>
      <c r="X468" s="861"/>
      <c r="Y468" s="861"/>
      <c r="Z468" s="861"/>
      <c r="AA468" s="861"/>
      <c r="AB468" s="861"/>
      <c r="AC468" s="861"/>
      <c r="AD468" s="861"/>
      <c r="AE468" s="861"/>
      <c r="AF468" s="861"/>
      <c r="AG468" s="861"/>
    </row>
    <row r="469" spans="1:33" ht="17.25" customHeight="1">
      <c r="A469" s="861"/>
      <c r="B469" s="861"/>
      <c r="C469" s="861"/>
      <c r="D469" s="861"/>
      <c r="E469" s="861"/>
      <c r="F469" s="861"/>
      <c r="G469" s="861"/>
      <c r="H469" s="861"/>
      <c r="I469" s="861"/>
      <c r="J469" s="861"/>
      <c r="K469" s="861"/>
      <c r="L469" s="861"/>
      <c r="M469" s="861"/>
      <c r="N469" s="861"/>
      <c r="O469" s="861"/>
      <c r="P469" s="861"/>
      <c r="Q469" s="861"/>
      <c r="R469" s="861"/>
      <c r="S469" s="861"/>
      <c r="T469" s="861"/>
      <c r="U469" s="861"/>
      <c r="V469" s="861"/>
      <c r="W469" s="861"/>
      <c r="X469" s="861"/>
      <c r="Y469" s="861"/>
      <c r="Z469" s="861"/>
      <c r="AA469" s="861"/>
      <c r="AB469" s="861"/>
      <c r="AC469" s="861"/>
      <c r="AD469" s="861"/>
      <c r="AE469" s="861"/>
      <c r="AF469" s="861"/>
      <c r="AG469" s="861"/>
    </row>
    <row r="470" spans="1:33">
      <c r="A470" s="861"/>
      <c r="B470" s="861"/>
      <c r="C470" s="861"/>
      <c r="D470" s="861"/>
      <c r="E470" s="861"/>
      <c r="F470" s="861"/>
      <c r="G470" s="861"/>
      <c r="H470" s="861"/>
      <c r="I470" s="861"/>
      <c r="J470" s="861"/>
      <c r="K470" s="861"/>
      <c r="L470" s="861"/>
      <c r="M470" s="861"/>
      <c r="N470" s="861"/>
      <c r="O470" s="861"/>
      <c r="P470" s="861"/>
      <c r="Q470" s="861"/>
      <c r="R470" s="861"/>
      <c r="S470" s="861"/>
      <c r="T470" s="861"/>
      <c r="U470" s="861"/>
      <c r="V470" s="861"/>
      <c r="W470" s="861"/>
      <c r="X470" s="861"/>
      <c r="Y470" s="861"/>
      <c r="Z470" s="861"/>
      <c r="AA470" s="861"/>
      <c r="AB470" s="861"/>
      <c r="AC470" s="861"/>
      <c r="AD470" s="861"/>
      <c r="AE470" s="861"/>
      <c r="AF470" s="861"/>
      <c r="AG470" s="861"/>
    </row>
  </sheetData>
  <sheetProtection password="F66A" sheet="1"/>
  <conditionalFormatting sqref="D3">
    <cfRule type="cellIs" dxfId="300" priority="78" operator="notEqual">
      <formula>0</formula>
    </cfRule>
  </conditionalFormatting>
  <conditionalFormatting sqref="F10">
    <cfRule type="cellIs" dxfId="299" priority="59" stopIfTrue="1" operator="equal">
      <formula>1</formula>
    </cfRule>
  </conditionalFormatting>
  <conditionalFormatting sqref="K6:L6 R6:AG6">
    <cfRule type="cellIs" dxfId="298" priority="5" stopIfTrue="1" operator="equal">
      <formula>1</formula>
    </cfRule>
  </conditionalFormatting>
  <conditionalFormatting sqref="J4 K4:AG5">
    <cfRule type="expression" dxfId="297" priority="4" stopIfTrue="1">
      <formula>J$6=1</formula>
    </cfRule>
  </conditionalFormatting>
  <conditionalFormatting sqref="M6:Q6">
    <cfRule type="cellIs" dxfId="296" priority="3" stopIfTrue="1" operator="equal">
      <formula>1</formula>
    </cfRule>
  </conditionalFormatting>
  <conditionalFormatting sqref="J5">
    <cfRule type="expression" dxfId="295" priority="2" stopIfTrue="1">
      <formula>J$6=1</formula>
    </cfRule>
  </conditionalFormatting>
  <conditionalFormatting sqref="J6:AG6">
    <cfRule type="cellIs" dxfId="294" priority="1" stopIfTrue="1" operator="equal">
      <formula>1</formula>
    </cfRule>
  </conditionalFormatting>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ffering3">
    <tabColor rgb="FFFFFF00"/>
    <pageSetUpPr autoPageBreaks="0"/>
  </sheetPr>
  <dimension ref="A1:BU470"/>
  <sheetViews>
    <sheetView showGridLines="0" zoomScale="85" zoomScaleNormal="85"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cols>
    <col min="1" max="1" width="3.7109375" style="878" customWidth="1"/>
    <col min="2" max="2" width="3.85546875" style="878" customWidth="1"/>
    <col min="3" max="3" width="58.7109375" style="878" customWidth="1"/>
    <col min="4" max="4" width="11.42578125" style="878" customWidth="1"/>
    <col min="5" max="5" width="20.5703125" style="878" customWidth="1"/>
    <col min="6" max="6" width="20.140625" style="878" customWidth="1"/>
    <col min="7" max="7" width="16.140625" style="878" customWidth="1"/>
    <col min="8" max="8" width="8.7109375" style="878" customWidth="1"/>
    <col min="9" max="33" width="11.42578125" style="878" customWidth="1"/>
    <col min="34" max="73" width="0" style="878" hidden="1" customWidth="1"/>
    <col min="74" max="16384" width="11.42578125" style="878" hidden="1"/>
  </cols>
  <sheetData>
    <row r="1" spans="1:33" ht="20.25">
      <c r="A1" s="41" t="s">
        <v>964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6.5" customHeight="1">
      <c r="A2" s="127"/>
      <c r="B2" s="127"/>
      <c r="C2" s="268" t="str">
        <f>Timing!C2</f>
        <v>Model: Fictitious 5 Year Forecast</v>
      </c>
      <c r="D2" s="268"/>
      <c r="E2" s="429" t="s">
        <v>148</v>
      </c>
      <c r="F2" s="127"/>
      <c r="G2" s="127"/>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row>
    <row r="3" spans="1:33" ht="16.5" customHeight="1">
      <c r="A3" s="127"/>
      <c r="B3" s="127"/>
      <c r="C3" s="268" t="str">
        <f>Timing!C3</f>
        <v>Model Integrity:</v>
      </c>
      <c r="D3" s="668">
        <f ca="1">Timing!D3</f>
        <v>0</v>
      </c>
      <c r="E3" s="429" t="s">
        <v>149</v>
      </c>
      <c r="F3" s="127"/>
      <c r="G3" s="280"/>
      <c r="H3" s="280"/>
      <c r="I3" s="277"/>
      <c r="J3" s="281"/>
      <c r="K3" s="861"/>
      <c r="L3" s="281"/>
      <c r="M3" s="861"/>
      <c r="N3" s="281"/>
      <c r="O3" s="861"/>
      <c r="P3" s="281"/>
      <c r="Q3" s="861"/>
      <c r="R3" s="281"/>
      <c r="S3" s="861"/>
      <c r="T3" s="281"/>
      <c r="U3" s="861"/>
      <c r="V3" s="281"/>
      <c r="W3" s="861"/>
      <c r="X3" s="281"/>
      <c r="Y3" s="861"/>
      <c r="Z3" s="281"/>
      <c r="AA3" s="861"/>
      <c r="AB3" s="281"/>
      <c r="AC3" s="861"/>
      <c r="AD3" s="281"/>
      <c r="AE3" s="861"/>
      <c r="AF3" s="281"/>
      <c r="AG3" s="861"/>
    </row>
    <row r="4" spans="1:33" ht="16.5" customHeight="1">
      <c r="A4" s="275"/>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6.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6.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16.5" customHeight="1">
      <c r="A7" s="861"/>
      <c r="B7" s="861"/>
      <c r="C7" s="861" t="str">
        <f>Timing!C17</f>
        <v>Month of model</v>
      </c>
      <c r="D7" s="270" t="str">
        <f>Timing!D17</f>
        <v>#</v>
      </c>
      <c r="E7" s="861"/>
      <c r="F7" s="861"/>
      <c r="G7" s="861"/>
      <c r="H7" s="861"/>
      <c r="I7" s="861"/>
      <c r="J7" s="861">
        <f>Timing!J17</f>
        <v>1</v>
      </c>
      <c r="K7" s="861">
        <f>Timing!K17</f>
        <v>2</v>
      </c>
      <c r="L7" s="861">
        <f>Timing!L17</f>
        <v>3</v>
      </c>
      <c r="M7" s="861">
        <f>Timing!M17</f>
        <v>4</v>
      </c>
      <c r="N7" s="861">
        <f>Timing!N17</f>
        <v>5</v>
      </c>
      <c r="O7" s="861">
        <f>Timing!O17</f>
        <v>6</v>
      </c>
      <c r="P7" s="861">
        <f>Timing!P17</f>
        <v>7</v>
      </c>
      <c r="Q7" s="861">
        <f>Timing!Q17</f>
        <v>8</v>
      </c>
      <c r="R7" s="861">
        <f>Timing!R17</f>
        <v>9</v>
      </c>
      <c r="S7" s="861">
        <f>Timing!S17</f>
        <v>10</v>
      </c>
      <c r="T7" s="861">
        <f>Timing!T17</f>
        <v>11</v>
      </c>
      <c r="U7" s="861">
        <f>Timing!U17</f>
        <v>12</v>
      </c>
      <c r="V7" s="861">
        <f>Timing!V17</f>
        <v>13</v>
      </c>
      <c r="W7" s="861">
        <f>Timing!W17</f>
        <v>14</v>
      </c>
      <c r="X7" s="861">
        <f>Timing!X17</f>
        <v>15</v>
      </c>
      <c r="Y7" s="861">
        <f>Timing!Y17</f>
        <v>16</v>
      </c>
      <c r="Z7" s="861">
        <f>Timing!Z17</f>
        <v>17</v>
      </c>
      <c r="AA7" s="861">
        <f>Timing!AA17</f>
        <v>18</v>
      </c>
      <c r="AB7" s="861">
        <f>Timing!AB17</f>
        <v>19</v>
      </c>
      <c r="AC7" s="861">
        <f>Timing!AC17</f>
        <v>20</v>
      </c>
      <c r="AD7" s="861">
        <f>Timing!AD17</f>
        <v>21</v>
      </c>
      <c r="AE7" s="861">
        <f>Timing!AE17</f>
        <v>22</v>
      </c>
      <c r="AF7" s="861">
        <f>Timing!AF17</f>
        <v>23</v>
      </c>
      <c r="AG7" s="861">
        <f>Timing!AG17</f>
        <v>24</v>
      </c>
    </row>
    <row r="8" spans="1:33" ht="16.5" customHeight="1">
      <c r="A8" s="861"/>
      <c r="B8" s="861"/>
      <c r="C8" s="861" t="str">
        <f>Timing!C11</f>
        <v>Calendar Year (Counter)</v>
      </c>
      <c r="D8" s="270" t="str">
        <f>Timing!D11</f>
        <v>#</v>
      </c>
      <c r="E8" s="861"/>
      <c r="F8" s="861"/>
      <c r="G8" s="861"/>
      <c r="H8" s="861"/>
      <c r="I8" s="861"/>
      <c r="J8" s="861">
        <f>Timing!J11</f>
        <v>1</v>
      </c>
      <c r="K8" s="861">
        <f>Timing!K11</f>
        <v>1</v>
      </c>
      <c r="L8" s="861">
        <f>Timing!L11</f>
        <v>1</v>
      </c>
      <c r="M8" s="861">
        <f>Timing!M11</f>
        <v>1</v>
      </c>
      <c r="N8" s="861">
        <f>Timing!N11</f>
        <v>1</v>
      </c>
      <c r="O8" s="861">
        <f>Timing!O11</f>
        <v>1</v>
      </c>
      <c r="P8" s="861">
        <f>Timing!P11</f>
        <v>1</v>
      </c>
      <c r="Q8" s="861">
        <f>Timing!Q11</f>
        <v>1</v>
      </c>
      <c r="R8" s="861">
        <f>Timing!R11</f>
        <v>1</v>
      </c>
      <c r="S8" s="861">
        <f>Timing!S11</f>
        <v>1</v>
      </c>
      <c r="T8" s="861">
        <f>Timing!T11</f>
        <v>1</v>
      </c>
      <c r="U8" s="861">
        <f>Timing!U11</f>
        <v>2</v>
      </c>
      <c r="V8" s="861">
        <f>Timing!V11</f>
        <v>2</v>
      </c>
      <c r="W8" s="861">
        <f>Timing!W11</f>
        <v>2</v>
      </c>
      <c r="X8" s="861">
        <f>Timing!X11</f>
        <v>2</v>
      </c>
      <c r="Y8" s="861">
        <f>Timing!Y11</f>
        <v>2</v>
      </c>
      <c r="Z8" s="861">
        <f>Timing!Z11</f>
        <v>2</v>
      </c>
      <c r="AA8" s="861">
        <f>Timing!AA11</f>
        <v>2</v>
      </c>
      <c r="AB8" s="861">
        <f>Timing!AB11</f>
        <v>2</v>
      </c>
      <c r="AC8" s="861">
        <f>Timing!AC11</f>
        <v>2</v>
      </c>
      <c r="AD8" s="861">
        <f>Timing!AD11</f>
        <v>2</v>
      </c>
      <c r="AE8" s="861">
        <f>Timing!AE11</f>
        <v>2</v>
      </c>
      <c r="AF8" s="861">
        <f>Timing!AF11</f>
        <v>2</v>
      </c>
      <c r="AG8" s="861">
        <f>Timing!AG11</f>
        <v>3</v>
      </c>
    </row>
    <row r="9" spans="1:33" ht="16.5" customHeight="1">
      <c r="A9" s="861"/>
      <c r="B9" s="861"/>
      <c r="C9" s="861"/>
      <c r="D9" s="270"/>
      <c r="E9" s="861"/>
      <c r="F9" s="861"/>
      <c r="G9" s="861"/>
      <c r="H9" s="861"/>
      <c r="I9" s="861"/>
      <c r="J9" s="861"/>
      <c r="K9" s="861"/>
      <c r="L9" s="861"/>
      <c r="M9" s="861"/>
      <c r="N9" s="861"/>
      <c r="O9" s="861"/>
      <c r="P9" s="861"/>
      <c r="Q9" s="861"/>
      <c r="R9" s="861"/>
      <c r="S9" s="861"/>
      <c r="T9" s="861"/>
      <c r="U9" s="861"/>
      <c r="V9" s="861"/>
      <c r="W9" s="861"/>
      <c r="X9" s="861"/>
      <c r="Y9" s="861"/>
      <c r="Z9" s="861"/>
      <c r="AA9" s="861"/>
      <c r="AB9" s="861"/>
      <c r="AC9" s="861"/>
      <c r="AD9" s="861"/>
      <c r="AE9" s="861"/>
      <c r="AF9" s="861"/>
      <c r="AG9" s="861"/>
    </row>
    <row r="10" spans="1:33" ht="29.25" customHeight="1" thickBot="1">
      <c r="A10" s="427"/>
      <c r="B10" s="427"/>
      <c r="C10" s="427" t="str">
        <f>"Product/Service 3: "&amp;Inputs!$F$98</f>
        <v>Product/Service 3: Customizing Services</v>
      </c>
      <c r="D10" s="427"/>
      <c r="E10" s="1043" t="s">
        <v>1011</v>
      </c>
      <c r="F10" s="1019">
        <f>OnOff_PS3</f>
        <v>0</v>
      </c>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row>
    <row r="11" spans="1:33" ht="9.75" customHeight="1">
      <c r="A11" s="861"/>
      <c r="B11" s="861"/>
      <c r="C11" s="861"/>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row>
    <row r="12" spans="1:33" ht="21.75" customHeight="1">
      <c r="A12" s="861"/>
      <c r="B12" s="861"/>
      <c r="C12" s="861"/>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61"/>
      <c r="AC12" s="861"/>
      <c r="AD12" s="861"/>
      <c r="AE12" s="861"/>
      <c r="AF12" s="861"/>
      <c r="AG12" s="861"/>
    </row>
    <row r="13" spans="1:33" ht="17.25" customHeight="1">
      <c r="A13" s="861"/>
      <c r="B13" s="861"/>
      <c r="C13" s="861"/>
      <c r="D13" s="861"/>
      <c r="E13" s="861"/>
      <c r="F13" s="861"/>
      <c r="G13" s="861"/>
      <c r="H13" s="861"/>
      <c r="I13" s="861"/>
      <c r="J13" s="861"/>
      <c r="K13" s="861"/>
      <c r="L13" s="861"/>
      <c r="M13" s="861"/>
      <c r="N13" s="861"/>
      <c r="O13" s="861"/>
      <c r="P13" s="861"/>
      <c r="Q13" s="861"/>
      <c r="R13" s="861"/>
      <c r="S13" s="861"/>
      <c r="T13" s="861"/>
      <c r="U13" s="861"/>
      <c r="V13" s="861"/>
      <c r="W13" s="861"/>
      <c r="X13" s="861"/>
      <c r="Y13" s="861"/>
      <c r="Z13" s="861"/>
      <c r="AA13" s="861"/>
      <c r="AB13" s="861"/>
      <c r="AC13" s="861"/>
      <c r="AD13" s="861"/>
      <c r="AE13" s="861"/>
      <c r="AF13" s="861"/>
      <c r="AG13" s="861"/>
    </row>
    <row r="14" spans="1:33" ht="17.25" customHeight="1">
      <c r="A14" s="861"/>
      <c r="B14" s="861"/>
      <c r="C14" s="861"/>
      <c r="D14" s="861"/>
      <c r="E14" s="861"/>
      <c r="F14" s="861"/>
      <c r="G14" s="861"/>
      <c r="H14" s="861"/>
      <c r="I14" s="861"/>
      <c r="J14" s="861"/>
      <c r="K14" s="861"/>
      <c r="L14" s="861"/>
      <c r="M14" s="861"/>
      <c r="N14" s="861"/>
      <c r="O14" s="861"/>
      <c r="P14" s="861"/>
      <c r="Q14" s="861"/>
      <c r="R14" s="861"/>
      <c r="S14" s="861"/>
      <c r="T14" s="861"/>
      <c r="U14" s="861"/>
      <c r="V14" s="861"/>
      <c r="W14" s="861"/>
      <c r="X14" s="861"/>
      <c r="Y14" s="861"/>
      <c r="Z14" s="861"/>
      <c r="AA14" s="861"/>
      <c r="AB14" s="861"/>
      <c r="AC14" s="861"/>
      <c r="AD14" s="861"/>
      <c r="AE14" s="861"/>
      <c r="AF14" s="861"/>
      <c r="AG14" s="861"/>
    </row>
    <row r="15" spans="1:33" ht="17.25" customHeight="1">
      <c r="A15" s="861"/>
      <c r="B15" s="861"/>
      <c r="C15" s="861"/>
      <c r="D15" s="861"/>
      <c r="E15" s="861"/>
      <c r="F15" s="861"/>
      <c r="G15" s="861"/>
      <c r="H15" s="861"/>
      <c r="I15" s="861"/>
      <c r="J15" s="861"/>
      <c r="K15" s="861"/>
      <c r="L15" s="861"/>
      <c r="M15" s="861"/>
      <c r="N15" s="861"/>
      <c r="O15" s="861"/>
      <c r="P15" s="861"/>
      <c r="Q15" s="861"/>
      <c r="R15" s="861"/>
      <c r="S15" s="861"/>
      <c r="T15" s="861"/>
      <c r="U15" s="861"/>
      <c r="V15" s="861"/>
      <c r="W15" s="861"/>
      <c r="X15" s="861"/>
      <c r="Y15" s="861"/>
      <c r="Z15" s="861"/>
      <c r="AA15" s="861"/>
      <c r="AB15" s="861"/>
      <c r="AC15" s="861"/>
      <c r="AD15" s="861"/>
      <c r="AE15" s="861"/>
      <c r="AF15" s="861"/>
      <c r="AG15" s="861"/>
    </row>
    <row r="16" spans="1:33" ht="17.25" customHeight="1">
      <c r="A16" s="861"/>
      <c r="B16" s="861"/>
      <c r="C16" s="861"/>
      <c r="D16" s="861"/>
      <c r="E16" s="861"/>
      <c r="F16" s="861"/>
      <c r="G16" s="861"/>
      <c r="H16" s="861"/>
      <c r="I16" s="861"/>
      <c r="J16" s="861"/>
      <c r="K16" s="861"/>
      <c r="L16" s="861"/>
      <c r="M16" s="861"/>
      <c r="N16" s="861"/>
      <c r="O16" s="861"/>
      <c r="P16" s="861"/>
      <c r="Q16" s="861"/>
      <c r="R16" s="861"/>
      <c r="S16" s="861"/>
      <c r="T16" s="861"/>
      <c r="U16" s="861"/>
      <c r="V16" s="861"/>
      <c r="W16" s="861"/>
      <c r="X16" s="861"/>
      <c r="Y16" s="861"/>
      <c r="Z16" s="861"/>
      <c r="AA16" s="861"/>
      <c r="AB16" s="861"/>
      <c r="AC16" s="861"/>
      <c r="AD16" s="861"/>
      <c r="AE16" s="861"/>
      <c r="AF16" s="861"/>
      <c r="AG16" s="861"/>
    </row>
    <row r="17" spans="1:33" ht="9" customHeight="1">
      <c r="A17" s="861"/>
      <c r="B17" s="861"/>
      <c r="C17" s="861"/>
      <c r="D17" s="861"/>
      <c r="E17" s="861"/>
      <c r="F17" s="861"/>
      <c r="G17" s="861"/>
      <c r="H17" s="861"/>
      <c r="I17" s="861"/>
      <c r="J17" s="861"/>
      <c r="K17" s="861"/>
      <c r="L17" s="861"/>
      <c r="M17" s="861"/>
      <c r="N17" s="861"/>
      <c r="O17" s="861"/>
      <c r="P17" s="861"/>
      <c r="Q17" s="861"/>
      <c r="R17" s="861"/>
      <c r="S17" s="861"/>
      <c r="T17" s="861"/>
      <c r="U17" s="861"/>
      <c r="V17" s="861"/>
      <c r="W17" s="861"/>
      <c r="X17" s="861"/>
      <c r="Y17" s="861"/>
      <c r="Z17" s="861"/>
      <c r="AA17" s="861"/>
      <c r="AB17" s="861"/>
      <c r="AC17" s="861"/>
      <c r="AD17" s="861"/>
      <c r="AE17" s="861"/>
      <c r="AF17" s="861"/>
      <c r="AG17" s="861"/>
    </row>
    <row r="18" spans="1:33" ht="17.25" customHeight="1">
      <c r="A18" s="861"/>
      <c r="B18" s="861"/>
      <c r="C18" s="861"/>
      <c r="D18" s="861"/>
      <c r="E18" s="861"/>
      <c r="F18" s="861"/>
      <c r="G18" s="861"/>
      <c r="H18" s="861"/>
      <c r="I18" s="861"/>
      <c r="J18" s="861"/>
      <c r="K18" s="861"/>
      <c r="L18" s="861"/>
      <c r="M18" s="861"/>
      <c r="N18" s="861"/>
      <c r="O18" s="861"/>
      <c r="P18" s="861"/>
      <c r="Q18" s="861"/>
      <c r="R18" s="861"/>
      <c r="S18" s="861"/>
      <c r="T18" s="861"/>
      <c r="U18" s="861"/>
      <c r="V18" s="861"/>
      <c r="W18" s="861"/>
      <c r="X18" s="861"/>
      <c r="Y18" s="861"/>
      <c r="Z18" s="861"/>
      <c r="AA18" s="861"/>
      <c r="AB18" s="861"/>
      <c r="AC18" s="861"/>
      <c r="AD18" s="861"/>
      <c r="AE18" s="861"/>
      <c r="AF18" s="861"/>
      <c r="AG18" s="861"/>
    </row>
    <row r="19" spans="1:33" ht="17.25" customHeight="1">
      <c r="A19" s="861"/>
      <c r="B19" s="861"/>
      <c r="C19" s="861"/>
      <c r="D19" s="861"/>
      <c r="E19" s="861"/>
      <c r="F19" s="861"/>
      <c r="G19" s="861"/>
      <c r="H19" s="861"/>
      <c r="I19" s="861"/>
      <c r="J19" s="861"/>
      <c r="K19" s="861"/>
      <c r="L19" s="861"/>
      <c r="M19" s="861"/>
      <c r="N19" s="861"/>
      <c r="O19" s="861"/>
      <c r="P19" s="861"/>
      <c r="Q19" s="861"/>
      <c r="R19" s="861"/>
      <c r="S19" s="861"/>
      <c r="T19" s="861"/>
      <c r="U19" s="861"/>
      <c r="V19" s="861"/>
      <c r="W19" s="861"/>
      <c r="X19" s="861"/>
      <c r="Y19" s="861"/>
      <c r="Z19" s="861"/>
      <c r="AA19" s="861"/>
      <c r="AB19" s="861"/>
      <c r="AC19" s="861"/>
      <c r="AD19" s="861"/>
      <c r="AE19" s="861"/>
      <c r="AF19" s="861"/>
      <c r="AG19" s="861"/>
    </row>
    <row r="20" spans="1:33" ht="21.75" customHeight="1">
      <c r="A20" s="861"/>
      <c r="B20" s="861"/>
      <c r="C20" s="861"/>
      <c r="D20" s="861"/>
      <c r="E20" s="861"/>
      <c r="F20" s="861"/>
      <c r="G20" s="861"/>
      <c r="H20" s="861"/>
      <c r="I20" s="861"/>
      <c r="J20" s="861"/>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row>
    <row r="21" spans="1:33" ht="17.25" customHeight="1">
      <c r="A21" s="861"/>
      <c r="B21" s="861"/>
      <c r="C21" s="861"/>
      <c r="D21" s="861"/>
      <c r="E21" s="861"/>
      <c r="F21" s="861"/>
      <c r="G21" s="861"/>
      <c r="H21" s="861"/>
      <c r="I21" s="861"/>
      <c r="J21" s="861"/>
      <c r="K21" s="861"/>
      <c r="L21" s="861"/>
      <c r="M21" s="861"/>
      <c r="N21" s="861"/>
      <c r="O21" s="861"/>
      <c r="P21" s="861"/>
      <c r="Q21" s="861"/>
      <c r="R21" s="861"/>
      <c r="S21" s="861"/>
      <c r="T21" s="861"/>
      <c r="U21" s="861"/>
      <c r="V21" s="861"/>
      <c r="W21" s="861"/>
      <c r="X21" s="861"/>
      <c r="Y21" s="861"/>
      <c r="Z21" s="861"/>
      <c r="AA21" s="861"/>
      <c r="AB21" s="861"/>
      <c r="AC21" s="861"/>
      <c r="AD21" s="861"/>
      <c r="AE21" s="861"/>
      <c r="AF21" s="861"/>
      <c r="AG21" s="861"/>
    </row>
    <row r="22" spans="1:33" ht="17.25" customHeight="1">
      <c r="A22" s="861"/>
      <c r="B22" s="861"/>
      <c r="C22" s="861"/>
      <c r="D22" s="861"/>
      <c r="E22" s="861"/>
      <c r="F22" s="861"/>
      <c r="G22" s="861"/>
      <c r="H22" s="861"/>
      <c r="I22" s="861"/>
      <c r="J22" s="861"/>
      <c r="K22" s="861"/>
      <c r="L22" s="861"/>
      <c r="M22" s="861"/>
      <c r="N22" s="861"/>
      <c r="O22" s="861"/>
      <c r="P22" s="861"/>
      <c r="Q22" s="861"/>
      <c r="R22" s="861"/>
      <c r="S22" s="861"/>
      <c r="T22" s="861"/>
      <c r="U22" s="861"/>
      <c r="V22" s="861"/>
      <c r="W22" s="861"/>
      <c r="X22" s="861"/>
      <c r="Y22" s="861"/>
      <c r="Z22" s="861"/>
      <c r="AA22" s="861"/>
      <c r="AB22" s="861"/>
      <c r="AC22" s="861"/>
      <c r="AD22" s="861"/>
      <c r="AE22" s="861"/>
      <c r="AF22" s="861"/>
      <c r="AG22" s="861"/>
    </row>
    <row r="23" spans="1:33" ht="17.25" customHeight="1">
      <c r="A23" s="861"/>
      <c r="B23" s="861"/>
      <c r="C23" s="861"/>
      <c r="D23" s="861"/>
      <c r="E23" s="861"/>
      <c r="F23" s="861"/>
      <c r="G23" s="861"/>
      <c r="H23" s="861"/>
      <c r="I23" s="861"/>
      <c r="J23" s="861"/>
      <c r="K23" s="861"/>
      <c r="L23" s="861"/>
      <c r="M23" s="861"/>
      <c r="N23" s="861"/>
      <c r="O23" s="861"/>
      <c r="P23" s="861"/>
      <c r="Q23" s="861"/>
      <c r="R23" s="861"/>
      <c r="S23" s="861"/>
      <c r="T23" s="861"/>
      <c r="U23" s="861"/>
      <c r="V23" s="861"/>
      <c r="W23" s="861"/>
      <c r="X23" s="861"/>
      <c r="Y23" s="861"/>
      <c r="Z23" s="861"/>
      <c r="AA23" s="861"/>
      <c r="AB23" s="861"/>
      <c r="AC23" s="861"/>
      <c r="AD23" s="861"/>
      <c r="AE23" s="861"/>
      <c r="AF23" s="861"/>
      <c r="AG23" s="861"/>
    </row>
    <row r="24" spans="1:33" ht="17.25" customHeight="1">
      <c r="A24" s="861"/>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row>
    <row r="25" spans="1:33" ht="17.25" customHeight="1">
      <c r="A25" s="861"/>
      <c r="B25" s="861"/>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row>
    <row r="26" spans="1:33" ht="17.25" customHeight="1">
      <c r="A26" s="861"/>
      <c r="B26" s="861"/>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row>
    <row r="27" spans="1:33" ht="17.25" customHeight="1">
      <c r="A27" s="861"/>
      <c r="B27" s="861"/>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row>
    <row r="28" spans="1:33" ht="17.25" customHeight="1">
      <c r="A28" s="861"/>
      <c r="B28" s="861"/>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row>
    <row r="29" spans="1:33" ht="17.25" customHeight="1">
      <c r="A29" s="861"/>
      <c r="B29" s="861"/>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row>
    <row r="30" spans="1:33" ht="17.25" customHeight="1">
      <c r="A30" s="861"/>
      <c r="B30" s="861"/>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row>
    <row r="31" spans="1:33" ht="17.25" customHeight="1">
      <c r="A31" s="861"/>
      <c r="B31" s="861"/>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row>
    <row r="32" spans="1:33" ht="17.25" customHeight="1">
      <c r="A32" s="861"/>
      <c r="B32" s="861"/>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row>
    <row r="33" spans="1:33" ht="17.25" customHeight="1">
      <c r="A33" s="861"/>
      <c r="B33" s="861"/>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row>
    <row r="34" spans="1:33" ht="17.25" customHeight="1">
      <c r="A34" s="861"/>
      <c r="B34" s="861"/>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row>
    <row r="35" spans="1:33" ht="17.25" customHeight="1">
      <c r="A35" s="861"/>
      <c r="B35" s="861"/>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row>
    <row r="36" spans="1:33" ht="17.25" customHeight="1">
      <c r="A36" s="861"/>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row>
    <row r="37" spans="1:33" ht="17.25" customHeight="1">
      <c r="A37" s="861"/>
      <c r="B37" s="861"/>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row>
    <row r="38" spans="1:33" ht="17.25" customHeight="1">
      <c r="A38" s="861"/>
      <c r="B38" s="861"/>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row>
    <row r="39" spans="1:33" ht="17.25" customHeight="1">
      <c r="A39" s="861"/>
      <c r="B39" s="861"/>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row>
    <row r="40" spans="1:33" ht="17.25" customHeight="1">
      <c r="A40" s="861"/>
      <c r="B40" s="861"/>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row>
    <row r="41" spans="1:33" ht="17.25" customHeight="1">
      <c r="A41" s="861"/>
      <c r="B41" s="861"/>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row>
    <row r="42" spans="1:33" ht="17.25" customHeight="1">
      <c r="A42" s="861"/>
      <c r="B42" s="861"/>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row>
    <row r="43" spans="1:33" ht="17.25" customHeight="1">
      <c r="A43" s="861"/>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row>
    <row r="44" spans="1:33" ht="21.75" customHeight="1">
      <c r="A44" s="861"/>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row>
    <row r="45" spans="1:33" ht="17.25" customHeight="1">
      <c r="A45" s="861"/>
      <c r="B45" s="861"/>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row>
    <row r="46" spans="1:33" ht="17.25" customHeight="1">
      <c r="A46" s="861"/>
      <c r="B46" s="861"/>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row>
    <row r="47" spans="1:33" ht="17.25" customHeight="1">
      <c r="A47" s="861"/>
      <c r="B47" s="861"/>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row>
    <row r="48" spans="1:33" ht="17.25" customHeight="1">
      <c r="A48" s="861"/>
      <c r="B48" s="861"/>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row>
    <row r="49" spans="1:33" ht="17.25" customHeight="1">
      <c r="A49" s="861"/>
      <c r="B49" s="861"/>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row>
    <row r="50" spans="1:33" ht="17.25" customHeight="1">
      <c r="A50" s="861"/>
      <c r="B50" s="861"/>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row>
    <row r="51" spans="1:33" ht="17.25" customHeight="1">
      <c r="A51" s="861"/>
      <c r="B51" s="861"/>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row>
    <row r="52" spans="1:33" ht="17.25" customHeight="1">
      <c r="A52" s="861"/>
      <c r="B52" s="861"/>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row>
    <row r="53" spans="1:33" ht="17.25" customHeight="1">
      <c r="A53" s="861"/>
      <c r="B53" s="861"/>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row>
    <row r="54" spans="1:33" ht="17.25" customHeight="1">
      <c r="A54" s="861"/>
      <c r="B54" s="861"/>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row>
    <row r="55" spans="1:33" ht="17.25" customHeight="1">
      <c r="A55" s="861"/>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row>
    <row r="56" spans="1:33" ht="17.25" customHeight="1">
      <c r="A56" s="861"/>
      <c r="B56" s="861"/>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row>
    <row r="57" spans="1:33" ht="17.25" customHeight="1">
      <c r="A57" s="861"/>
      <c r="B57" s="861"/>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row>
    <row r="58" spans="1:33" ht="17.25" customHeight="1">
      <c r="A58" s="861"/>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row>
    <row r="59" spans="1:33" ht="21.75" customHeight="1">
      <c r="A59" s="861"/>
      <c r="B59" s="861"/>
      <c r="C59" s="861"/>
      <c r="D59" s="861"/>
      <c r="E59" s="861"/>
      <c r="F59" s="861"/>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row>
    <row r="60" spans="1:33" ht="17.25" customHeight="1">
      <c r="A60" s="861"/>
      <c r="B60" s="861"/>
      <c r="C60" s="861"/>
      <c r="D60" s="861"/>
      <c r="E60" s="861"/>
      <c r="F60" s="861"/>
      <c r="G60" s="861"/>
      <c r="H60" s="861"/>
      <c r="I60" s="861"/>
      <c r="J60" s="861"/>
      <c r="K60" s="861"/>
      <c r="L60" s="861"/>
      <c r="M60" s="861"/>
      <c r="N60" s="861"/>
      <c r="O60" s="861"/>
      <c r="P60" s="861"/>
      <c r="Q60" s="861"/>
      <c r="R60" s="861"/>
      <c r="S60" s="861"/>
      <c r="T60" s="861"/>
      <c r="U60" s="861"/>
      <c r="V60" s="861"/>
      <c r="W60" s="861"/>
      <c r="X60" s="861"/>
      <c r="Y60" s="861"/>
      <c r="Z60" s="861"/>
      <c r="AA60" s="861"/>
      <c r="AB60" s="861"/>
      <c r="AC60" s="861"/>
      <c r="AD60" s="861"/>
      <c r="AE60" s="861"/>
      <c r="AF60" s="861"/>
      <c r="AG60" s="861"/>
    </row>
    <row r="61" spans="1:33" ht="17.25" customHeight="1">
      <c r="A61" s="861"/>
      <c r="B61" s="861"/>
      <c r="C61" s="861"/>
      <c r="D61" s="861"/>
      <c r="E61" s="861"/>
      <c r="F61" s="861"/>
      <c r="G61" s="861"/>
      <c r="H61" s="861"/>
      <c r="I61" s="861"/>
      <c r="J61" s="861"/>
      <c r="K61" s="861"/>
      <c r="L61" s="861"/>
      <c r="M61" s="861"/>
      <c r="N61" s="861"/>
      <c r="O61" s="861"/>
      <c r="P61" s="861"/>
      <c r="Q61" s="861"/>
      <c r="R61" s="861"/>
      <c r="S61" s="861"/>
      <c r="T61" s="861"/>
      <c r="U61" s="861"/>
      <c r="V61" s="861"/>
      <c r="W61" s="861"/>
      <c r="X61" s="861"/>
      <c r="Y61" s="861"/>
      <c r="Z61" s="861"/>
      <c r="AA61" s="861"/>
      <c r="AB61" s="861"/>
      <c r="AC61" s="861"/>
      <c r="AD61" s="861"/>
      <c r="AE61" s="861"/>
      <c r="AF61" s="861"/>
      <c r="AG61" s="861"/>
    </row>
    <row r="62" spans="1:33" ht="17.25" customHeight="1">
      <c r="A62" s="861"/>
      <c r="B62" s="861"/>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row>
    <row r="63" spans="1:33" ht="17.25" customHeight="1">
      <c r="A63" s="861"/>
      <c r="B63" s="861"/>
      <c r="C63" s="861"/>
      <c r="D63" s="861"/>
      <c r="E63" s="861"/>
      <c r="F63" s="86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row>
    <row r="64" spans="1:33" ht="17.25" customHeight="1">
      <c r="A64" s="861"/>
      <c r="B64" s="861"/>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row>
    <row r="65" spans="1:33" ht="17.25" customHeight="1">
      <c r="A65" s="861"/>
      <c r="B65" s="861"/>
      <c r="C65" s="861"/>
      <c r="D65" s="861"/>
      <c r="E65" s="861"/>
      <c r="F65" s="861"/>
      <c r="G65" s="861"/>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row>
    <row r="66" spans="1:33" ht="17.25" customHeight="1">
      <c r="A66" s="861"/>
      <c r="B66" s="861"/>
      <c r="C66" s="861"/>
      <c r="D66" s="861"/>
      <c r="E66" s="861"/>
      <c r="F66" s="861"/>
      <c r="G66" s="861"/>
      <c r="H66" s="861"/>
      <c r="I66" s="861"/>
      <c r="J66" s="861"/>
      <c r="K66" s="861"/>
      <c r="L66" s="861"/>
      <c r="M66" s="861"/>
      <c r="N66" s="861"/>
      <c r="O66" s="861"/>
      <c r="P66" s="861"/>
      <c r="Q66" s="861"/>
      <c r="R66" s="861"/>
      <c r="S66" s="861"/>
      <c r="T66" s="861"/>
      <c r="U66" s="861"/>
      <c r="V66" s="861"/>
      <c r="W66" s="861"/>
      <c r="X66" s="861"/>
      <c r="Y66" s="861"/>
      <c r="Z66" s="861"/>
      <c r="AA66" s="861"/>
      <c r="AB66" s="861"/>
      <c r="AC66" s="861"/>
      <c r="AD66" s="861"/>
      <c r="AE66" s="861"/>
      <c r="AF66" s="861"/>
      <c r="AG66" s="861"/>
    </row>
    <row r="67" spans="1:33" ht="17.25" customHeight="1">
      <c r="A67" s="861"/>
      <c r="B67" s="861"/>
      <c r="C67" s="861"/>
      <c r="D67" s="861"/>
      <c r="E67" s="861"/>
      <c r="F67" s="861"/>
      <c r="G67" s="861"/>
      <c r="H67" s="861"/>
      <c r="I67" s="861"/>
      <c r="J67" s="861"/>
      <c r="K67" s="861"/>
      <c r="L67" s="861"/>
      <c r="M67" s="861"/>
      <c r="N67" s="861"/>
      <c r="O67" s="861"/>
      <c r="P67" s="861"/>
      <c r="Q67" s="861"/>
      <c r="R67" s="861"/>
      <c r="S67" s="861"/>
      <c r="T67" s="861"/>
      <c r="U67" s="861"/>
      <c r="V67" s="861"/>
      <c r="W67" s="861"/>
      <c r="X67" s="861"/>
      <c r="Y67" s="861"/>
      <c r="Z67" s="861"/>
      <c r="AA67" s="861"/>
      <c r="AB67" s="861"/>
      <c r="AC67" s="861"/>
      <c r="AD67" s="861"/>
      <c r="AE67" s="861"/>
      <c r="AF67" s="861"/>
      <c r="AG67" s="861"/>
    </row>
    <row r="68" spans="1:33" ht="17.25" customHeight="1">
      <c r="A68" s="861"/>
      <c r="B68" s="861"/>
      <c r="C68" s="861"/>
      <c r="D68" s="861"/>
      <c r="E68" s="861"/>
      <c r="F68" s="861"/>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row>
    <row r="69" spans="1:33" ht="17.25" customHeight="1">
      <c r="A69" s="861"/>
      <c r="B69" s="861"/>
      <c r="C69" s="861"/>
      <c r="D69" s="861"/>
      <c r="E69" s="861"/>
      <c r="F69" s="861"/>
      <c r="G69" s="861"/>
      <c r="H69" s="861"/>
      <c r="I69" s="861"/>
      <c r="J69" s="861"/>
      <c r="K69" s="861"/>
      <c r="L69" s="861"/>
      <c r="M69" s="861"/>
      <c r="N69" s="861"/>
      <c r="O69" s="861"/>
      <c r="P69" s="861"/>
      <c r="Q69" s="861"/>
      <c r="R69" s="861"/>
      <c r="S69" s="861"/>
      <c r="T69" s="861"/>
      <c r="U69" s="861"/>
      <c r="V69" s="861"/>
      <c r="W69" s="861"/>
      <c r="X69" s="861"/>
      <c r="Y69" s="861"/>
      <c r="Z69" s="861"/>
      <c r="AA69" s="861"/>
      <c r="AB69" s="861"/>
      <c r="AC69" s="861"/>
      <c r="AD69" s="861"/>
      <c r="AE69" s="861"/>
      <c r="AF69" s="861"/>
      <c r="AG69" s="861"/>
    </row>
    <row r="70" spans="1:33" ht="17.25" customHeight="1">
      <c r="A70" s="861"/>
      <c r="B70" s="861"/>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AE70" s="861"/>
      <c r="AF70" s="861"/>
      <c r="AG70" s="861"/>
    </row>
    <row r="71" spans="1:33" ht="17.25" customHeight="1">
      <c r="A71" s="861"/>
      <c r="B71" s="861"/>
      <c r="C71" s="861"/>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row>
    <row r="72" spans="1:33" ht="17.25" customHeight="1">
      <c r="A72" s="861"/>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row>
    <row r="73" spans="1:33" ht="17.25" customHeight="1">
      <c r="A73" s="861"/>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row>
    <row r="74" spans="1:33" ht="21.75" customHeight="1">
      <c r="A74" s="861"/>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row>
    <row r="75" spans="1:33" ht="17.25" customHeight="1">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row>
    <row r="76" spans="1:33" ht="17.25" customHeight="1">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row>
    <row r="77" spans="1:33" ht="17.25" customHeight="1">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row>
    <row r="78" spans="1:33" ht="17.25" customHeight="1">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row>
    <row r="79" spans="1:33" ht="17.25" customHeight="1">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row>
    <row r="80" spans="1:33" ht="21.75" customHeight="1">
      <c r="A80" s="861"/>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row>
    <row r="81" spans="1:33" ht="17.25" customHeight="1">
      <c r="A81" s="861"/>
      <c r="B81" s="861"/>
      <c r="C81" s="861"/>
      <c r="D81" s="861"/>
      <c r="E81" s="861"/>
      <c r="F81" s="861"/>
      <c r="G81" s="861"/>
      <c r="H81" s="861"/>
      <c r="I81" s="861"/>
      <c r="J81" s="861"/>
      <c r="K81" s="861"/>
      <c r="L81" s="861"/>
      <c r="M81" s="861"/>
      <c r="N81" s="861"/>
      <c r="O81" s="861"/>
      <c r="P81" s="861"/>
      <c r="Q81" s="861"/>
      <c r="R81" s="861"/>
      <c r="S81" s="861"/>
      <c r="T81" s="861"/>
      <c r="U81" s="861"/>
      <c r="V81" s="861"/>
      <c r="W81" s="861"/>
      <c r="X81" s="861"/>
      <c r="Y81" s="861"/>
      <c r="Z81" s="861"/>
      <c r="AA81" s="861"/>
      <c r="AB81" s="861"/>
      <c r="AC81" s="861"/>
      <c r="AD81" s="861"/>
      <c r="AE81" s="861"/>
      <c r="AF81" s="861"/>
      <c r="AG81" s="861"/>
    </row>
    <row r="82" spans="1:33" ht="17.25" customHeight="1">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row>
    <row r="83" spans="1:33" ht="17.25" customHeight="1">
      <c r="A83" s="861"/>
      <c r="B83" s="861"/>
      <c r="C83" s="861"/>
      <c r="D83" s="861"/>
      <c r="E83" s="861"/>
      <c r="F83" s="861"/>
      <c r="G83" s="861"/>
      <c r="H83" s="861"/>
      <c r="I83" s="861"/>
      <c r="J83" s="861"/>
      <c r="K83" s="861"/>
      <c r="L83" s="861"/>
      <c r="M83" s="861"/>
      <c r="N83" s="861"/>
      <c r="O83" s="861"/>
      <c r="P83" s="861"/>
      <c r="Q83" s="861"/>
      <c r="R83" s="861"/>
      <c r="S83" s="861"/>
      <c r="T83" s="861"/>
      <c r="U83" s="861"/>
      <c r="V83" s="861"/>
      <c r="W83" s="861"/>
      <c r="X83" s="861"/>
      <c r="Y83" s="861"/>
      <c r="Z83" s="861"/>
      <c r="AA83" s="861"/>
      <c r="AB83" s="861"/>
      <c r="AC83" s="861"/>
      <c r="AD83" s="861"/>
      <c r="AE83" s="861"/>
      <c r="AF83" s="861"/>
      <c r="AG83" s="861"/>
    </row>
    <row r="84" spans="1:33" ht="17.25" customHeight="1">
      <c r="A84" s="861"/>
      <c r="B84" s="861"/>
      <c r="C84" s="861"/>
      <c r="D84" s="861"/>
      <c r="E84" s="861"/>
      <c r="F84" s="861"/>
      <c r="G84" s="861"/>
      <c r="H84" s="861"/>
      <c r="I84" s="861"/>
      <c r="J84" s="861"/>
      <c r="K84" s="861"/>
      <c r="L84" s="861"/>
      <c r="M84" s="861"/>
      <c r="N84" s="861"/>
      <c r="O84" s="861"/>
      <c r="P84" s="861"/>
      <c r="Q84" s="861"/>
      <c r="R84" s="861"/>
      <c r="S84" s="861"/>
      <c r="T84" s="861"/>
      <c r="U84" s="861"/>
      <c r="V84" s="861"/>
      <c r="W84" s="861"/>
      <c r="X84" s="861"/>
      <c r="Y84" s="861"/>
      <c r="Z84" s="861"/>
      <c r="AA84" s="861"/>
      <c r="AB84" s="861"/>
      <c r="AC84" s="861"/>
      <c r="AD84" s="861"/>
      <c r="AE84" s="861"/>
      <c r="AF84" s="861"/>
      <c r="AG84" s="861"/>
    </row>
    <row r="85" spans="1:33" ht="17.25" customHeight="1">
      <c r="A85" s="861"/>
      <c r="B85" s="861"/>
      <c r="C85" s="861"/>
      <c r="D85" s="861"/>
      <c r="E85" s="861"/>
      <c r="F85" s="861"/>
      <c r="G85" s="861"/>
      <c r="H85" s="861"/>
      <c r="I85" s="861"/>
      <c r="J85" s="861"/>
      <c r="K85" s="861"/>
      <c r="L85" s="861"/>
      <c r="M85" s="861"/>
      <c r="N85" s="861"/>
      <c r="O85" s="861"/>
      <c r="P85" s="861"/>
      <c r="Q85" s="861"/>
      <c r="R85" s="861"/>
      <c r="S85" s="861"/>
      <c r="T85" s="861"/>
      <c r="U85" s="861"/>
      <c r="V85" s="861"/>
      <c r="W85" s="861"/>
      <c r="X85" s="861"/>
      <c r="Y85" s="861"/>
      <c r="Z85" s="861"/>
      <c r="AA85" s="861"/>
      <c r="AB85" s="861"/>
      <c r="AC85" s="861"/>
      <c r="AD85" s="861"/>
      <c r="AE85" s="861"/>
      <c r="AF85" s="861"/>
      <c r="AG85" s="861"/>
    </row>
    <row r="86" spans="1:33" ht="17.25" customHeight="1">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row>
    <row r="87" spans="1:33" ht="17.25" customHeight="1">
      <c r="A87" s="861"/>
      <c r="B87" s="861"/>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row>
    <row r="88" spans="1:33" ht="17.25" customHeight="1">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c r="Z88" s="861"/>
      <c r="AA88" s="861"/>
      <c r="AB88" s="861"/>
      <c r="AC88" s="861"/>
      <c r="AD88" s="861"/>
      <c r="AE88" s="861"/>
      <c r="AF88" s="861"/>
      <c r="AG88" s="861"/>
    </row>
    <row r="89" spans="1:33" ht="17.25" customHeight="1">
      <c r="A89" s="861"/>
      <c r="B89" s="861"/>
      <c r="C89" s="861"/>
      <c r="D89" s="861"/>
      <c r="E89" s="861"/>
      <c r="F89" s="861"/>
      <c r="G89" s="861"/>
      <c r="H89" s="861"/>
      <c r="I89" s="861"/>
      <c r="J89" s="861"/>
      <c r="K89" s="861"/>
      <c r="L89" s="861"/>
      <c r="M89" s="861"/>
      <c r="N89" s="861"/>
      <c r="O89" s="861"/>
      <c r="P89" s="861"/>
      <c r="Q89" s="861"/>
      <c r="R89" s="861"/>
      <c r="S89" s="861"/>
      <c r="T89" s="861"/>
      <c r="U89" s="861"/>
      <c r="V89" s="861"/>
      <c r="W89" s="861"/>
      <c r="X89" s="861"/>
      <c r="Y89" s="861"/>
      <c r="Z89" s="861"/>
      <c r="AA89" s="861"/>
      <c r="AB89" s="861"/>
      <c r="AC89" s="861"/>
      <c r="AD89" s="861"/>
      <c r="AE89" s="861"/>
      <c r="AF89" s="861"/>
      <c r="AG89" s="861"/>
    </row>
    <row r="90" spans="1:33" ht="17.25" customHeight="1">
      <c r="A90" s="861"/>
      <c r="B90" s="861"/>
      <c r="C90" s="861"/>
      <c r="D90" s="861"/>
      <c r="E90" s="861"/>
      <c r="F90" s="861"/>
      <c r="G90" s="861"/>
      <c r="H90" s="861"/>
      <c r="I90" s="861"/>
      <c r="J90" s="861"/>
      <c r="K90" s="861"/>
      <c r="L90" s="861"/>
      <c r="M90" s="861"/>
      <c r="N90" s="861"/>
      <c r="O90" s="861"/>
      <c r="P90" s="861"/>
      <c r="Q90" s="861"/>
      <c r="R90" s="861"/>
      <c r="S90" s="861"/>
      <c r="T90" s="861"/>
      <c r="U90" s="861"/>
      <c r="V90" s="861"/>
      <c r="W90" s="861"/>
      <c r="X90" s="861"/>
      <c r="Y90" s="861"/>
      <c r="Z90" s="861"/>
      <c r="AA90" s="861"/>
      <c r="AB90" s="861"/>
      <c r="AC90" s="861"/>
      <c r="AD90" s="861"/>
      <c r="AE90" s="861"/>
      <c r="AF90" s="861"/>
      <c r="AG90" s="861"/>
    </row>
    <row r="91" spans="1:33" ht="17.25" customHeight="1">
      <c r="A91" s="861"/>
      <c r="B91" s="861"/>
      <c r="C91" s="861"/>
      <c r="D91" s="861"/>
      <c r="E91" s="861"/>
      <c r="F91" s="861"/>
      <c r="G91" s="861"/>
      <c r="H91" s="861"/>
      <c r="I91" s="861"/>
      <c r="J91" s="861"/>
      <c r="K91" s="861"/>
      <c r="L91" s="861"/>
      <c r="M91" s="861"/>
      <c r="N91" s="861"/>
      <c r="O91" s="861"/>
      <c r="P91" s="861"/>
      <c r="Q91" s="861"/>
      <c r="R91" s="861"/>
      <c r="S91" s="861"/>
      <c r="T91" s="861"/>
      <c r="U91" s="861"/>
      <c r="V91" s="861"/>
      <c r="W91" s="861"/>
      <c r="X91" s="861"/>
      <c r="Y91" s="861"/>
      <c r="Z91" s="861"/>
      <c r="AA91" s="861"/>
      <c r="AB91" s="861"/>
      <c r="AC91" s="861"/>
      <c r="AD91" s="861"/>
      <c r="AE91" s="861"/>
      <c r="AF91" s="861"/>
      <c r="AG91" s="861"/>
    </row>
    <row r="92" spans="1:33" ht="17.25" customHeight="1">
      <c r="A92" s="861"/>
      <c r="B92" s="861"/>
      <c r="C92" s="861"/>
      <c r="D92" s="861"/>
      <c r="E92" s="861"/>
      <c r="F92" s="861"/>
      <c r="G92" s="861"/>
      <c r="H92" s="861"/>
      <c r="I92" s="861"/>
      <c r="J92" s="861"/>
      <c r="K92" s="861"/>
      <c r="L92" s="861"/>
      <c r="M92" s="861"/>
      <c r="N92" s="861"/>
      <c r="O92" s="861"/>
      <c r="P92" s="861"/>
      <c r="Q92" s="861"/>
      <c r="R92" s="861"/>
      <c r="S92" s="861"/>
      <c r="T92" s="861"/>
      <c r="U92" s="861"/>
      <c r="V92" s="861"/>
      <c r="W92" s="861"/>
      <c r="X92" s="861"/>
      <c r="Y92" s="861"/>
      <c r="Z92" s="861"/>
      <c r="AA92" s="861"/>
      <c r="AB92" s="861"/>
      <c r="AC92" s="861"/>
      <c r="AD92" s="861"/>
      <c r="AE92" s="861"/>
      <c r="AF92" s="861"/>
      <c r="AG92" s="861"/>
    </row>
    <row r="93" spans="1:33" ht="17.25" customHeight="1">
      <c r="A93" s="861"/>
      <c r="B93" s="861"/>
      <c r="C93" s="861"/>
      <c r="D93" s="861"/>
      <c r="E93" s="861"/>
      <c r="F93" s="861"/>
      <c r="G93" s="861"/>
      <c r="H93" s="861"/>
      <c r="I93" s="861"/>
      <c r="J93" s="861"/>
      <c r="K93" s="861"/>
      <c r="L93" s="861"/>
      <c r="M93" s="861"/>
      <c r="N93" s="861"/>
      <c r="O93" s="861"/>
      <c r="P93" s="861"/>
      <c r="Q93" s="861"/>
      <c r="R93" s="861"/>
      <c r="S93" s="861"/>
      <c r="T93" s="861"/>
      <c r="U93" s="861"/>
      <c r="V93" s="861"/>
      <c r="W93" s="861"/>
      <c r="X93" s="861"/>
      <c r="Y93" s="861"/>
      <c r="Z93" s="861"/>
      <c r="AA93" s="861"/>
      <c r="AB93" s="861"/>
      <c r="AC93" s="861"/>
      <c r="AD93" s="861"/>
      <c r="AE93" s="861"/>
      <c r="AF93" s="861"/>
      <c r="AG93" s="861"/>
    </row>
    <row r="94" spans="1:33" ht="17.25" customHeight="1">
      <c r="A94" s="861"/>
      <c r="B94" s="861"/>
      <c r="C94" s="861"/>
      <c r="D94" s="861"/>
      <c r="E94" s="861"/>
      <c r="F94" s="861"/>
      <c r="G94" s="861"/>
      <c r="H94" s="861"/>
      <c r="I94" s="861"/>
      <c r="J94" s="861"/>
      <c r="K94" s="861"/>
      <c r="L94" s="861"/>
      <c r="M94" s="861"/>
      <c r="N94" s="861"/>
      <c r="O94" s="861"/>
      <c r="P94" s="861"/>
      <c r="Q94" s="861"/>
      <c r="R94" s="861"/>
      <c r="S94" s="861"/>
      <c r="T94" s="861"/>
      <c r="U94" s="861"/>
      <c r="V94" s="861"/>
      <c r="W94" s="861"/>
      <c r="X94" s="861"/>
      <c r="Y94" s="861"/>
      <c r="Z94" s="861"/>
      <c r="AA94" s="861"/>
      <c r="AB94" s="861"/>
      <c r="AC94" s="861"/>
      <c r="AD94" s="861"/>
      <c r="AE94" s="861"/>
      <c r="AF94" s="861"/>
      <c r="AG94" s="861"/>
    </row>
    <row r="95" spans="1:33" ht="17.25" customHeight="1">
      <c r="A95" s="861"/>
      <c r="B95" s="861"/>
      <c r="C95" s="861"/>
      <c r="D95" s="861"/>
      <c r="E95" s="861"/>
      <c r="F95" s="861"/>
      <c r="G95" s="861"/>
      <c r="H95" s="861"/>
      <c r="I95" s="861"/>
      <c r="J95" s="861"/>
      <c r="K95" s="861"/>
      <c r="L95" s="861"/>
      <c r="M95" s="861"/>
      <c r="N95" s="861"/>
      <c r="O95" s="861"/>
      <c r="P95" s="861"/>
      <c r="Q95" s="861"/>
      <c r="R95" s="861"/>
      <c r="S95" s="861"/>
      <c r="T95" s="861"/>
      <c r="U95" s="861"/>
      <c r="V95" s="861"/>
      <c r="W95" s="861"/>
      <c r="X95" s="861"/>
      <c r="Y95" s="861"/>
      <c r="Z95" s="861"/>
      <c r="AA95" s="861"/>
      <c r="AB95" s="861"/>
      <c r="AC95" s="861"/>
      <c r="AD95" s="861"/>
      <c r="AE95" s="861"/>
      <c r="AF95" s="861"/>
      <c r="AG95" s="861"/>
    </row>
    <row r="96" spans="1:33" ht="17.25" customHeight="1">
      <c r="A96" s="861"/>
      <c r="B96" s="861"/>
      <c r="C96" s="861"/>
      <c r="D96" s="861"/>
      <c r="E96" s="861"/>
      <c r="F96" s="861"/>
      <c r="G96" s="861"/>
      <c r="H96" s="861"/>
      <c r="I96" s="861"/>
      <c r="J96" s="861"/>
      <c r="K96" s="861"/>
      <c r="L96" s="861"/>
      <c r="M96" s="861"/>
      <c r="N96" s="861"/>
      <c r="O96" s="861"/>
      <c r="P96" s="861"/>
      <c r="Q96" s="861"/>
      <c r="R96" s="861"/>
      <c r="S96" s="861"/>
      <c r="T96" s="861"/>
      <c r="U96" s="861"/>
      <c r="V96" s="861"/>
      <c r="W96" s="861"/>
      <c r="X96" s="861"/>
      <c r="Y96" s="861"/>
      <c r="Z96" s="861"/>
      <c r="AA96" s="861"/>
      <c r="AB96" s="861"/>
      <c r="AC96" s="861"/>
      <c r="AD96" s="861"/>
      <c r="AE96" s="861"/>
      <c r="AF96" s="861"/>
      <c r="AG96" s="861"/>
    </row>
    <row r="97" spans="1:33" ht="17.25" customHeight="1">
      <c r="A97" s="861"/>
      <c r="B97" s="861"/>
      <c r="C97" s="861"/>
      <c r="D97" s="861"/>
      <c r="E97" s="861"/>
      <c r="F97" s="861"/>
      <c r="G97" s="861"/>
      <c r="H97" s="861"/>
      <c r="I97" s="861"/>
      <c r="J97" s="861"/>
      <c r="K97" s="861"/>
      <c r="L97" s="861"/>
      <c r="M97" s="861"/>
      <c r="N97" s="861"/>
      <c r="O97" s="861"/>
      <c r="P97" s="861"/>
      <c r="Q97" s="861"/>
      <c r="R97" s="861"/>
      <c r="S97" s="861"/>
      <c r="T97" s="861"/>
      <c r="U97" s="861"/>
      <c r="V97" s="861"/>
      <c r="W97" s="861"/>
      <c r="X97" s="861"/>
      <c r="Y97" s="861"/>
      <c r="Z97" s="861"/>
      <c r="AA97" s="861"/>
      <c r="AB97" s="861"/>
      <c r="AC97" s="861"/>
      <c r="AD97" s="861"/>
      <c r="AE97" s="861"/>
      <c r="AF97" s="861"/>
      <c r="AG97" s="861"/>
    </row>
    <row r="98" spans="1:33" ht="17.25" customHeight="1">
      <c r="A98" s="861"/>
      <c r="B98" s="861"/>
      <c r="C98" s="861"/>
      <c r="D98" s="861"/>
      <c r="E98" s="861"/>
      <c r="F98" s="861"/>
      <c r="G98" s="861"/>
      <c r="H98" s="861"/>
      <c r="I98" s="861"/>
      <c r="J98" s="861"/>
      <c r="K98" s="861"/>
      <c r="L98" s="861"/>
      <c r="M98" s="861"/>
      <c r="N98" s="861"/>
      <c r="O98" s="861"/>
      <c r="P98" s="861"/>
      <c r="Q98" s="861"/>
      <c r="R98" s="861"/>
      <c r="S98" s="861"/>
      <c r="T98" s="861"/>
      <c r="U98" s="861"/>
      <c r="V98" s="861"/>
      <c r="W98" s="861"/>
      <c r="X98" s="861"/>
      <c r="Y98" s="861"/>
      <c r="Z98" s="861"/>
      <c r="AA98" s="861"/>
      <c r="AB98" s="861"/>
      <c r="AC98" s="861"/>
      <c r="AD98" s="861"/>
      <c r="AE98" s="861"/>
      <c r="AF98" s="861"/>
      <c r="AG98" s="861"/>
    </row>
    <row r="99" spans="1:33" ht="17.25" customHeight="1">
      <c r="A99" s="861"/>
      <c r="B99" s="861"/>
      <c r="C99" s="861"/>
      <c r="D99" s="861"/>
      <c r="E99" s="861"/>
      <c r="F99" s="861"/>
      <c r="G99" s="861"/>
      <c r="H99" s="861"/>
      <c r="I99" s="861"/>
      <c r="J99" s="861"/>
      <c r="K99" s="861"/>
      <c r="L99" s="861"/>
      <c r="M99" s="861"/>
      <c r="N99" s="861"/>
      <c r="O99" s="861"/>
      <c r="P99" s="861"/>
      <c r="Q99" s="861"/>
      <c r="R99" s="861"/>
      <c r="S99" s="861"/>
      <c r="T99" s="861"/>
      <c r="U99" s="861"/>
      <c r="V99" s="861"/>
      <c r="W99" s="861"/>
      <c r="X99" s="861"/>
      <c r="Y99" s="861"/>
      <c r="Z99" s="861"/>
      <c r="AA99" s="861"/>
      <c r="AB99" s="861"/>
      <c r="AC99" s="861"/>
      <c r="AD99" s="861"/>
      <c r="AE99" s="861"/>
      <c r="AF99" s="861"/>
      <c r="AG99" s="861"/>
    </row>
    <row r="100" spans="1:33" ht="17.25" customHeight="1">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c r="Z100" s="861"/>
      <c r="AA100" s="861"/>
      <c r="AB100" s="861"/>
      <c r="AC100" s="861"/>
      <c r="AD100" s="861"/>
      <c r="AE100" s="861"/>
      <c r="AF100" s="861"/>
      <c r="AG100" s="861"/>
    </row>
    <row r="101" spans="1:33" ht="17.25" customHeight="1">
      <c r="A101" s="861"/>
      <c r="B101" s="861"/>
      <c r="C101" s="861"/>
      <c r="D101" s="861"/>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row>
    <row r="102" spans="1:33" ht="17.25" customHeight="1">
      <c r="A102" s="861"/>
      <c r="B102" s="861"/>
      <c r="C102" s="861"/>
      <c r="D102" s="861"/>
      <c r="E102" s="861"/>
      <c r="F102" s="861"/>
      <c r="G102" s="861"/>
      <c r="H102" s="861"/>
      <c r="I102" s="861"/>
      <c r="J102" s="861"/>
      <c r="K102" s="861"/>
      <c r="L102" s="861"/>
      <c r="M102" s="861"/>
      <c r="N102" s="861"/>
      <c r="O102" s="861"/>
      <c r="P102" s="861"/>
      <c r="Q102" s="861"/>
      <c r="R102" s="861"/>
      <c r="S102" s="861"/>
      <c r="T102" s="861"/>
      <c r="U102" s="861"/>
      <c r="V102" s="861"/>
      <c r="W102" s="861"/>
      <c r="X102" s="861"/>
      <c r="Y102" s="861"/>
      <c r="Z102" s="861"/>
      <c r="AA102" s="861"/>
      <c r="AB102" s="861"/>
      <c r="AC102" s="861"/>
      <c r="AD102" s="861"/>
      <c r="AE102" s="861"/>
      <c r="AF102" s="861"/>
      <c r="AG102" s="861"/>
    </row>
    <row r="103" spans="1:33" ht="17.25" customHeight="1">
      <c r="A103" s="861"/>
      <c r="B103" s="861"/>
      <c r="C103" s="861"/>
      <c r="D103" s="861"/>
      <c r="E103" s="861"/>
      <c r="F103" s="861"/>
      <c r="G103" s="861"/>
      <c r="H103" s="861"/>
      <c r="I103" s="861"/>
      <c r="J103" s="861"/>
      <c r="K103" s="861"/>
      <c r="L103" s="861"/>
      <c r="M103" s="861"/>
      <c r="N103" s="861"/>
      <c r="O103" s="861"/>
      <c r="P103" s="861"/>
      <c r="Q103" s="861"/>
      <c r="R103" s="861"/>
      <c r="S103" s="861"/>
      <c r="T103" s="861"/>
      <c r="U103" s="861"/>
      <c r="V103" s="861"/>
      <c r="W103" s="861"/>
      <c r="X103" s="861"/>
      <c r="Y103" s="861"/>
      <c r="Z103" s="861"/>
      <c r="AA103" s="861"/>
      <c r="AB103" s="861"/>
      <c r="AC103" s="861"/>
      <c r="AD103" s="861"/>
      <c r="AE103" s="861"/>
      <c r="AF103" s="861"/>
      <c r="AG103" s="861"/>
    </row>
    <row r="104" spans="1:33" ht="17.25" customHeight="1">
      <c r="A104" s="861"/>
      <c r="B104" s="861"/>
      <c r="C104" s="861"/>
      <c r="D104" s="861"/>
      <c r="E104" s="861"/>
      <c r="F104" s="861"/>
      <c r="G104" s="861"/>
      <c r="H104" s="861"/>
      <c r="I104" s="861"/>
      <c r="J104" s="861"/>
      <c r="K104" s="861"/>
      <c r="L104" s="861"/>
      <c r="M104" s="861"/>
      <c r="N104" s="861"/>
      <c r="O104" s="861"/>
      <c r="P104" s="861"/>
      <c r="Q104" s="861"/>
      <c r="R104" s="861"/>
      <c r="S104" s="861"/>
      <c r="T104" s="861"/>
      <c r="U104" s="861"/>
      <c r="V104" s="861"/>
      <c r="W104" s="861"/>
      <c r="X104" s="861"/>
      <c r="Y104" s="861"/>
      <c r="Z104" s="861"/>
      <c r="AA104" s="861"/>
      <c r="AB104" s="861"/>
      <c r="AC104" s="861"/>
      <c r="AD104" s="861"/>
      <c r="AE104" s="861"/>
      <c r="AF104" s="861"/>
      <c r="AG104" s="861"/>
    </row>
    <row r="105" spans="1:33" ht="17.25" customHeight="1">
      <c r="A105" s="861"/>
      <c r="B105" s="861"/>
      <c r="C105" s="861"/>
      <c r="D105" s="861"/>
      <c r="E105" s="861"/>
      <c r="F105" s="861"/>
      <c r="G105" s="861"/>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row>
    <row r="106" spans="1:33" ht="17.25" customHeight="1">
      <c r="A106" s="861"/>
      <c r="B106" s="861"/>
      <c r="C106" s="861"/>
      <c r="D106" s="861"/>
      <c r="E106" s="861"/>
      <c r="F106" s="861"/>
      <c r="G106" s="861"/>
      <c r="H106" s="861"/>
      <c r="I106" s="861"/>
      <c r="J106" s="861"/>
      <c r="K106" s="861"/>
      <c r="L106" s="861"/>
      <c r="M106" s="861"/>
      <c r="N106" s="861"/>
      <c r="O106" s="861"/>
      <c r="P106" s="861"/>
      <c r="Q106" s="861"/>
      <c r="R106" s="861"/>
      <c r="S106" s="861"/>
      <c r="T106" s="861"/>
      <c r="U106" s="861"/>
      <c r="V106" s="861"/>
      <c r="W106" s="861"/>
      <c r="X106" s="861"/>
      <c r="Y106" s="861"/>
      <c r="Z106" s="861"/>
      <c r="AA106" s="861"/>
      <c r="AB106" s="861"/>
      <c r="AC106" s="861"/>
      <c r="AD106" s="861"/>
      <c r="AE106" s="861"/>
      <c r="AF106" s="861"/>
      <c r="AG106" s="861"/>
    </row>
    <row r="107" spans="1:33" ht="17.25" customHeight="1">
      <c r="A107" s="861"/>
      <c r="B107" s="861"/>
      <c r="C107" s="861"/>
      <c r="D107" s="861"/>
      <c r="E107" s="861"/>
      <c r="F107" s="861"/>
      <c r="G107" s="861"/>
      <c r="H107" s="861"/>
      <c r="I107" s="861"/>
      <c r="J107" s="861"/>
      <c r="K107" s="861"/>
      <c r="L107" s="861"/>
      <c r="M107" s="861"/>
      <c r="N107" s="861"/>
      <c r="O107" s="861"/>
      <c r="P107" s="861"/>
      <c r="Q107" s="861"/>
      <c r="R107" s="861"/>
      <c r="S107" s="861"/>
      <c r="T107" s="861"/>
      <c r="U107" s="861"/>
      <c r="V107" s="861"/>
      <c r="W107" s="861"/>
      <c r="X107" s="861"/>
      <c r="Y107" s="861"/>
      <c r="Z107" s="861"/>
      <c r="AA107" s="861"/>
      <c r="AB107" s="861"/>
      <c r="AC107" s="861"/>
      <c r="AD107" s="861"/>
      <c r="AE107" s="861"/>
      <c r="AF107" s="861"/>
      <c r="AG107" s="861"/>
    </row>
    <row r="108" spans="1:33" ht="17.25" customHeight="1">
      <c r="A108" s="861"/>
      <c r="B108" s="861"/>
      <c r="C108" s="861"/>
      <c r="D108" s="861"/>
      <c r="E108" s="861"/>
      <c r="F108" s="861"/>
      <c r="G108" s="861"/>
      <c r="H108" s="861"/>
      <c r="I108" s="861"/>
      <c r="J108" s="861"/>
      <c r="K108" s="861"/>
      <c r="L108" s="861"/>
      <c r="M108" s="861"/>
      <c r="N108" s="861"/>
      <c r="O108" s="861"/>
      <c r="P108" s="861"/>
      <c r="Q108" s="861"/>
      <c r="R108" s="861"/>
      <c r="S108" s="861"/>
      <c r="T108" s="861"/>
      <c r="U108" s="861"/>
      <c r="V108" s="861"/>
      <c r="W108" s="861"/>
      <c r="X108" s="861"/>
      <c r="Y108" s="861"/>
      <c r="Z108" s="861"/>
      <c r="AA108" s="861"/>
      <c r="AB108" s="861"/>
      <c r="AC108" s="861"/>
      <c r="AD108" s="861"/>
      <c r="AE108" s="861"/>
      <c r="AF108" s="861"/>
      <c r="AG108" s="861"/>
    </row>
    <row r="109" spans="1:33" ht="17.25" customHeight="1">
      <c r="A109" s="861"/>
      <c r="B109" s="861"/>
      <c r="C109" s="861"/>
      <c r="D109" s="861"/>
      <c r="E109" s="861"/>
      <c r="F109" s="861"/>
      <c r="G109" s="861"/>
      <c r="H109" s="861"/>
      <c r="I109" s="861"/>
      <c r="J109" s="861"/>
      <c r="K109" s="861"/>
      <c r="L109" s="861"/>
      <c r="M109" s="861"/>
      <c r="N109" s="861"/>
      <c r="O109" s="861"/>
      <c r="P109" s="861"/>
      <c r="Q109" s="861"/>
      <c r="R109" s="861"/>
      <c r="S109" s="861"/>
      <c r="T109" s="861"/>
      <c r="U109" s="861"/>
      <c r="V109" s="861"/>
      <c r="W109" s="861"/>
      <c r="X109" s="861"/>
      <c r="Y109" s="861"/>
      <c r="Z109" s="861"/>
      <c r="AA109" s="861"/>
      <c r="AB109" s="861"/>
      <c r="AC109" s="861"/>
      <c r="AD109" s="861"/>
      <c r="AE109" s="861"/>
      <c r="AF109" s="861"/>
      <c r="AG109" s="861"/>
    </row>
    <row r="110" spans="1:33" ht="17.25" customHeight="1">
      <c r="A110" s="861"/>
      <c r="B110" s="861"/>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row>
    <row r="111" spans="1:33" ht="17.25" customHeight="1">
      <c r="A111" s="861"/>
      <c r="B111" s="861"/>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c r="Z111" s="861"/>
      <c r="AA111" s="861"/>
      <c r="AB111" s="861"/>
      <c r="AC111" s="861"/>
      <c r="AD111" s="861"/>
      <c r="AE111" s="861"/>
      <c r="AF111" s="861"/>
      <c r="AG111" s="861"/>
    </row>
    <row r="112" spans="1:33" ht="17.25" customHeight="1">
      <c r="A112" s="861"/>
      <c r="B112" s="861"/>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row>
    <row r="113" spans="1:33" ht="17.25" customHeight="1">
      <c r="A113" s="861"/>
      <c r="B113" s="861"/>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row>
    <row r="114" spans="1:33" ht="17.25" customHeight="1">
      <c r="A114" s="861"/>
      <c r="B114" s="861"/>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c r="Z114" s="861"/>
      <c r="AA114" s="861"/>
      <c r="AB114" s="861"/>
      <c r="AC114" s="861"/>
      <c r="AD114" s="861"/>
      <c r="AE114" s="861"/>
      <c r="AF114" s="861"/>
      <c r="AG114" s="861"/>
    </row>
    <row r="115" spans="1:33" ht="17.25" customHeight="1">
      <c r="A115" s="861"/>
      <c r="B115" s="861"/>
      <c r="C115" s="861"/>
      <c r="D115" s="861"/>
      <c r="E115" s="861"/>
      <c r="F115" s="861"/>
      <c r="G115" s="861"/>
      <c r="H115" s="861"/>
      <c r="I115" s="861"/>
      <c r="J115" s="861"/>
      <c r="K115" s="861"/>
      <c r="L115" s="861"/>
      <c r="M115" s="861"/>
      <c r="N115" s="861"/>
      <c r="O115" s="861"/>
      <c r="P115" s="861"/>
      <c r="Q115" s="861"/>
      <c r="R115" s="861"/>
      <c r="S115" s="861"/>
      <c r="T115" s="861"/>
      <c r="U115" s="861"/>
      <c r="V115" s="861"/>
      <c r="W115" s="861"/>
      <c r="X115" s="861"/>
      <c r="Y115" s="861"/>
      <c r="Z115" s="861"/>
      <c r="AA115" s="861"/>
      <c r="AB115" s="861"/>
      <c r="AC115" s="861"/>
      <c r="AD115" s="861"/>
      <c r="AE115" s="861"/>
      <c r="AF115" s="861"/>
      <c r="AG115" s="861"/>
    </row>
    <row r="116" spans="1:33" ht="17.25" customHeight="1">
      <c r="A116" s="861"/>
      <c r="B116" s="861"/>
      <c r="C116" s="861"/>
      <c r="D116" s="861"/>
      <c r="E116" s="861"/>
      <c r="F116" s="861"/>
      <c r="G116" s="861"/>
      <c r="H116" s="861"/>
      <c r="I116" s="861"/>
      <c r="J116" s="861"/>
      <c r="K116" s="861"/>
      <c r="L116" s="861"/>
      <c r="M116" s="861"/>
      <c r="N116" s="861"/>
      <c r="O116" s="861"/>
      <c r="P116" s="861"/>
      <c r="Q116" s="861"/>
      <c r="R116" s="861"/>
      <c r="S116" s="861"/>
      <c r="T116" s="861"/>
      <c r="U116" s="861"/>
      <c r="V116" s="861"/>
      <c r="W116" s="861"/>
      <c r="X116" s="861"/>
      <c r="Y116" s="861"/>
      <c r="Z116" s="861"/>
      <c r="AA116" s="861"/>
      <c r="AB116" s="861"/>
      <c r="AC116" s="861"/>
      <c r="AD116" s="861"/>
      <c r="AE116" s="861"/>
      <c r="AF116" s="861"/>
      <c r="AG116" s="861"/>
    </row>
    <row r="117" spans="1:33" ht="17.25" customHeight="1">
      <c r="A117" s="861"/>
      <c r="B117" s="861"/>
      <c r="C117" s="861"/>
      <c r="D117" s="861"/>
      <c r="E117" s="861"/>
      <c r="F117" s="861"/>
      <c r="G117" s="861"/>
      <c r="H117" s="861"/>
      <c r="I117" s="861"/>
      <c r="J117" s="861"/>
      <c r="K117" s="861"/>
      <c r="L117" s="861"/>
      <c r="M117" s="861"/>
      <c r="N117" s="861"/>
      <c r="O117" s="861"/>
      <c r="P117" s="861"/>
      <c r="Q117" s="861"/>
      <c r="R117" s="861"/>
      <c r="S117" s="861"/>
      <c r="T117" s="861"/>
      <c r="U117" s="861"/>
      <c r="V117" s="861"/>
      <c r="W117" s="861"/>
      <c r="X117" s="861"/>
      <c r="Y117" s="861"/>
      <c r="Z117" s="861"/>
      <c r="AA117" s="861"/>
      <c r="AB117" s="861"/>
      <c r="AC117" s="861"/>
      <c r="AD117" s="861"/>
      <c r="AE117" s="861"/>
      <c r="AF117" s="861"/>
      <c r="AG117" s="861"/>
    </row>
    <row r="118" spans="1:33" ht="17.25" customHeight="1">
      <c r="A118" s="861"/>
      <c r="B118" s="861"/>
      <c r="C118" s="861"/>
      <c r="D118" s="861"/>
      <c r="E118" s="861"/>
      <c r="F118" s="861"/>
      <c r="G118" s="861"/>
      <c r="H118" s="861"/>
      <c r="I118" s="861"/>
      <c r="J118" s="861"/>
      <c r="K118" s="861"/>
      <c r="L118" s="861"/>
      <c r="M118" s="861"/>
      <c r="N118" s="861"/>
      <c r="O118" s="861"/>
      <c r="P118" s="861"/>
      <c r="Q118" s="861"/>
      <c r="R118" s="861"/>
      <c r="S118" s="861"/>
      <c r="T118" s="861"/>
      <c r="U118" s="861"/>
      <c r="V118" s="861"/>
      <c r="W118" s="861"/>
      <c r="X118" s="861"/>
      <c r="Y118" s="861"/>
      <c r="Z118" s="861"/>
      <c r="AA118" s="861"/>
      <c r="AB118" s="861"/>
      <c r="AC118" s="861"/>
      <c r="AD118" s="861"/>
      <c r="AE118" s="861"/>
      <c r="AF118" s="861"/>
      <c r="AG118" s="861"/>
    </row>
    <row r="119" spans="1:33" ht="17.25" customHeight="1">
      <c r="A119" s="861"/>
      <c r="B119" s="861"/>
      <c r="C119" s="861"/>
      <c r="D119" s="861"/>
      <c r="E119" s="861"/>
      <c r="F119" s="861"/>
      <c r="G119" s="861"/>
      <c r="H119" s="861"/>
      <c r="I119" s="861"/>
      <c r="J119" s="861"/>
      <c r="K119" s="861"/>
      <c r="L119" s="861"/>
      <c r="M119" s="861"/>
      <c r="N119" s="861"/>
      <c r="O119" s="861"/>
      <c r="P119" s="861"/>
      <c r="Q119" s="861"/>
      <c r="R119" s="861"/>
      <c r="S119" s="861"/>
      <c r="T119" s="861"/>
      <c r="U119" s="861"/>
      <c r="V119" s="861"/>
      <c r="W119" s="861"/>
      <c r="X119" s="861"/>
      <c r="Y119" s="861"/>
      <c r="Z119" s="861"/>
      <c r="AA119" s="861"/>
      <c r="AB119" s="861"/>
      <c r="AC119" s="861"/>
      <c r="AD119" s="861"/>
      <c r="AE119" s="861"/>
      <c r="AF119" s="861"/>
      <c r="AG119" s="861"/>
    </row>
    <row r="120" spans="1:33" ht="17.25" customHeight="1">
      <c r="A120" s="861"/>
      <c r="B120" s="861"/>
      <c r="C120" s="861"/>
      <c r="D120" s="861"/>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row>
    <row r="121" spans="1:33" ht="17.25" customHeight="1">
      <c r="A121" s="861"/>
      <c r="B121" s="861"/>
      <c r="C121" s="861"/>
      <c r="D121" s="861"/>
      <c r="E121" s="861"/>
      <c r="F121" s="861"/>
      <c r="G121" s="861"/>
      <c r="H121" s="861"/>
      <c r="I121" s="861"/>
      <c r="J121" s="861"/>
      <c r="K121" s="861"/>
      <c r="L121" s="861"/>
      <c r="M121" s="861"/>
      <c r="N121" s="861"/>
      <c r="O121" s="861"/>
      <c r="P121" s="861"/>
      <c r="Q121" s="861"/>
      <c r="R121" s="861"/>
      <c r="S121" s="861"/>
      <c r="T121" s="861"/>
      <c r="U121" s="861"/>
      <c r="V121" s="861"/>
      <c r="W121" s="861"/>
      <c r="X121" s="861"/>
      <c r="Y121" s="861"/>
      <c r="Z121" s="861"/>
      <c r="AA121" s="861"/>
      <c r="AB121" s="861"/>
      <c r="AC121" s="861"/>
      <c r="AD121" s="861"/>
      <c r="AE121" s="861"/>
      <c r="AF121" s="861"/>
      <c r="AG121" s="861"/>
    </row>
    <row r="122" spans="1:33" ht="17.25" customHeight="1">
      <c r="A122" s="861"/>
      <c r="B122" s="861"/>
      <c r="C122" s="861"/>
      <c r="D122" s="861"/>
      <c r="E122" s="861"/>
      <c r="F122" s="861"/>
      <c r="G122" s="861"/>
      <c r="H122" s="861"/>
      <c r="I122" s="861"/>
      <c r="J122" s="861"/>
      <c r="K122" s="861"/>
      <c r="L122" s="861"/>
      <c r="M122" s="861"/>
      <c r="N122" s="861"/>
      <c r="O122" s="861"/>
      <c r="P122" s="861"/>
      <c r="Q122" s="861"/>
      <c r="R122" s="861"/>
      <c r="S122" s="861"/>
      <c r="T122" s="861"/>
      <c r="U122" s="861"/>
      <c r="V122" s="861"/>
      <c r="W122" s="861"/>
      <c r="X122" s="861"/>
      <c r="Y122" s="861"/>
      <c r="Z122" s="861"/>
      <c r="AA122" s="861"/>
      <c r="AB122" s="861"/>
      <c r="AC122" s="861"/>
      <c r="AD122" s="861"/>
      <c r="AE122" s="861"/>
      <c r="AF122" s="861"/>
      <c r="AG122" s="861"/>
    </row>
    <row r="123" spans="1:33" ht="17.25" customHeight="1">
      <c r="A123" s="861"/>
      <c r="B123" s="861"/>
      <c r="C123" s="861"/>
      <c r="D123" s="861"/>
      <c r="E123" s="861"/>
      <c r="F123" s="861"/>
      <c r="G123" s="861"/>
      <c r="H123" s="861"/>
      <c r="I123" s="861"/>
      <c r="J123" s="861"/>
      <c r="K123" s="861"/>
      <c r="L123" s="861"/>
      <c r="M123" s="861"/>
      <c r="N123" s="861"/>
      <c r="O123" s="861"/>
      <c r="P123" s="861"/>
      <c r="Q123" s="861"/>
      <c r="R123" s="861"/>
      <c r="S123" s="861"/>
      <c r="T123" s="861"/>
      <c r="U123" s="861"/>
      <c r="V123" s="861"/>
      <c r="W123" s="861"/>
      <c r="X123" s="861"/>
      <c r="Y123" s="861"/>
      <c r="Z123" s="861"/>
      <c r="AA123" s="861"/>
      <c r="AB123" s="861"/>
      <c r="AC123" s="861"/>
      <c r="AD123" s="861"/>
      <c r="AE123" s="861"/>
      <c r="AF123" s="861"/>
      <c r="AG123" s="861"/>
    </row>
    <row r="124" spans="1:33" ht="17.25" customHeight="1">
      <c r="A124" s="861"/>
      <c r="B124" s="861"/>
      <c r="C124" s="861"/>
      <c r="D124" s="861"/>
      <c r="E124" s="861"/>
      <c r="F124" s="861"/>
      <c r="G124" s="861"/>
      <c r="H124" s="861"/>
      <c r="I124" s="861"/>
      <c r="J124" s="861"/>
      <c r="K124" s="861"/>
      <c r="L124" s="861"/>
      <c r="M124" s="861"/>
      <c r="N124" s="861"/>
      <c r="O124" s="861"/>
      <c r="P124" s="861"/>
      <c r="Q124" s="861"/>
      <c r="R124" s="861"/>
      <c r="S124" s="861"/>
      <c r="T124" s="861"/>
      <c r="U124" s="861"/>
      <c r="V124" s="861"/>
      <c r="W124" s="861"/>
      <c r="X124" s="861"/>
      <c r="Y124" s="861"/>
      <c r="Z124" s="861"/>
      <c r="AA124" s="861"/>
      <c r="AB124" s="861"/>
      <c r="AC124" s="861"/>
      <c r="AD124" s="861"/>
      <c r="AE124" s="861"/>
      <c r="AF124" s="861"/>
      <c r="AG124" s="861"/>
    </row>
    <row r="125" spans="1:33" ht="17.25" customHeight="1">
      <c r="A125" s="861"/>
      <c r="B125" s="861"/>
      <c r="C125" s="861"/>
      <c r="D125" s="861"/>
      <c r="E125" s="861"/>
      <c r="F125" s="861"/>
      <c r="G125" s="861"/>
      <c r="H125" s="861"/>
      <c r="I125" s="861"/>
      <c r="J125" s="861"/>
      <c r="K125" s="861"/>
      <c r="L125" s="861"/>
      <c r="M125" s="861"/>
      <c r="N125" s="861"/>
      <c r="O125" s="861"/>
      <c r="P125" s="861"/>
      <c r="Q125" s="861"/>
      <c r="R125" s="861"/>
      <c r="S125" s="861"/>
      <c r="T125" s="861"/>
      <c r="U125" s="861"/>
      <c r="V125" s="861"/>
      <c r="W125" s="861"/>
      <c r="X125" s="861"/>
      <c r="Y125" s="861"/>
      <c r="Z125" s="861"/>
      <c r="AA125" s="861"/>
      <c r="AB125" s="861"/>
      <c r="AC125" s="861"/>
      <c r="AD125" s="861"/>
      <c r="AE125" s="861"/>
      <c r="AF125" s="861"/>
      <c r="AG125" s="861"/>
    </row>
    <row r="126" spans="1:33" ht="17.25" customHeight="1">
      <c r="A126" s="861"/>
      <c r="B126" s="861"/>
      <c r="C126" s="861"/>
      <c r="D126" s="861"/>
      <c r="E126" s="861"/>
      <c r="F126" s="861"/>
      <c r="G126" s="861"/>
      <c r="H126" s="861"/>
      <c r="I126" s="861"/>
      <c r="J126" s="861"/>
      <c r="K126" s="861"/>
      <c r="L126" s="861"/>
      <c r="M126" s="861"/>
      <c r="N126" s="861"/>
      <c r="O126" s="861"/>
      <c r="P126" s="861"/>
      <c r="Q126" s="861"/>
      <c r="R126" s="861"/>
      <c r="S126" s="861"/>
      <c r="T126" s="861"/>
      <c r="U126" s="861"/>
      <c r="V126" s="861"/>
      <c r="W126" s="861"/>
      <c r="X126" s="861"/>
      <c r="Y126" s="861"/>
      <c r="Z126" s="861"/>
      <c r="AA126" s="861"/>
      <c r="AB126" s="861"/>
      <c r="AC126" s="861"/>
      <c r="AD126" s="861"/>
      <c r="AE126" s="861"/>
      <c r="AF126" s="861"/>
      <c r="AG126" s="861"/>
    </row>
    <row r="127" spans="1:33" ht="17.25" customHeight="1">
      <c r="A127" s="861"/>
      <c r="B127" s="861"/>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row>
    <row r="128" spans="1:33" ht="17.25" customHeight="1">
      <c r="A128" s="861"/>
      <c r="B128" s="861"/>
      <c r="C128" s="861"/>
      <c r="D128" s="861"/>
      <c r="E128" s="861"/>
      <c r="F128" s="861"/>
      <c r="G128" s="861"/>
      <c r="H128" s="861"/>
      <c r="I128" s="861"/>
      <c r="J128" s="861"/>
      <c r="K128" s="861"/>
      <c r="L128" s="861"/>
      <c r="M128" s="861"/>
      <c r="N128" s="861"/>
      <c r="O128" s="861"/>
      <c r="P128" s="861"/>
      <c r="Q128" s="861"/>
      <c r="R128" s="861"/>
      <c r="S128" s="861"/>
      <c r="T128" s="861"/>
      <c r="U128" s="861"/>
      <c r="V128" s="861"/>
      <c r="W128" s="861"/>
      <c r="X128" s="861"/>
      <c r="Y128" s="861"/>
      <c r="Z128" s="861"/>
      <c r="AA128" s="861"/>
      <c r="AB128" s="861"/>
      <c r="AC128" s="861"/>
      <c r="AD128" s="861"/>
      <c r="AE128" s="861"/>
      <c r="AF128" s="861"/>
      <c r="AG128" s="861"/>
    </row>
    <row r="129" spans="1:33" ht="17.25" customHeight="1">
      <c r="A129" s="861"/>
      <c r="B129" s="861"/>
      <c r="C129" s="861"/>
      <c r="D129" s="861"/>
      <c r="E129" s="861"/>
      <c r="F129" s="861"/>
      <c r="G129" s="861"/>
      <c r="H129" s="861"/>
      <c r="I129" s="861"/>
      <c r="J129" s="861"/>
      <c r="K129" s="861"/>
      <c r="L129" s="861"/>
      <c r="M129" s="861"/>
      <c r="N129" s="861"/>
      <c r="O129" s="861"/>
      <c r="P129" s="861"/>
      <c r="Q129" s="861"/>
      <c r="R129" s="861"/>
      <c r="S129" s="861"/>
      <c r="T129" s="861"/>
      <c r="U129" s="861"/>
      <c r="V129" s="861"/>
      <c r="W129" s="861"/>
      <c r="X129" s="861"/>
      <c r="Y129" s="861"/>
      <c r="Z129" s="861"/>
      <c r="AA129" s="861"/>
      <c r="AB129" s="861"/>
      <c r="AC129" s="861"/>
      <c r="AD129" s="861"/>
      <c r="AE129" s="861"/>
      <c r="AF129" s="861"/>
      <c r="AG129" s="861"/>
    </row>
    <row r="130" spans="1:33" ht="17.25" customHeight="1">
      <c r="A130" s="861"/>
      <c r="B130" s="861"/>
      <c r="C130" s="861"/>
      <c r="D130" s="861"/>
      <c r="E130" s="861"/>
      <c r="F130" s="861"/>
      <c r="G130" s="861"/>
      <c r="H130" s="861"/>
      <c r="I130" s="861"/>
      <c r="J130" s="861"/>
      <c r="K130" s="861"/>
      <c r="L130" s="861"/>
      <c r="M130" s="861"/>
      <c r="N130" s="861"/>
      <c r="O130" s="861"/>
      <c r="P130" s="861"/>
      <c r="Q130" s="861"/>
      <c r="R130" s="861"/>
      <c r="S130" s="861"/>
      <c r="T130" s="861"/>
      <c r="U130" s="861"/>
      <c r="V130" s="861"/>
      <c r="W130" s="861"/>
      <c r="X130" s="861"/>
      <c r="Y130" s="861"/>
      <c r="Z130" s="861"/>
      <c r="AA130" s="861"/>
      <c r="AB130" s="861"/>
      <c r="AC130" s="861"/>
      <c r="AD130" s="861"/>
      <c r="AE130" s="861"/>
      <c r="AF130" s="861"/>
      <c r="AG130" s="861"/>
    </row>
    <row r="131" spans="1:33" ht="17.25" customHeight="1">
      <c r="A131" s="861"/>
      <c r="B131" s="861"/>
      <c r="C131" s="861"/>
      <c r="D131" s="861"/>
      <c r="E131" s="861"/>
      <c r="F131" s="861"/>
      <c r="G131" s="861"/>
      <c r="H131" s="861"/>
      <c r="I131" s="861"/>
      <c r="J131" s="861"/>
      <c r="K131" s="861"/>
      <c r="L131" s="861"/>
      <c r="M131" s="861"/>
      <c r="N131" s="861"/>
      <c r="O131" s="861"/>
      <c r="P131" s="861"/>
      <c r="Q131" s="861"/>
      <c r="R131" s="861"/>
      <c r="S131" s="861"/>
      <c r="T131" s="861"/>
      <c r="U131" s="861"/>
      <c r="V131" s="861"/>
      <c r="W131" s="861"/>
      <c r="X131" s="861"/>
      <c r="Y131" s="861"/>
      <c r="Z131" s="861"/>
      <c r="AA131" s="861"/>
      <c r="AB131" s="861"/>
      <c r="AC131" s="861"/>
      <c r="AD131" s="861"/>
      <c r="AE131" s="861"/>
      <c r="AF131" s="861"/>
      <c r="AG131" s="861"/>
    </row>
    <row r="132" spans="1:33" ht="17.25" customHeight="1">
      <c r="A132" s="861"/>
      <c r="B132" s="861"/>
      <c r="C132" s="861"/>
      <c r="D132" s="861"/>
      <c r="E132" s="861"/>
      <c r="F132" s="861"/>
      <c r="G132" s="861"/>
      <c r="H132" s="861"/>
      <c r="I132" s="861"/>
      <c r="J132" s="861"/>
      <c r="K132" s="861"/>
      <c r="L132" s="861"/>
      <c r="M132" s="861"/>
      <c r="N132" s="861"/>
      <c r="O132" s="861"/>
      <c r="P132" s="861"/>
      <c r="Q132" s="861"/>
      <c r="R132" s="861"/>
      <c r="S132" s="861"/>
      <c r="T132" s="861"/>
      <c r="U132" s="861"/>
      <c r="V132" s="861"/>
      <c r="W132" s="861"/>
      <c r="X132" s="861"/>
      <c r="Y132" s="861"/>
      <c r="Z132" s="861"/>
      <c r="AA132" s="861"/>
      <c r="AB132" s="861"/>
      <c r="AC132" s="861"/>
      <c r="AD132" s="861"/>
      <c r="AE132" s="861"/>
      <c r="AF132" s="861"/>
      <c r="AG132" s="861"/>
    </row>
    <row r="133" spans="1:33" ht="17.25" customHeight="1">
      <c r="A133" s="861"/>
      <c r="B133" s="861"/>
      <c r="C133" s="861"/>
      <c r="D133" s="861"/>
      <c r="E133" s="861"/>
      <c r="F133" s="861"/>
      <c r="G133" s="861"/>
      <c r="H133" s="861"/>
      <c r="I133" s="861"/>
      <c r="J133" s="861"/>
      <c r="K133" s="861"/>
      <c r="L133" s="861"/>
      <c r="M133" s="861"/>
      <c r="N133" s="861"/>
      <c r="O133" s="861"/>
      <c r="P133" s="861"/>
      <c r="Q133" s="861"/>
      <c r="R133" s="861"/>
      <c r="S133" s="861"/>
      <c r="T133" s="861"/>
      <c r="U133" s="861"/>
      <c r="V133" s="861"/>
      <c r="W133" s="861"/>
      <c r="X133" s="861"/>
      <c r="Y133" s="861"/>
      <c r="Z133" s="861"/>
      <c r="AA133" s="861"/>
      <c r="AB133" s="861"/>
      <c r="AC133" s="861"/>
      <c r="AD133" s="861"/>
      <c r="AE133" s="861"/>
      <c r="AF133" s="861"/>
      <c r="AG133" s="861"/>
    </row>
    <row r="134" spans="1:33" ht="17.25" customHeight="1">
      <c r="A134" s="861"/>
      <c r="B134" s="861"/>
      <c r="C134" s="861"/>
      <c r="D134" s="861"/>
      <c r="E134" s="861"/>
      <c r="F134" s="861"/>
      <c r="G134" s="861"/>
      <c r="H134" s="861"/>
      <c r="I134" s="861"/>
      <c r="J134" s="861"/>
      <c r="K134" s="861"/>
      <c r="L134" s="861"/>
      <c r="M134" s="861"/>
      <c r="N134" s="861"/>
      <c r="O134" s="861"/>
      <c r="P134" s="861"/>
      <c r="Q134" s="861"/>
      <c r="R134" s="861"/>
      <c r="S134" s="861"/>
      <c r="T134" s="861"/>
      <c r="U134" s="861"/>
      <c r="V134" s="861"/>
      <c r="W134" s="861"/>
      <c r="X134" s="861"/>
      <c r="Y134" s="861"/>
      <c r="Z134" s="861"/>
      <c r="AA134" s="861"/>
      <c r="AB134" s="861"/>
      <c r="AC134" s="861"/>
      <c r="AD134" s="861"/>
      <c r="AE134" s="861"/>
      <c r="AF134" s="861"/>
      <c r="AG134" s="861"/>
    </row>
    <row r="135" spans="1:33" ht="17.25" customHeight="1">
      <c r="A135" s="861"/>
      <c r="B135" s="861"/>
      <c r="C135" s="861"/>
      <c r="D135" s="861"/>
      <c r="E135" s="861"/>
      <c r="F135" s="861"/>
      <c r="G135" s="861"/>
      <c r="H135" s="861"/>
      <c r="I135" s="861"/>
      <c r="J135" s="861"/>
      <c r="K135" s="861"/>
      <c r="L135" s="861"/>
      <c r="M135" s="861"/>
      <c r="N135" s="861"/>
      <c r="O135" s="861"/>
      <c r="P135" s="861"/>
      <c r="Q135" s="861"/>
      <c r="R135" s="861"/>
      <c r="S135" s="861"/>
      <c r="T135" s="861"/>
      <c r="U135" s="861"/>
      <c r="V135" s="861"/>
      <c r="W135" s="861"/>
      <c r="X135" s="861"/>
      <c r="Y135" s="861"/>
      <c r="Z135" s="861"/>
      <c r="AA135" s="861"/>
      <c r="AB135" s="861"/>
      <c r="AC135" s="861"/>
      <c r="AD135" s="861"/>
      <c r="AE135" s="861"/>
      <c r="AF135" s="861"/>
      <c r="AG135" s="861"/>
    </row>
    <row r="136" spans="1:33" ht="17.25" customHeight="1">
      <c r="A136" s="861"/>
      <c r="B136" s="861"/>
      <c r="C136" s="861"/>
      <c r="D136" s="861"/>
      <c r="E136" s="861"/>
      <c r="F136" s="861"/>
      <c r="G136" s="861"/>
      <c r="H136" s="861"/>
      <c r="I136" s="861"/>
      <c r="J136" s="861"/>
      <c r="K136" s="861"/>
      <c r="L136" s="861"/>
      <c r="M136" s="861"/>
      <c r="N136" s="861"/>
      <c r="O136" s="861"/>
      <c r="P136" s="861"/>
      <c r="Q136" s="861"/>
      <c r="R136" s="861"/>
      <c r="S136" s="861"/>
      <c r="T136" s="861"/>
      <c r="U136" s="861"/>
      <c r="V136" s="861"/>
      <c r="W136" s="861"/>
      <c r="X136" s="861"/>
      <c r="Y136" s="861"/>
      <c r="Z136" s="861"/>
      <c r="AA136" s="861"/>
      <c r="AB136" s="861"/>
      <c r="AC136" s="861"/>
      <c r="AD136" s="861"/>
      <c r="AE136" s="861"/>
      <c r="AF136" s="861"/>
      <c r="AG136" s="861"/>
    </row>
    <row r="137" spans="1:33" ht="17.25" customHeight="1">
      <c r="A137" s="861"/>
      <c r="B137" s="861"/>
      <c r="C137" s="861"/>
      <c r="D137" s="861"/>
      <c r="E137" s="861"/>
      <c r="F137" s="861"/>
      <c r="G137" s="861"/>
      <c r="H137" s="861"/>
      <c r="I137" s="861"/>
      <c r="J137" s="861"/>
      <c r="K137" s="861"/>
      <c r="L137" s="861"/>
      <c r="M137" s="861"/>
      <c r="N137" s="861"/>
      <c r="O137" s="861"/>
      <c r="P137" s="861"/>
      <c r="Q137" s="861"/>
      <c r="R137" s="861"/>
      <c r="S137" s="861"/>
      <c r="T137" s="861"/>
      <c r="U137" s="861"/>
      <c r="V137" s="861"/>
      <c r="W137" s="861"/>
      <c r="X137" s="861"/>
      <c r="Y137" s="861"/>
      <c r="Z137" s="861"/>
      <c r="AA137" s="861"/>
      <c r="AB137" s="861"/>
      <c r="AC137" s="861"/>
      <c r="AD137" s="861"/>
      <c r="AE137" s="861"/>
      <c r="AF137" s="861"/>
      <c r="AG137" s="861"/>
    </row>
    <row r="138" spans="1:33" ht="17.25" customHeight="1">
      <c r="A138" s="861"/>
      <c r="B138" s="861"/>
      <c r="C138" s="861"/>
      <c r="D138" s="861"/>
      <c r="E138" s="861"/>
      <c r="F138" s="861"/>
      <c r="G138" s="861"/>
      <c r="H138" s="861"/>
      <c r="I138" s="861"/>
      <c r="J138" s="861"/>
      <c r="K138" s="861"/>
      <c r="L138" s="861"/>
      <c r="M138" s="861"/>
      <c r="N138" s="861"/>
      <c r="O138" s="861"/>
      <c r="P138" s="861"/>
      <c r="Q138" s="861"/>
      <c r="R138" s="861"/>
      <c r="S138" s="861"/>
      <c r="T138" s="861"/>
      <c r="U138" s="861"/>
      <c r="V138" s="861"/>
      <c r="W138" s="861"/>
      <c r="X138" s="861"/>
      <c r="Y138" s="861"/>
      <c r="Z138" s="861"/>
      <c r="AA138" s="861"/>
      <c r="AB138" s="861"/>
      <c r="AC138" s="861"/>
      <c r="AD138" s="861"/>
      <c r="AE138" s="861"/>
      <c r="AF138" s="861"/>
      <c r="AG138" s="861"/>
    </row>
    <row r="139" spans="1:33" ht="17.25" customHeight="1">
      <c r="A139" s="861"/>
      <c r="B139" s="861"/>
      <c r="C139" s="861"/>
      <c r="D139" s="861"/>
      <c r="E139" s="861"/>
      <c r="F139" s="861"/>
      <c r="G139" s="861"/>
      <c r="H139" s="861"/>
      <c r="I139" s="861"/>
      <c r="J139" s="861"/>
      <c r="K139" s="861"/>
      <c r="L139" s="861"/>
      <c r="M139" s="861"/>
      <c r="N139" s="861"/>
      <c r="O139" s="861"/>
      <c r="P139" s="861"/>
      <c r="Q139" s="861"/>
      <c r="R139" s="861"/>
      <c r="S139" s="861"/>
      <c r="T139" s="861"/>
      <c r="U139" s="861"/>
      <c r="V139" s="861"/>
      <c r="W139" s="861"/>
      <c r="X139" s="861"/>
      <c r="Y139" s="861"/>
      <c r="Z139" s="861"/>
      <c r="AA139" s="861"/>
      <c r="AB139" s="861"/>
      <c r="AC139" s="861"/>
      <c r="AD139" s="861"/>
      <c r="AE139" s="861"/>
      <c r="AF139" s="861"/>
      <c r="AG139" s="861"/>
    </row>
    <row r="140" spans="1:33" ht="17.25" customHeight="1">
      <c r="A140" s="861"/>
      <c r="B140" s="861"/>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row>
    <row r="141" spans="1:33" ht="17.25" customHeight="1">
      <c r="A141" s="861"/>
      <c r="B141" s="861"/>
      <c r="C141" s="861"/>
      <c r="D141" s="861"/>
      <c r="E141" s="861"/>
      <c r="F141" s="861"/>
      <c r="G141" s="861"/>
      <c r="H141" s="861"/>
      <c r="I141" s="861"/>
      <c r="J141" s="861"/>
      <c r="K141" s="861"/>
      <c r="L141" s="861"/>
      <c r="M141" s="861"/>
      <c r="N141" s="861"/>
      <c r="O141" s="861"/>
      <c r="P141" s="861"/>
      <c r="Q141" s="861"/>
      <c r="R141" s="861"/>
      <c r="S141" s="861"/>
      <c r="T141" s="861"/>
      <c r="U141" s="861"/>
      <c r="V141" s="861"/>
      <c r="W141" s="861"/>
      <c r="X141" s="861"/>
      <c r="Y141" s="861"/>
      <c r="Z141" s="861"/>
      <c r="AA141" s="861"/>
      <c r="AB141" s="861"/>
      <c r="AC141" s="861"/>
      <c r="AD141" s="861"/>
      <c r="AE141" s="861"/>
      <c r="AF141" s="861"/>
      <c r="AG141" s="861"/>
    </row>
    <row r="142" spans="1:33" ht="17.25" customHeight="1">
      <c r="A142" s="861"/>
      <c r="B142" s="861"/>
      <c r="C142" s="861"/>
      <c r="D142" s="861"/>
      <c r="E142" s="861"/>
      <c r="F142" s="861"/>
      <c r="G142" s="861"/>
      <c r="H142" s="861"/>
      <c r="I142" s="861"/>
      <c r="J142" s="861"/>
      <c r="K142" s="861"/>
      <c r="L142" s="861"/>
      <c r="M142" s="861"/>
      <c r="N142" s="861"/>
      <c r="O142" s="861"/>
      <c r="P142" s="861"/>
      <c r="Q142" s="861"/>
      <c r="R142" s="861"/>
      <c r="S142" s="861"/>
      <c r="T142" s="861"/>
      <c r="U142" s="861"/>
      <c r="V142" s="861"/>
      <c r="W142" s="861"/>
      <c r="X142" s="861"/>
      <c r="Y142" s="861"/>
      <c r="Z142" s="861"/>
      <c r="AA142" s="861"/>
      <c r="AB142" s="861"/>
      <c r="AC142" s="861"/>
      <c r="AD142" s="861"/>
      <c r="AE142" s="861"/>
      <c r="AF142" s="861"/>
      <c r="AG142" s="861"/>
    </row>
    <row r="143" spans="1:33" ht="17.25" customHeight="1">
      <c r="A143" s="861"/>
      <c r="B143" s="861"/>
      <c r="C143" s="861"/>
      <c r="D143" s="861"/>
      <c r="E143" s="861"/>
      <c r="F143" s="861"/>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row>
    <row r="144" spans="1:33" ht="17.2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row>
    <row r="145" spans="1:33" ht="17.2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row>
    <row r="146" spans="1:33" ht="17.25" customHeight="1">
      <c r="A146" s="861"/>
      <c r="B146" s="861"/>
      <c r="C146" s="861"/>
      <c r="D146" s="861"/>
      <c r="E146" s="861"/>
      <c r="F146" s="861"/>
      <c r="G146" s="861"/>
      <c r="H146" s="861"/>
      <c r="I146" s="861"/>
      <c r="J146" s="861"/>
      <c r="K146" s="861"/>
      <c r="L146" s="861"/>
      <c r="M146" s="861"/>
      <c r="N146" s="861"/>
      <c r="O146" s="861"/>
      <c r="P146" s="861"/>
      <c r="Q146" s="861"/>
      <c r="R146" s="861"/>
      <c r="S146" s="861"/>
      <c r="T146" s="861"/>
      <c r="U146" s="861"/>
      <c r="V146" s="861"/>
      <c r="W146" s="861"/>
      <c r="X146" s="861"/>
      <c r="Y146" s="861"/>
      <c r="Z146" s="861"/>
      <c r="AA146" s="861"/>
      <c r="AB146" s="861"/>
      <c r="AC146" s="861"/>
      <c r="AD146" s="861"/>
      <c r="AE146" s="861"/>
      <c r="AF146" s="861"/>
      <c r="AG146" s="861"/>
    </row>
    <row r="147" spans="1:33" ht="17.25" customHeight="1">
      <c r="A147" s="861"/>
      <c r="B147" s="861"/>
      <c r="C147" s="861"/>
      <c r="D147" s="861"/>
      <c r="E147" s="861"/>
      <c r="F147" s="861"/>
      <c r="G147" s="861"/>
      <c r="H147" s="861"/>
      <c r="I147" s="861"/>
      <c r="J147" s="861"/>
      <c r="K147" s="861"/>
      <c r="L147" s="861"/>
      <c r="M147" s="861"/>
      <c r="N147" s="861"/>
      <c r="O147" s="861"/>
      <c r="P147" s="861"/>
      <c r="Q147" s="861"/>
      <c r="R147" s="861"/>
      <c r="S147" s="861"/>
      <c r="T147" s="861"/>
      <c r="U147" s="861"/>
      <c r="V147" s="861"/>
      <c r="W147" s="861"/>
      <c r="X147" s="861"/>
      <c r="Y147" s="861"/>
      <c r="Z147" s="861"/>
      <c r="AA147" s="861"/>
      <c r="AB147" s="861"/>
      <c r="AC147" s="861"/>
      <c r="AD147" s="861"/>
      <c r="AE147" s="861"/>
      <c r="AF147" s="861"/>
      <c r="AG147" s="861"/>
    </row>
    <row r="148" spans="1:33" ht="17.25" customHeight="1">
      <c r="A148" s="861"/>
      <c r="B148" s="861"/>
      <c r="C148" s="861"/>
      <c r="D148" s="861"/>
      <c r="E148" s="861"/>
      <c r="F148" s="861"/>
      <c r="G148" s="861"/>
      <c r="H148" s="861"/>
      <c r="I148" s="861"/>
      <c r="J148" s="861"/>
      <c r="K148" s="861"/>
      <c r="L148" s="861"/>
      <c r="M148" s="861"/>
      <c r="N148" s="861"/>
      <c r="O148" s="861"/>
      <c r="P148" s="861"/>
      <c r="Q148" s="861"/>
      <c r="R148" s="861"/>
      <c r="S148" s="861"/>
      <c r="T148" s="861"/>
      <c r="U148" s="861"/>
      <c r="V148" s="861"/>
      <c r="W148" s="861"/>
      <c r="X148" s="861"/>
      <c r="Y148" s="861"/>
      <c r="Z148" s="861"/>
      <c r="AA148" s="861"/>
      <c r="AB148" s="861"/>
      <c r="AC148" s="861"/>
      <c r="AD148" s="861"/>
      <c r="AE148" s="861"/>
      <c r="AF148" s="861"/>
      <c r="AG148" s="861"/>
    </row>
    <row r="149" spans="1:33" ht="17.25" customHeight="1">
      <c r="A149" s="861"/>
      <c r="B149" s="861"/>
      <c r="C149" s="861"/>
      <c r="D149" s="861"/>
      <c r="E149" s="861"/>
      <c r="F149" s="861"/>
      <c r="G149" s="861"/>
      <c r="H149" s="861"/>
      <c r="I149" s="861"/>
      <c r="J149" s="861"/>
      <c r="K149" s="861"/>
      <c r="L149" s="861"/>
      <c r="M149" s="861"/>
      <c r="N149" s="861"/>
      <c r="O149" s="861"/>
      <c r="P149" s="861"/>
      <c r="Q149" s="861"/>
      <c r="R149" s="861"/>
      <c r="S149" s="861"/>
      <c r="T149" s="861"/>
      <c r="U149" s="861"/>
      <c r="V149" s="861"/>
      <c r="W149" s="861"/>
      <c r="X149" s="861"/>
      <c r="Y149" s="861"/>
      <c r="Z149" s="861"/>
      <c r="AA149" s="861"/>
      <c r="AB149" s="861"/>
      <c r="AC149" s="861"/>
      <c r="AD149" s="861"/>
      <c r="AE149" s="861"/>
      <c r="AF149" s="861"/>
      <c r="AG149" s="861"/>
    </row>
    <row r="150" spans="1:33" ht="17.25" customHeight="1">
      <c r="A150" s="861"/>
      <c r="B150" s="861"/>
      <c r="C150" s="861"/>
      <c r="D150" s="861"/>
      <c r="E150" s="861"/>
      <c r="F150" s="861"/>
      <c r="G150" s="861"/>
      <c r="H150" s="861"/>
      <c r="I150" s="861"/>
      <c r="J150" s="861"/>
      <c r="K150" s="861"/>
      <c r="L150" s="861"/>
      <c r="M150" s="861"/>
      <c r="N150" s="861"/>
      <c r="O150" s="861"/>
      <c r="P150" s="861"/>
      <c r="Q150" s="861"/>
      <c r="R150" s="861"/>
      <c r="S150" s="861"/>
      <c r="T150" s="861"/>
      <c r="U150" s="861"/>
      <c r="V150" s="861"/>
      <c r="W150" s="861"/>
      <c r="X150" s="861"/>
      <c r="Y150" s="861"/>
      <c r="Z150" s="861"/>
      <c r="AA150" s="861"/>
      <c r="AB150" s="861"/>
      <c r="AC150" s="861"/>
      <c r="AD150" s="861"/>
      <c r="AE150" s="861"/>
      <c r="AF150" s="861"/>
      <c r="AG150" s="861"/>
    </row>
    <row r="151" spans="1:33" ht="17.25" customHeight="1">
      <c r="A151" s="861"/>
      <c r="B151" s="861"/>
      <c r="C151" s="861"/>
      <c r="D151" s="861"/>
      <c r="E151" s="861"/>
      <c r="F151" s="861"/>
      <c r="G151" s="861"/>
      <c r="H151" s="861"/>
      <c r="I151" s="861"/>
      <c r="J151" s="861"/>
      <c r="K151" s="861"/>
      <c r="L151" s="861"/>
      <c r="M151" s="861"/>
      <c r="N151" s="861"/>
      <c r="O151" s="861"/>
      <c r="P151" s="861"/>
      <c r="Q151" s="861"/>
      <c r="R151" s="861"/>
      <c r="S151" s="861"/>
      <c r="T151" s="861"/>
      <c r="U151" s="861"/>
      <c r="V151" s="861"/>
      <c r="W151" s="861"/>
      <c r="X151" s="861"/>
      <c r="Y151" s="861"/>
      <c r="Z151" s="861"/>
      <c r="AA151" s="861"/>
      <c r="AB151" s="861"/>
      <c r="AC151" s="861"/>
      <c r="AD151" s="861"/>
      <c r="AE151" s="861"/>
      <c r="AF151" s="861"/>
      <c r="AG151" s="861"/>
    </row>
    <row r="152" spans="1:33" ht="17.25" customHeight="1">
      <c r="A152" s="861"/>
      <c r="B152" s="861"/>
      <c r="C152" s="861"/>
      <c r="D152" s="861"/>
      <c r="E152" s="861"/>
      <c r="F152" s="861"/>
      <c r="G152" s="861"/>
      <c r="H152" s="861"/>
      <c r="I152" s="861"/>
      <c r="J152" s="861"/>
      <c r="K152" s="861"/>
      <c r="L152" s="861"/>
      <c r="M152" s="861"/>
      <c r="N152" s="861"/>
      <c r="O152" s="861"/>
      <c r="P152" s="861"/>
      <c r="Q152" s="861"/>
      <c r="R152" s="861"/>
      <c r="S152" s="861"/>
      <c r="T152" s="861"/>
      <c r="U152" s="861"/>
      <c r="V152" s="861"/>
      <c r="W152" s="861"/>
      <c r="X152" s="861"/>
      <c r="Y152" s="861"/>
      <c r="Z152" s="861"/>
      <c r="AA152" s="861"/>
      <c r="AB152" s="861"/>
      <c r="AC152" s="861"/>
      <c r="AD152" s="861"/>
      <c r="AE152" s="861"/>
      <c r="AF152" s="861"/>
      <c r="AG152" s="861"/>
    </row>
    <row r="153" spans="1:33" ht="17.25" customHeight="1">
      <c r="A153" s="861"/>
      <c r="B153" s="861"/>
      <c r="C153" s="861"/>
      <c r="D153" s="861"/>
      <c r="E153" s="861"/>
      <c r="F153" s="861"/>
      <c r="G153" s="861"/>
      <c r="H153" s="861"/>
      <c r="I153" s="861"/>
      <c r="J153" s="861"/>
      <c r="K153" s="861"/>
      <c r="L153" s="861"/>
      <c r="M153" s="861"/>
      <c r="N153" s="861"/>
      <c r="O153" s="861"/>
      <c r="P153" s="861"/>
      <c r="Q153" s="861"/>
      <c r="R153" s="861"/>
      <c r="S153" s="861"/>
      <c r="T153" s="861"/>
      <c r="U153" s="861"/>
      <c r="V153" s="861"/>
      <c r="W153" s="861"/>
      <c r="X153" s="861"/>
      <c r="Y153" s="861"/>
      <c r="Z153" s="861"/>
      <c r="AA153" s="861"/>
      <c r="AB153" s="861"/>
      <c r="AC153" s="861"/>
      <c r="AD153" s="861"/>
      <c r="AE153" s="861"/>
      <c r="AF153" s="861"/>
      <c r="AG153" s="861"/>
    </row>
    <row r="154" spans="1:33" ht="17.25" customHeight="1">
      <c r="A154" s="861"/>
      <c r="B154" s="861"/>
      <c r="C154" s="861"/>
      <c r="D154" s="861"/>
      <c r="E154" s="861"/>
      <c r="F154" s="861"/>
      <c r="G154" s="861"/>
      <c r="H154" s="861"/>
      <c r="I154" s="861"/>
      <c r="J154" s="861"/>
      <c r="K154" s="861"/>
      <c r="L154" s="861"/>
      <c r="M154" s="861"/>
      <c r="N154" s="861"/>
      <c r="O154" s="861"/>
      <c r="P154" s="861"/>
      <c r="Q154" s="861"/>
      <c r="R154" s="861"/>
      <c r="S154" s="861"/>
      <c r="T154" s="861"/>
      <c r="U154" s="861"/>
      <c r="V154" s="861"/>
      <c r="W154" s="861"/>
      <c r="X154" s="861"/>
      <c r="Y154" s="861"/>
      <c r="Z154" s="861"/>
      <c r="AA154" s="861"/>
      <c r="AB154" s="861"/>
      <c r="AC154" s="861"/>
      <c r="AD154" s="861"/>
      <c r="AE154" s="861"/>
      <c r="AF154" s="861"/>
      <c r="AG154" s="861"/>
    </row>
    <row r="155" spans="1:33" ht="17.25" customHeight="1">
      <c r="A155" s="861"/>
      <c r="B155" s="861"/>
      <c r="C155" s="861"/>
      <c r="D155" s="861"/>
      <c r="E155" s="861"/>
      <c r="F155" s="861"/>
      <c r="G155" s="861"/>
      <c r="H155" s="861"/>
      <c r="I155" s="861"/>
      <c r="J155" s="861"/>
      <c r="K155" s="861"/>
      <c r="L155" s="861"/>
      <c r="M155" s="861"/>
      <c r="N155" s="861"/>
      <c r="O155" s="861"/>
      <c r="P155" s="861"/>
      <c r="Q155" s="861"/>
      <c r="R155" s="861"/>
      <c r="S155" s="861"/>
      <c r="T155" s="861"/>
      <c r="U155" s="861"/>
      <c r="V155" s="861"/>
      <c r="W155" s="861"/>
      <c r="X155" s="861"/>
      <c r="Y155" s="861"/>
      <c r="Z155" s="861"/>
      <c r="AA155" s="861"/>
      <c r="AB155" s="861"/>
      <c r="AC155" s="861"/>
      <c r="AD155" s="861"/>
      <c r="AE155" s="861"/>
      <c r="AF155" s="861"/>
      <c r="AG155" s="861"/>
    </row>
    <row r="156" spans="1:33" ht="17.25" customHeight="1">
      <c r="A156" s="861"/>
      <c r="B156" s="861"/>
      <c r="C156" s="861"/>
      <c r="D156" s="861"/>
      <c r="E156" s="861"/>
      <c r="F156" s="861"/>
      <c r="G156" s="861"/>
      <c r="H156" s="861"/>
      <c r="I156" s="861"/>
      <c r="J156" s="861"/>
      <c r="K156" s="861"/>
      <c r="L156" s="861"/>
      <c r="M156" s="861"/>
      <c r="N156" s="861"/>
      <c r="O156" s="861"/>
      <c r="P156" s="861"/>
      <c r="Q156" s="861"/>
      <c r="R156" s="861"/>
      <c r="S156" s="861"/>
      <c r="T156" s="861"/>
      <c r="U156" s="861"/>
      <c r="V156" s="861"/>
      <c r="W156" s="861"/>
      <c r="X156" s="861"/>
      <c r="Y156" s="861"/>
      <c r="Z156" s="861"/>
      <c r="AA156" s="861"/>
      <c r="AB156" s="861"/>
      <c r="AC156" s="861"/>
      <c r="AD156" s="861"/>
      <c r="AE156" s="861"/>
      <c r="AF156" s="861"/>
      <c r="AG156" s="861"/>
    </row>
    <row r="157" spans="1:33" ht="17.25" customHeight="1">
      <c r="A157" s="861"/>
      <c r="B157" s="861"/>
      <c r="C157" s="861"/>
      <c r="D157" s="861"/>
      <c r="E157" s="861"/>
      <c r="F157" s="861"/>
      <c r="G157" s="861"/>
      <c r="H157" s="861"/>
      <c r="I157" s="861"/>
      <c r="J157" s="861"/>
      <c r="K157" s="861"/>
      <c r="L157" s="861"/>
      <c r="M157" s="861"/>
      <c r="N157" s="861"/>
      <c r="O157" s="861"/>
      <c r="P157" s="861"/>
      <c r="Q157" s="861"/>
      <c r="R157" s="861"/>
      <c r="S157" s="861"/>
      <c r="T157" s="861"/>
      <c r="U157" s="861"/>
      <c r="V157" s="861"/>
      <c r="W157" s="861"/>
      <c r="X157" s="861"/>
      <c r="Y157" s="861"/>
      <c r="Z157" s="861"/>
      <c r="AA157" s="861"/>
      <c r="AB157" s="861"/>
      <c r="AC157" s="861"/>
      <c r="AD157" s="861"/>
      <c r="AE157" s="861"/>
      <c r="AF157" s="861"/>
      <c r="AG157" s="861"/>
    </row>
    <row r="158" spans="1:33" ht="17.25" customHeight="1">
      <c r="A158" s="861"/>
      <c r="B158" s="861"/>
      <c r="C158" s="861"/>
      <c r="D158" s="861"/>
      <c r="E158" s="861"/>
      <c r="F158" s="861"/>
      <c r="G158" s="861"/>
      <c r="H158" s="861"/>
      <c r="I158" s="861"/>
      <c r="J158" s="861"/>
      <c r="K158" s="861"/>
      <c r="L158" s="861"/>
      <c r="M158" s="861"/>
      <c r="N158" s="861"/>
      <c r="O158" s="861"/>
      <c r="P158" s="861"/>
      <c r="Q158" s="861"/>
      <c r="R158" s="861"/>
      <c r="S158" s="861"/>
      <c r="T158" s="861"/>
      <c r="U158" s="861"/>
      <c r="V158" s="861"/>
      <c r="W158" s="861"/>
      <c r="X158" s="861"/>
      <c r="Y158" s="861"/>
      <c r="Z158" s="861"/>
      <c r="AA158" s="861"/>
      <c r="AB158" s="861"/>
      <c r="AC158" s="861"/>
      <c r="AD158" s="861"/>
      <c r="AE158" s="861"/>
      <c r="AF158" s="861"/>
      <c r="AG158" s="861"/>
    </row>
    <row r="159" spans="1:33" ht="17.25" customHeight="1">
      <c r="A159" s="861"/>
      <c r="B159" s="861"/>
      <c r="C159" s="861"/>
      <c r="D159" s="861"/>
      <c r="E159" s="861"/>
      <c r="F159" s="861"/>
      <c r="G159" s="861"/>
      <c r="H159" s="861"/>
      <c r="I159" s="861"/>
      <c r="J159" s="861"/>
      <c r="K159" s="861"/>
      <c r="L159" s="861"/>
      <c r="M159" s="861"/>
      <c r="N159" s="861"/>
      <c r="O159" s="861"/>
      <c r="P159" s="861"/>
      <c r="Q159" s="861"/>
      <c r="R159" s="861"/>
      <c r="S159" s="861"/>
      <c r="T159" s="861"/>
      <c r="U159" s="861"/>
      <c r="V159" s="861"/>
      <c r="W159" s="861"/>
      <c r="X159" s="861"/>
      <c r="Y159" s="861"/>
      <c r="Z159" s="861"/>
      <c r="AA159" s="861"/>
      <c r="AB159" s="861"/>
      <c r="AC159" s="861"/>
      <c r="AD159" s="861"/>
      <c r="AE159" s="861"/>
      <c r="AF159" s="861"/>
      <c r="AG159" s="861"/>
    </row>
    <row r="160" spans="1:33" ht="17.25" customHeight="1">
      <c r="A160" s="861"/>
      <c r="B160" s="861"/>
      <c r="C160" s="861"/>
      <c r="D160" s="861"/>
      <c r="E160" s="861"/>
      <c r="F160" s="861"/>
      <c r="G160" s="861"/>
      <c r="H160" s="861"/>
      <c r="I160" s="861"/>
      <c r="J160" s="861"/>
      <c r="K160" s="861"/>
      <c r="L160" s="861"/>
      <c r="M160" s="861"/>
      <c r="N160" s="861"/>
      <c r="O160" s="861"/>
      <c r="P160" s="861"/>
      <c r="Q160" s="861"/>
      <c r="R160" s="861"/>
      <c r="S160" s="861"/>
      <c r="T160" s="861"/>
      <c r="U160" s="861"/>
      <c r="V160" s="861"/>
      <c r="W160" s="861"/>
      <c r="X160" s="861"/>
      <c r="Y160" s="861"/>
      <c r="Z160" s="861"/>
      <c r="AA160" s="861"/>
      <c r="AB160" s="861"/>
      <c r="AC160" s="861"/>
      <c r="AD160" s="861"/>
      <c r="AE160" s="861"/>
      <c r="AF160" s="861"/>
      <c r="AG160" s="861"/>
    </row>
    <row r="161" spans="1:33" ht="17.25" customHeight="1">
      <c r="A161" s="861"/>
      <c r="B161" s="861"/>
      <c r="C161" s="861"/>
      <c r="D161" s="861"/>
      <c r="E161" s="861"/>
      <c r="F161" s="861"/>
      <c r="G161" s="861"/>
      <c r="H161" s="861"/>
      <c r="I161" s="861"/>
      <c r="J161" s="861"/>
      <c r="K161" s="861"/>
      <c r="L161" s="861"/>
      <c r="M161" s="861"/>
      <c r="N161" s="861"/>
      <c r="O161" s="861"/>
      <c r="P161" s="861"/>
      <c r="Q161" s="861"/>
      <c r="R161" s="861"/>
      <c r="S161" s="861"/>
      <c r="T161" s="861"/>
      <c r="U161" s="861"/>
      <c r="V161" s="861"/>
      <c r="W161" s="861"/>
      <c r="X161" s="861"/>
      <c r="Y161" s="861"/>
      <c r="Z161" s="861"/>
      <c r="AA161" s="861"/>
      <c r="AB161" s="861"/>
      <c r="AC161" s="861"/>
      <c r="AD161" s="861"/>
      <c r="AE161" s="861"/>
      <c r="AF161" s="861"/>
      <c r="AG161" s="861"/>
    </row>
    <row r="162" spans="1:33" ht="17.25" customHeight="1">
      <c r="A162" s="861"/>
      <c r="B162" s="861"/>
      <c r="C162" s="861"/>
      <c r="D162" s="861"/>
      <c r="E162" s="861"/>
      <c r="F162" s="861"/>
      <c r="G162" s="861"/>
      <c r="H162" s="861"/>
      <c r="I162" s="861"/>
      <c r="J162" s="861"/>
      <c r="K162" s="861"/>
      <c r="L162" s="861"/>
      <c r="M162" s="861"/>
      <c r="N162" s="861"/>
      <c r="O162" s="861"/>
      <c r="P162" s="861"/>
      <c r="Q162" s="861"/>
      <c r="R162" s="861"/>
      <c r="S162" s="861"/>
      <c r="T162" s="861"/>
      <c r="U162" s="861"/>
      <c r="V162" s="861"/>
      <c r="W162" s="861"/>
      <c r="X162" s="861"/>
      <c r="Y162" s="861"/>
      <c r="Z162" s="861"/>
      <c r="AA162" s="861"/>
      <c r="AB162" s="861"/>
      <c r="AC162" s="861"/>
      <c r="AD162" s="861"/>
      <c r="AE162" s="861"/>
      <c r="AF162" s="861"/>
      <c r="AG162" s="861"/>
    </row>
    <row r="163" spans="1:33" ht="17.25" customHeight="1">
      <c r="A163" s="861"/>
      <c r="B163" s="861"/>
      <c r="C163" s="861"/>
      <c r="D163" s="861"/>
      <c r="E163" s="861"/>
      <c r="F163" s="861"/>
      <c r="G163" s="861"/>
      <c r="H163" s="861"/>
      <c r="I163" s="861"/>
      <c r="J163" s="861"/>
      <c r="K163" s="861"/>
      <c r="L163" s="861"/>
      <c r="M163" s="861"/>
      <c r="N163" s="861"/>
      <c r="O163" s="861"/>
      <c r="P163" s="861"/>
      <c r="Q163" s="861"/>
      <c r="R163" s="861"/>
      <c r="S163" s="861"/>
      <c r="T163" s="861"/>
      <c r="U163" s="861"/>
      <c r="V163" s="861"/>
      <c r="W163" s="861"/>
      <c r="X163" s="861"/>
      <c r="Y163" s="861"/>
      <c r="Z163" s="861"/>
      <c r="AA163" s="861"/>
      <c r="AB163" s="861"/>
      <c r="AC163" s="861"/>
      <c r="AD163" s="861"/>
      <c r="AE163" s="861"/>
      <c r="AF163" s="861"/>
      <c r="AG163" s="861"/>
    </row>
    <row r="164" spans="1:33" ht="17.25" customHeight="1">
      <c r="A164" s="861"/>
      <c r="B164" s="861"/>
      <c r="C164" s="861"/>
      <c r="D164" s="861"/>
      <c r="E164" s="861"/>
      <c r="F164" s="861"/>
      <c r="G164" s="861"/>
      <c r="H164" s="861"/>
      <c r="I164" s="861"/>
      <c r="J164" s="861"/>
      <c r="K164" s="861"/>
      <c r="L164" s="861"/>
      <c r="M164" s="861"/>
      <c r="N164" s="861"/>
      <c r="O164" s="861"/>
      <c r="P164" s="861"/>
      <c r="Q164" s="861"/>
      <c r="R164" s="861"/>
      <c r="S164" s="861"/>
      <c r="T164" s="861"/>
      <c r="U164" s="861"/>
      <c r="V164" s="861"/>
      <c r="W164" s="861"/>
      <c r="X164" s="861"/>
      <c r="Y164" s="861"/>
      <c r="Z164" s="861"/>
      <c r="AA164" s="861"/>
      <c r="AB164" s="861"/>
      <c r="AC164" s="861"/>
      <c r="AD164" s="861"/>
      <c r="AE164" s="861"/>
      <c r="AF164" s="861"/>
      <c r="AG164" s="861"/>
    </row>
    <row r="165" spans="1:33" ht="17.25" customHeight="1">
      <c r="A165" s="861"/>
      <c r="B165" s="861"/>
      <c r="C165" s="861"/>
      <c r="D165" s="861"/>
      <c r="E165" s="861"/>
      <c r="F165" s="861"/>
      <c r="G165" s="861"/>
      <c r="H165" s="861"/>
      <c r="I165" s="861"/>
      <c r="J165" s="861"/>
      <c r="K165" s="861"/>
      <c r="L165" s="861"/>
      <c r="M165" s="861"/>
      <c r="N165" s="861"/>
      <c r="O165" s="861"/>
      <c r="P165" s="861"/>
      <c r="Q165" s="861"/>
      <c r="R165" s="861"/>
      <c r="S165" s="861"/>
      <c r="T165" s="861"/>
      <c r="U165" s="861"/>
      <c r="V165" s="861"/>
      <c r="W165" s="861"/>
      <c r="X165" s="861"/>
      <c r="Y165" s="861"/>
      <c r="Z165" s="861"/>
      <c r="AA165" s="861"/>
      <c r="AB165" s="861"/>
      <c r="AC165" s="861"/>
      <c r="AD165" s="861"/>
      <c r="AE165" s="861"/>
      <c r="AF165" s="861"/>
      <c r="AG165" s="861"/>
    </row>
    <row r="166" spans="1:33" ht="17.25" customHeight="1">
      <c r="A166" s="861"/>
      <c r="B166" s="861"/>
      <c r="C166" s="861"/>
      <c r="D166" s="861"/>
      <c r="E166" s="861"/>
      <c r="F166" s="861"/>
      <c r="G166" s="861"/>
      <c r="H166" s="861"/>
      <c r="I166" s="861"/>
      <c r="J166" s="861"/>
      <c r="K166" s="861"/>
      <c r="L166" s="861"/>
      <c r="M166" s="861"/>
      <c r="N166" s="861"/>
      <c r="O166" s="861"/>
      <c r="P166" s="861"/>
      <c r="Q166" s="861"/>
      <c r="R166" s="861"/>
      <c r="S166" s="861"/>
      <c r="T166" s="861"/>
      <c r="U166" s="861"/>
      <c r="V166" s="861"/>
      <c r="W166" s="861"/>
      <c r="X166" s="861"/>
      <c r="Y166" s="861"/>
      <c r="Z166" s="861"/>
      <c r="AA166" s="861"/>
      <c r="AB166" s="861"/>
      <c r="AC166" s="861"/>
      <c r="AD166" s="861"/>
      <c r="AE166" s="861"/>
      <c r="AF166" s="861"/>
      <c r="AG166" s="861"/>
    </row>
    <row r="167" spans="1:33" ht="17.25" customHeight="1">
      <c r="A167" s="861"/>
      <c r="B167" s="861"/>
      <c r="C167" s="861"/>
      <c r="D167" s="861"/>
      <c r="E167" s="861"/>
      <c r="F167" s="861"/>
      <c r="G167" s="861"/>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row>
    <row r="168" spans="1:33" ht="17.25" customHeight="1">
      <c r="A168" s="861"/>
      <c r="B168" s="861"/>
      <c r="C168" s="861"/>
      <c r="D168" s="861"/>
      <c r="E168" s="861"/>
      <c r="F168" s="861"/>
      <c r="G168" s="861"/>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row>
    <row r="169" spans="1:33" ht="17.25" customHeight="1">
      <c r="A169" s="861"/>
      <c r="B169" s="861"/>
      <c r="C169" s="861"/>
      <c r="D169" s="861"/>
      <c r="E169" s="861"/>
      <c r="F169" s="861"/>
      <c r="G169" s="861"/>
      <c r="H169" s="861"/>
      <c r="I169" s="861"/>
      <c r="J169" s="861"/>
      <c r="K169" s="861"/>
      <c r="L169" s="861"/>
      <c r="M169" s="861"/>
      <c r="N169" s="861"/>
      <c r="O169" s="861"/>
      <c r="P169" s="861"/>
      <c r="Q169" s="861"/>
      <c r="R169" s="861"/>
      <c r="S169" s="861"/>
      <c r="T169" s="861"/>
      <c r="U169" s="861"/>
      <c r="V169" s="861"/>
      <c r="W169" s="861"/>
      <c r="X169" s="861"/>
      <c r="Y169" s="861"/>
      <c r="Z169" s="861"/>
      <c r="AA169" s="861"/>
      <c r="AB169" s="861"/>
      <c r="AC169" s="861"/>
      <c r="AD169" s="861"/>
      <c r="AE169" s="861"/>
      <c r="AF169" s="861"/>
      <c r="AG169" s="861"/>
    </row>
    <row r="170" spans="1:33" ht="17.25" customHeight="1">
      <c r="A170" s="861"/>
      <c r="B170" s="861"/>
      <c r="C170" s="861"/>
      <c r="D170" s="861"/>
      <c r="E170" s="861"/>
      <c r="F170" s="861"/>
      <c r="G170" s="861"/>
      <c r="H170" s="861"/>
      <c r="I170" s="861"/>
      <c r="J170" s="861"/>
      <c r="K170" s="861"/>
      <c r="L170" s="861"/>
      <c r="M170" s="861"/>
      <c r="N170" s="861"/>
      <c r="O170" s="861"/>
      <c r="P170" s="861"/>
      <c r="Q170" s="861"/>
      <c r="R170" s="861"/>
      <c r="S170" s="861"/>
      <c r="T170" s="861"/>
      <c r="U170" s="861"/>
      <c r="V170" s="861"/>
      <c r="W170" s="861"/>
      <c r="X170" s="861"/>
      <c r="Y170" s="861"/>
      <c r="Z170" s="861"/>
      <c r="AA170" s="861"/>
      <c r="AB170" s="861"/>
      <c r="AC170" s="861"/>
      <c r="AD170" s="861"/>
      <c r="AE170" s="861"/>
      <c r="AF170" s="861"/>
      <c r="AG170" s="861"/>
    </row>
    <row r="171" spans="1:33" ht="17.25" customHeight="1">
      <c r="A171" s="861"/>
      <c r="B171" s="861"/>
      <c r="C171" s="861"/>
      <c r="D171" s="861"/>
      <c r="E171" s="861"/>
      <c r="F171" s="861"/>
      <c r="G171" s="861"/>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row>
    <row r="172" spans="1:33" ht="17.25" customHeight="1">
      <c r="A172" s="861"/>
      <c r="B172" s="861"/>
      <c r="C172" s="861"/>
      <c r="D172" s="861"/>
      <c r="E172" s="861"/>
      <c r="F172" s="861"/>
      <c r="G172" s="861"/>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row>
    <row r="173" spans="1:33" ht="17.25" customHeight="1">
      <c r="A173" s="861"/>
      <c r="B173" s="861"/>
      <c r="C173" s="861"/>
      <c r="D173" s="861"/>
      <c r="E173" s="861"/>
      <c r="F173" s="861"/>
      <c r="G173" s="861"/>
      <c r="H173" s="861"/>
      <c r="I173" s="861"/>
      <c r="J173" s="861"/>
      <c r="K173" s="861"/>
      <c r="L173" s="861"/>
      <c r="M173" s="861"/>
      <c r="N173" s="861"/>
      <c r="O173" s="861"/>
      <c r="P173" s="861"/>
      <c r="Q173" s="861"/>
      <c r="R173" s="861"/>
      <c r="S173" s="861"/>
      <c r="T173" s="861"/>
      <c r="U173" s="861"/>
      <c r="V173" s="861"/>
      <c r="W173" s="861"/>
      <c r="X173" s="861"/>
      <c r="Y173" s="861"/>
      <c r="Z173" s="861"/>
      <c r="AA173" s="861"/>
      <c r="AB173" s="861"/>
      <c r="AC173" s="861"/>
      <c r="AD173" s="861"/>
      <c r="AE173" s="861"/>
      <c r="AF173" s="861"/>
      <c r="AG173" s="861"/>
    </row>
    <row r="174" spans="1:33" ht="17.25" customHeight="1">
      <c r="A174" s="861"/>
      <c r="B174" s="861"/>
      <c r="C174" s="861"/>
      <c r="D174" s="861"/>
      <c r="E174" s="861"/>
      <c r="F174" s="861"/>
      <c r="G174" s="861"/>
      <c r="H174" s="861"/>
      <c r="I174" s="861"/>
      <c r="J174" s="861"/>
      <c r="K174" s="861"/>
      <c r="L174" s="861"/>
      <c r="M174" s="861"/>
      <c r="N174" s="861"/>
      <c r="O174" s="861"/>
      <c r="P174" s="861"/>
      <c r="Q174" s="861"/>
      <c r="R174" s="861"/>
      <c r="S174" s="861"/>
      <c r="T174" s="861"/>
      <c r="U174" s="861"/>
      <c r="V174" s="861"/>
      <c r="W174" s="861"/>
      <c r="X174" s="861"/>
      <c r="Y174" s="861"/>
      <c r="Z174" s="861"/>
      <c r="AA174" s="861"/>
      <c r="AB174" s="861"/>
      <c r="AC174" s="861"/>
      <c r="AD174" s="861"/>
      <c r="AE174" s="861"/>
      <c r="AF174" s="861"/>
      <c r="AG174" s="861"/>
    </row>
    <row r="175" spans="1:33" ht="17.25" customHeight="1">
      <c r="A175" s="861"/>
      <c r="B175" s="861"/>
      <c r="C175" s="861"/>
      <c r="D175" s="861"/>
      <c r="E175" s="861"/>
      <c r="F175" s="861"/>
      <c r="G175" s="861"/>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row>
    <row r="176" spans="1:33" ht="17.25" customHeight="1">
      <c r="A176" s="861"/>
      <c r="B176" s="861"/>
      <c r="C176" s="861"/>
      <c r="D176" s="861"/>
      <c r="E176" s="861"/>
      <c r="F176" s="861"/>
      <c r="G176" s="861"/>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row>
    <row r="177" spans="1:33" ht="17.25" customHeight="1">
      <c r="A177" s="861"/>
      <c r="B177" s="861"/>
      <c r="C177" s="861"/>
      <c r="D177" s="861"/>
      <c r="E177" s="861"/>
      <c r="F177" s="861"/>
      <c r="G177" s="861"/>
      <c r="H177" s="861"/>
      <c r="I177" s="861"/>
      <c r="J177" s="861"/>
      <c r="K177" s="861"/>
      <c r="L177" s="861"/>
      <c r="M177" s="861"/>
      <c r="N177" s="861"/>
      <c r="O177" s="861"/>
      <c r="P177" s="861"/>
      <c r="Q177" s="861"/>
      <c r="R177" s="861"/>
      <c r="S177" s="861"/>
      <c r="T177" s="861"/>
      <c r="U177" s="861"/>
      <c r="V177" s="861"/>
      <c r="W177" s="861"/>
      <c r="X177" s="861"/>
      <c r="Y177" s="861"/>
      <c r="Z177" s="861"/>
      <c r="AA177" s="861"/>
      <c r="AB177" s="861"/>
      <c r="AC177" s="861"/>
      <c r="AD177" s="861"/>
      <c r="AE177" s="861"/>
      <c r="AF177" s="861"/>
      <c r="AG177" s="861"/>
    </row>
    <row r="178" spans="1:33" ht="17.25" customHeight="1">
      <c r="A178" s="861"/>
      <c r="B178" s="861"/>
      <c r="C178" s="861"/>
      <c r="D178" s="861"/>
      <c r="E178" s="861"/>
      <c r="F178" s="861"/>
      <c r="G178" s="861"/>
      <c r="H178" s="861"/>
      <c r="I178" s="861"/>
      <c r="J178" s="861"/>
      <c r="K178" s="861"/>
      <c r="L178" s="861"/>
      <c r="M178" s="861"/>
      <c r="N178" s="861"/>
      <c r="O178" s="861"/>
      <c r="P178" s="861"/>
      <c r="Q178" s="861"/>
      <c r="R178" s="861"/>
      <c r="S178" s="861"/>
      <c r="T178" s="861"/>
      <c r="U178" s="861"/>
      <c r="V178" s="861"/>
      <c r="W178" s="861"/>
      <c r="X178" s="861"/>
      <c r="Y178" s="861"/>
      <c r="Z178" s="861"/>
      <c r="AA178" s="861"/>
      <c r="AB178" s="861"/>
      <c r="AC178" s="861"/>
      <c r="AD178" s="861"/>
      <c r="AE178" s="861"/>
      <c r="AF178" s="861"/>
      <c r="AG178" s="861"/>
    </row>
    <row r="179" spans="1:33" ht="17.25" customHeight="1">
      <c r="A179" s="861"/>
      <c r="B179" s="861"/>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row>
    <row r="180" spans="1:33" ht="17.25" customHeight="1">
      <c r="A180" s="861"/>
      <c r="B180" s="861"/>
      <c r="C180" s="861"/>
      <c r="D180" s="861"/>
      <c r="E180" s="861"/>
      <c r="F180" s="861"/>
      <c r="G180" s="861"/>
      <c r="H180" s="861"/>
      <c r="I180" s="861"/>
      <c r="J180" s="861"/>
      <c r="K180" s="861"/>
      <c r="L180" s="861"/>
      <c r="M180" s="861"/>
      <c r="N180" s="861"/>
      <c r="O180" s="861"/>
      <c r="P180" s="861"/>
      <c r="Q180" s="861"/>
      <c r="R180" s="861"/>
      <c r="S180" s="861"/>
      <c r="T180" s="861"/>
      <c r="U180" s="861"/>
      <c r="V180" s="861"/>
      <c r="W180" s="861"/>
      <c r="X180" s="861"/>
      <c r="Y180" s="861"/>
      <c r="Z180" s="861"/>
      <c r="AA180" s="861"/>
      <c r="AB180" s="861"/>
      <c r="AC180" s="861"/>
      <c r="AD180" s="861"/>
      <c r="AE180" s="861"/>
      <c r="AF180" s="861"/>
      <c r="AG180" s="861"/>
    </row>
    <row r="181" spans="1:33" ht="17.25" customHeight="1">
      <c r="A181" s="861"/>
      <c r="B181" s="861"/>
      <c r="C181" s="861"/>
      <c r="D181" s="861"/>
      <c r="E181" s="861"/>
      <c r="F181" s="861"/>
      <c r="G181" s="861"/>
      <c r="H181" s="861"/>
      <c r="I181" s="861"/>
      <c r="J181" s="861"/>
      <c r="K181" s="861"/>
      <c r="L181" s="861"/>
      <c r="M181" s="861"/>
      <c r="N181" s="861"/>
      <c r="O181" s="861"/>
      <c r="P181" s="861"/>
      <c r="Q181" s="861"/>
      <c r="R181" s="861"/>
      <c r="S181" s="861"/>
      <c r="T181" s="861"/>
      <c r="U181" s="861"/>
      <c r="V181" s="861"/>
      <c r="W181" s="861"/>
      <c r="X181" s="861"/>
      <c r="Y181" s="861"/>
      <c r="Z181" s="861"/>
      <c r="AA181" s="861"/>
      <c r="AB181" s="861"/>
      <c r="AC181" s="861"/>
      <c r="AD181" s="861"/>
      <c r="AE181" s="861"/>
      <c r="AF181" s="861"/>
      <c r="AG181" s="861"/>
    </row>
    <row r="182" spans="1:33" ht="17.25" customHeight="1">
      <c r="A182" s="861"/>
      <c r="B182" s="861"/>
      <c r="C182" s="861"/>
      <c r="D182" s="861"/>
      <c r="E182" s="861"/>
      <c r="F182" s="861"/>
      <c r="G182" s="861"/>
      <c r="H182" s="861"/>
      <c r="I182" s="861"/>
      <c r="J182" s="861"/>
      <c r="K182" s="861"/>
      <c r="L182" s="861"/>
      <c r="M182" s="861"/>
      <c r="N182" s="861"/>
      <c r="O182" s="861"/>
      <c r="P182" s="861"/>
      <c r="Q182" s="861"/>
      <c r="R182" s="861"/>
      <c r="S182" s="861"/>
      <c r="T182" s="861"/>
      <c r="U182" s="861"/>
      <c r="V182" s="861"/>
      <c r="W182" s="861"/>
      <c r="X182" s="861"/>
      <c r="Y182" s="861"/>
      <c r="Z182" s="861"/>
      <c r="AA182" s="861"/>
      <c r="AB182" s="861"/>
      <c r="AC182" s="861"/>
      <c r="AD182" s="861"/>
      <c r="AE182" s="861"/>
      <c r="AF182" s="861"/>
      <c r="AG182" s="861"/>
    </row>
    <row r="183" spans="1:33" ht="17.25" customHeight="1">
      <c r="A183" s="861"/>
      <c r="B183" s="861"/>
      <c r="C183" s="861"/>
      <c r="D183" s="861"/>
      <c r="E183" s="861"/>
      <c r="F183" s="861"/>
      <c r="G183" s="861"/>
      <c r="H183" s="861"/>
      <c r="I183" s="861"/>
      <c r="J183" s="861"/>
      <c r="K183" s="861"/>
      <c r="L183" s="861"/>
      <c r="M183" s="861"/>
      <c r="N183" s="861"/>
      <c r="O183" s="861"/>
      <c r="P183" s="861"/>
      <c r="Q183" s="861"/>
      <c r="R183" s="861"/>
      <c r="S183" s="861"/>
      <c r="T183" s="861"/>
      <c r="U183" s="861"/>
      <c r="V183" s="861"/>
      <c r="W183" s="861"/>
      <c r="X183" s="861"/>
      <c r="Y183" s="861"/>
      <c r="Z183" s="861"/>
      <c r="AA183" s="861"/>
      <c r="AB183" s="861"/>
      <c r="AC183" s="861"/>
      <c r="AD183" s="861"/>
      <c r="AE183" s="861"/>
      <c r="AF183" s="861"/>
      <c r="AG183" s="861"/>
    </row>
    <row r="184" spans="1:33" ht="17.25" customHeight="1">
      <c r="A184" s="861"/>
      <c r="B184" s="861"/>
      <c r="C184" s="861"/>
      <c r="D184" s="861"/>
      <c r="E184" s="861"/>
      <c r="F184" s="861"/>
      <c r="G184" s="861"/>
      <c r="H184" s="861"/>
      <c r="I184" s="861"/>
      <c r="J184" s="861"/>
      <c r="K184" s="861"/>
      <c r="L184" s="861"/>
      <c r="M184" s="861"/>
      <c r="N184" s="861"/>
      <c r="O184" s="861"/>
      <c r="P184" s="861"/>
      <c r="Q184" s="861"/>
      <c r="R184" s="861"/>
      <c r="S184" s="861"/>
      <c r="T184" s="861"/>
      <c r="U184" s="861"/>
      <c r="V184" s="861"/>
      <c r="W184" s="861"/>
      <c r="X184" s="861"/>
      <c r="Y184" s="861"/>
      <c r="Z184" s="861"/>
      <c r="AA184" s="861"/>
      <c r="AB184" s="861"/>
      <c r="AC184" s="861"/>
      <c r="AD184" s="861"/>
      <c r="AE184" s="861"/>
      <c r="AF184" s="861"/>
      <c r="AG184" s="861"/>
    </row>
    <row r="185" spans="1:33" ht="17.25" customHeight="1">
      <c r="A185" s="861"/>
      <c r="B185" s="861"/>
      <c r="C185" s="861"/>
      <c r="D185" s="861"/>
      <c r="E185" s="861"/>
      <c r="F185" s="861"/>
      <c r="G185" s="861"/>
      <c r="H185" s="861"/>
      <c r="I185" s="861"/>
      <c r="J185" s="861"/>
      <c r="K185" s="861"/>
      <c r="L185" s="861"/>
      <c r="M185" s="861"/>
      <c r="N185" s="861"/>
      <c r="O185" s="861"/>
      <c r="P185" s="861"/>
      <c r="Q185" s="861"/>
      <c r="R185" s="861"/>
      <c r="S185" s="861"/>
      <c r="T185" s="861"/>
      <c r="U185" s="861"/>
      <c r="V185" s="861"/>
      <c r="W185" s="861"/>
      <c r="X185" s="861"/>
      <c r="Y185" s="861"/>
      <c r="Z185" s="861"/>
      <c r="AA185" s="861"/>
      <c r="AB185" s="861"/>
      <c r="AC185" s="861"/>
      <c r="AD185" s="861"/>
      <c r="AE185" s="861"/>
      <c r="AF185" s="861"/>
      <c r="AG185" s="861"/>
    </row>
    <row r="186" spans="1:33" ht="17.25" customHeight="1">
      <c r="A186" s="861"/>
      <c r="B186" s="861"/>
      <c r="C186" s="861"/>
      <c r="D186" s="861"/>
      <c r="E186" s="861"/>
      <c r="F186" s="861"/>
      <c r="G186" s="861"/>
      <c r="H186" s="861"/>
      <c r="I186" s="861"/>
      <c r="J186" s="861"/>
      <c r="K186" s="861"/>
      <c r="L186" s="861"/>
      <c r="M186" s="861"/>
      <c r="N186" s="861"/>
      <c r="O186" s="861"/>
      <c r="P186" s="861"/>
      <c r="Q186" s="861"/>
      <c r="R186" s="861"/>
      <c r="S186" s="861"/>
      <c r="T186" s="861"/>
      <c r="U186" s="861"/>
      <c r="V186" s="861"/>
      <c r="W186" s="861"/>
      <c r="X186" s="861"/>
      <c r="Y186" s="861"/>
      <c r="Z186" s="861"/>
      <c r="AA186" s="861"/>
      <c r="AB186" s="861"/>
      <c r="AC186" s="861"/>
      <c r="AD186" s="861"/>
      <c r="AE186" s="861"/>
      <c r="AF186" s="861"/>
      <c r="AG186" s="861"/>
    </row>
    <row r="187" spans="1:33" ht="17.25" customHeight="1">
      <c r="A187" s="861"/>
      <c r="B187" s="861"/>
      <c r="C187" s="861"/>
      <c r="D187" s="861"/>
      <c r="E187" s="861"/>
      <c r="F187" s="861"/>
      <c r="G187" s="861"/>
      <c r="H187" s="861"/>
      <c r="I187" s="861"/>
      <c r="J187" s="861"/>
      <c r="K187" s="861"/>
      <c r="L187" s="861"/>
      <c r="M187" s="861"/>
      <c r="N187" s="861"/>
      <c r="O187" s="861"/>
      <c r="P187" s="861"/>
      <c r="Q187" s="861"/>
      <c r="R187" s="861"/>
      <c r="S187" s="861"/>
      <c r="T187" s="861"/>
      <c r="U187" s="861"/>
      <c r="V187" s="861"/>
      <c r="W187" s="861"/>
      <c r="X187" s="861"/>
      <c r="Y187" s="861"/>
      <c r="Z187" s="861"/>
      <c r="AA187" s="861"/>
      <c r="AB187" s="861"/>
      <c r="AC187" s="861"/>
      <c r="AD187" s="861"/>
      <c r="AE187" s="861"/>
      <c r="AF187" s="861"/>
      <c r="AG187" s="861"/>
    </row>
    <row r="188" spans="1:33" ht="17.25" customHeight="1">
      <c r="A188" s="861"/>
      <c r="B188" s="861"/>
      <c r="C188" s="861"/>
      <c r="D188" s="861"/>
      <c r="E188" s="861"/>
      <c r="F188" s="861"/>
      <c r="G188" s="861"/>
      <c r="H188" s="861"/>
      <c r="I188" s="861"/>
      <c r="J188" s="861"/>
      <c r="K188" s="861"/>
      <c r="L188" s="861"/>
      <c r="M188" s="861"/>
      <c r="N188" s="861"/>
      <c r="O188" s="861"/>
      <c r="P188" s="861"/>
      <c r="Q188" s="861"/>
      <c r="R188" s="861"/>
      <c r="S188" s="861"/>
      <c r="T188" s="861"/>
      <c r="U188" s="861"/>
      <c r="V188" s="861"/>
      <c r="W188" s="861"/>
      <c r="X188" s="861"/>
      <c r="Y188" s="861"/>
      <c r="Z188" s="861"/>
      <c r="AA188" s="861"/>
      <c r="AB188" s="861"/>
      <c r="AC188" s="861"/>
      <c r="AD188" s="861"/>
      <c r="AE188" s="861"/>
      <c r="AF188" s="861"/>
      <c r="AG188" s="861"/>
    </row>
    <row r="189" spans="1:33" ht="17.25" customHeight="1">
      <c r="A189" s="861"/>
      <c r="B189" s="861"/>
      <c r="C189" s="861"/>
      <c r="D189" s="861"/>
      <c r="E189" s="861"/>
      <c r="F189" s="861"/>
      <c r="G189" s="861"/>
      <c r="H189" s="861"/>
      <c r="I189" s="861"/>
      <c r="J189" s="861"/>
      <c r="K189" s="861"/>
      <c r="L189" s="861"/>
      <c r="M189" s="861"/>
      <c r="N189" s="861"/>
      <c r="O189" s="861"/>
      <c r="P189" s="861"/>
      <c r="Q189" s="861"/>
      <c r="R189" s="861"/>
      <c r="S189" s="861"/>
      <c r="T189" s="861"/>
      <c r="U189" s="861"/>
      <c r="V189" s="861"/>
      <c r="W189" s="861"/>
      <c r="X189" s="861"/>
      <c r="Y189" s="861"/>
      <c r="Z189" s="861"/>
      <c r="AA189" s="861"/>
      <c r="AB189" s="861"/>
      <c r="AC189" s="861"/>
      <c r="AD189" s="861"/>
      <c r="AE189" s="861"/>
      <c r="AF189" s="861"/>
      <c r="AG189" s="861"/>
    </row>
    <row r="190" spans="1:33" ht="17.25" customHeight="1">
      <c r="A190" s="861"/>
      <c r="B190" s="861"/>
      <c r="C190" s="861"/>
      <c r="D190" s="861"/>
      <c r="E190" s="861"/>
      <c r="F190" s="861"/>
      <c r="G190" s="861"/>
      <c r="H190" s="861"/>
      <c r="I190" s="861"/>
      <c r="J190" s="861"/>
      <c r="K190" s="861"/>
      <c r="L190" s="861"/>
      <c r="M190" s="861"/>
      <c r="N190" s="861"/>
      <c r="O190" s="861"/>
      <c r="P190" s="861"/>
      <c r="Q190" s="861"/>
      <c r="R190" s="861"/>
      <c r="S190" s="861"/>
      <c r="T190" s="861"/>
      <c r="U190" s="861"/>
      <c r="V190" s="861"/>
      <c r="W190" s="861"/>
      <c r="X190" s="861"/>
      <c r="Y190" s="861"/>
      <c r="Z190" s="861"/>
      <c r="AA190" s="861"/>
      <c r="AB190" s="861"/>
      <c r="AC190" s="861"/>
      <c r="AD190" s="861"/>
      <c r="AE190" s="861"/>
      <c r="AF190" s="861"/>
      <c r="AG190" s="861"/>
    </row>
    <row r="191" spans="1:33" ht="17.25" customHeight="1">
      <c r="A191" s="861"/>
      <c r="B191" s="861"/>
      <c r="C191" s="861"/>
      <c r="D191" s="861"/>
      <c r="E191" s="861"/>
      <c r="F191" s="861"/>
      <c r="G191" s="861"/>
      <c r="H191" s="861"/>
      <c r="I191" s="861"/>
      <c r="J191" s="861"/>
      <c r="K191" s="861"/>
      <c r="L191" s="861"/>
      <c r="M191" s="861"/>
      <c r="N191" s="861"/>
      <c r="O191" s="861"/>
      <c r="P191" s="861"/>
      <c r="Q191" s="861"/>
      <c r="R191" s="861"/>
      <c r="S191" s="861"/>
      <c r="T191" s="861"/>
      <c r="U191" s="861"/>
      <c r="V191" s="861"/>
      <c r="W191" s="861"/>
      <c r="X191" s="861"/>
      <c r="Y191" s="861"/>
      <c r="Z191" s="861"/>
      <c r="AA191" s="861"/>
      <c r="AB191" s="861"/>
      <c r="AC191" s="861"/>
      <c r="AD191" s="861"/>
      <c r="AE191" s="861"/>
      <c r="AF191" s="861"/>
      <c r="AG191" s="861"/>
    </row>
    <row r="192" spans="1:33" ht="17.25" customHeight="1">
      <c r="A192" s="861"/>
      <c r="B192" s="861"/>
      <c r="C192" s="861"/>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1"/>
      <c r="AE192" s="861"/>
      <c r="AF192" s="861"/>
      <c r="AG192" s="861"/>
    </row>
    <row r="193" spans="1:33" ht="17.25" customHeight="1">
      <c r="A193" s="861"/>
      <c r="B193" s="861"/>
      <c r="C193" s="861"/>
      <c r="D193" s="861"/>
      <c r="E193" s="861"/>
      <c r="F193" s="861"/>
      <c r="G193" s="861"/>
      <c r="H193" s="861"/>
      <c r="I193" s="861"/>
      <c r="J193" s="861"/>
      <c r="K193" s="861"/>
      <c r="L193" s="861"/>
      <c r="M193" s="861"/>
      <c r="N193" s="861"/>
      <c r="O193" s="861"/>
      <c r="P193" s="861"/>
      <c r="Q193" s="861"/>
      <c r="R193" s="861"/>
      <c r="S193" s="861"/>
      <c r="T193" s="861"/>
      <c r="U193" s="861"/>
      <c r="V193" s="861"/>
      <c r="W193" s="861"/>
      <c r="X193" s="861"/>
      <c r="Y193" s="861"/>
      <c r="Z193" s="861"/>
      <c r="AA193" s="861"/>
      <c r="AB193" s="861"/>
      <c r="AC193" s="861"/>
      <c r="AD193" s="861"/>
      <c r="AE193" s="861"/>
      <c r="AF193" s="861"/>
      <c r="AG193" s="861"/>
    </row>
    <row r="194" spans="1:33" ht="17.25" customHeight="1">
      <c r="A194" s="861"/>
      <c r="B194" s="861"/>
      <c r="C194" s="861"/>
      <c r="D194" s="861"/>
      <c r="E194" s="861"/>
      <c r="F194" s="861"/>
      <c r="G194" s="861"/>
      <c r="H194" s="861"/>
      <c r="I194" s="861"/>
      <c r="J194" s="861"/>
      <c r="K194" s="861"/>
      <c r="L194" s="861"/>
      <c r="M194" s="861"/>
      <c r="N194" s="861"/>
      <c r="O194" s="861"/>
      <c r="P194" s="861"/>
      <c r="Q194" s="861"/>
      <c r="R194" s="861"/>
      <c r="S194" s="861"/>
      <c r="T194" s="861"/>
      <c r="U194" s="861"/>
      <c r="V194" s="861"/>
      <c r="W194" s="861"/>
      <c r="X194" s="861"/>
      <c r="Y194" s="861"/>
      <c r="Z194" s="861"/>
      <c r="AA194" s="861"/>
      <c r="AB194" s="861"/>
      <c r="AC194" s="861"/>
      <c r="AD194" s="861"/>
      <c r="AE194" s="861"/>
      <c r="AF194" s="861"/>
      <c r="AG194" s="861"/>
    </row>
    <row r="195" spans="1:33" ht="17.25" customHeight="1">
      <c r="A195" s="861"/>
      <c r="B195" s="861"/>
      <c r="C195" s="861"/>
      <c r="D195" s="861"/>
      <c r="E195" s="861"/>
      <c r="F195" s="861"/>
      <c r="G195" s="861"/>
      <c r="H195" s="861"/>
      <c r="I195" s="861"/>
      <c r="J195" s="861"/>
      <c r="K195" s="861"/>
      <c r="L195" s="861"/>
      <c r="M195" s="861"/>
      <c r="N195" s="861"/>
      <c r="O195" s="861"/>
      <c r="P195" s="861"/>
      <c r="Q195" s="861"/>
      <c r="R195" s="861"/>
      <c r="S195" s="861"/>
      <c r="T195" s="861"/>
      <c r="U195" s="861"/>
      <c r="V195" s="861"/>
      <c r="W195" s="861"/>
      <c r="X195" s="861"/>
      <c r="Y195" s="861"/>
      <c r="Z195" s="861"/>
      <c r="AA195" s="861"/>
      <c r="AB195" s="861"/>
      <c r="AC195" s="861"/>
      <c r="AD195" s="861"/>
      <c r="AE195" s="861"/>
      <c r="AF195" s="861"/>
      <c r="AG195" s="861"/>
    </row>
    <row r="196" spans="1:33" ht="17.25" customHeight="1">
      <c r="A196" s="861"/>
      <c r="B196" s="861"/>
      <c r="C196" s="861"/>
      <c r="D196" s="861"/>
      <c r="E196" s="861"/>
      <c r="F196" s="861"/>
      <c r="G196" s="861"/>
      <c r="H196" s="861"/>
      <c r="I196" s="861"/>
      <c r="J196" s="861"/>
      <c r="K196" s="861"/>
      <c r="L196" s="861"/>
      <c r="M196" s="861"/>
      <c r="N196" s="861"/>
      <c r="O196" s="861"/>
      <c r="P196" s="861"/>
      <c r="Q196" s="861"/>
      <c r="R196" s="861"/>
      <c r="S196" s="861"/>
      <c r="T196" s="861"/>
      <c r="U196" s="861"/>
      <c r="V196" s="861"/>
      <c r="W196" s="861"/>
      <c r="X196" s="861"/>
      <c r="Y196" s="861"/>
      <c r="Z196" s="861"/>
      <c r="AA196" s="861"/>
      <c r="AB196" s="861"/>
      <c r="AC196" s="861"/>
      <c r="AD196" s="861"/>
      <c r="AE196" s="861"/>
      <c r="AF196" s="861"/>
      <c r="AG196" s="861"/>
    </row>
    <row r="197" spans="1:33" ht="17.25" customHeight="1">
      <c r="A197" s="861"/>
      <c r="B197" s="861"/>
      <c r="C197" s="861"/>
      <c r="D197" s="861"/>
      <c r="E197" s="861"/>
      <c r="F197" s="861"/>
      <c r="G197" s="861"/>
      <c r="H197" s="861"/>
      <c r="I197" s="861"/>
      <c r="J197" s="861"/>
      <c r="K197" s="861"/>
      <c r="L197" s="861"/>
      <c r="M197" s="861"/>
      <c r="N197" s="861"/>
      <c r="O197" s="861"/>
      <c r="P197" s="861"/>
      <c r="Q197" s="861"/>
      <c r="R197" s="861"/>
      <c r="S197" s="861"/>
      <c r="T197" s="861"/>
      <c r="U197" s="861"/>
      <c r="V197" s="861"/>
      <c r="W197" s="861"/>
      <c r="X197" s="861"/>
      <c r="Y197" s="861"/>
      <c r="Z197" s="861"/>
      <c r="AA197" s="861"/>
      <c r="AB197" s="861"/>
      <c r="AC197" s="861"/>
      <c r="AD197" s="861"/>
      <c r="AE197" s="861"/>
      <c r="AF197" s="861"/>
      <c r="AG197" s="861"/>
    </row>
    <row r="198" spans="1:33" ht="17.25" customHeight="1">
      <c r="A198" s="861"/>
      <c r="B198" s="861"/>
      <c r="C198" s="861"/>
      <c r="D198" s="861"/>
      <c r="E198" s="861"/>
      <c r="F198" s="861"/>
      <c r="G198" s="861"/>
      <c r="H198" s="861"/>
      <c r="I198" s="861"/>
      <c r="J198" s="861"/>
      <c r="K198" s="861"/>
      <c r="L198" s="861"/>
      <c r="M198" s="861"/>
      <c r="N198" s="861"/>
      <c r="O198" s="861"/>
      <c r="P198" s="861"/>
      <c r="Q198" s="861"/>
      <c r="R198" s="861"/>
      <c r="S198" s="861"/>
      <c r="T198" s="861"/>
      <c r="U198" s="861"/>
      <c r="V198" s="861"/>
      <c r="W198" s="861"/>
      <c r="X198" s="861"/>
      <c r="Y198" s="861"/>
      <c r="Z198" s="861"/>
      <c r="AA198" s="861"/>
      <c r="AB198" s="861"/>
      <c r="AC198" s="861"/>
      <c r="AD198" s="861"/>
      <c r="AE198" s="861"/>
      <c r="AF198" s="861"/>
      <c r="AG198" s="861"/>
    </row>
    <row r="199" spans="1:33" ht="17.25" customHeight="1">
      <c r="A199" s="861"/>
      <c r="B199" s="861"/>
      <c r="C199" s="861"/>
      <c r="D199" s="861"/>
      <c r="E199" s="861"/>
      <c r="F199" s="861"/>
      <c r="G199" s="861"/>
      <c r="H199" s="861"/>
      <c r="I199" s="861"/>
      <c r="J199" s="861"/>
      <c r="K199" s="861"/>
      <c r="L199" s="861"/>
      <c r="M199" s="861"/>
      <c r="N199" s="861"/>
      <c r="O199" s="861"/>
      <c r="P199" s="861"/>
      <c r="Q199" s="861"/>
      <c r="R199" s="861"/>
      <c r="S199" s="861"/>
      <c r="T199" s="861"/>
      <c r="U199" s="861"/>
      <c r="V199" s="861"/>
      <c r="W199" s="861"/>
      <c r="X199" s="861"/>
      <c r="Y199" s="861"/>
      <c r="Z199" s="861"/>
      <c r="AA199" s="861"/>
      <c r="AB199" s="861"/>
      <c r="AC199" s="861"/>
      <c r="AD199" s="861"/>
      <c r="AE199" s="861"/>
      <c r="AF199" s="861"/>
      <c r="AG199" s="861"/>
    </row>
    <row r="200" spans="1:33" ht="17.25" customHeight="1">
      <c r="A200" s="861"/>
      <c r="B200" s="861"/>
      <c r="C200" s="861"/>
      <c r="D200" s="861"/>
      <c r="E200" s="861"/>
      <c r="F200" s="861"/>
      <c r="G200" s="861"/>
      <c r="H200" s="861"/>
      <c r="I200" s="861"/>
      <c r="J200" s="861"/>
      <c r="K200" s="861"/>
      <c r="L200" s="861"/>
      <c r="M200" s="861"/>
      <c r="N200" s="861"/>
      <c r="O200" s="861"/>
      <c r="P200" s="861"/>
      <c r="Q200" s="861"/>
      <c r="R200" s="861"/>
      <c r="S200" s="861"/>
      <c r="T200" s="861"/>
      <c r="U200" s="861"/>
      <c r="V200" s="861"/>
      <c r="W200" s="861"/>
      <c r="X200" s="861"/>
      <c r="Y200" s="861"/>
      <c r="Z200" s="861"/>
      <c r="AA200" s="861"/>
      <c r="AB200" s="861"/>
      <c r="AC200" s="861"/>
      <c r="AD200" s="861"/>
      <c r="AE200" s="861"/>
      <c r="AF200" s="861"/>
      <c r="AG200" s="861"/>
    </row>
    <row r="201" spans="1:33" ht="17.25" customHeight="1">
      <c r="A201" s="861"/>
      <c r="B201" s="861"/>
      <c r="C201" s="861"/>
      <c r="D201" s="861"/>
      <c r="E201" s="861"/>
      <c r="F201" s="861"/>
      <c r="G201" s="861"/>
      <c r="H201" s="861"/>
      <c r="I201" s="861"/>
      <c r="J201" s="861"/>
      <c r="K201" s="861"/>
      <c r="L201" s="861"/>
      <c r="M201" s="861"/>
      <c r="N201" s="861"/>
      <c r="O201" s="861"/>
      <c r="P201" s="861"/>
      <c r="Q201" s="861"/>
      <c r="R201" s="861"/>
      <c r="S201" s="861"/>
      <c r="T201" s="861"/>
      <c r="U201" s="861"/>
      <c r="V201" s="861"/>
      <c r="W201" s="861"/>
      <c r="X201" s="861"/>
      <c r="Y201" s="861"/>
      <c r="Z201" s="861"/>
      <c r="AA201" s="861"/>
      <c r="AB201" s="861"/>
      <c r="AC201" s="861"/>
      <c r="AD201" s="861"/>
      <c r="AE201" s="861"/>
      <c r="AF201" s="861"/>
      <c r="AG201" s="861"/>
    </row>
    <row r="202" spans="1:33" ht="17.25" customHeight="1">
      <c r="A202" s="861"/>
      <c r="B202" s="861"/>
      <c r="C202" s="861"/>
      <c r="D202" s="861"/>
      <c r="E202" s="861"/>
      <c r="F202" s="861"/>
      <c r="G202" s="861"/>
      <c r="H202" s="861"/>
      <c r="I202" s="861"/>
      <c r="J202" s="861"/>
      <c r="K202" s="861"/>
      <c r="L202" s="861"/>
      <c r="M202" s="861"/>
      <c r="N202" s="861"/>
      <c r="O202" s="861"/>
      <c r="P202" s="861"/>
      <c r="Q202" s="861"/>
      <c r="R202" s="861"/>
      <c r="S202" s="861"/>
      <c r="T202" s="861"/>
      <c r="U202" s="861"/>
      <c r="V202" s="861"/>
      <c r="W202" s="861"/>
      <c r="X202" s="861"/>
      <c r="Y202" s="861"/>
      <c r="Z202" s="861"/>
      <c r="AA202" s="861"/>
      <c r="AB202" s="861"/>
      <c r="AC202" s="861"/>
      <c r="AD202" s="861"/>
      <c r="AE202" s="861"/>
      <c r="AF202" s="861"/>
      <c r="AG202" s="861"/>
    </row>
    <row r="203" spans="1:33" ht="17.25" customHeight="1">
      <c r="A203" s="861"/>
      <c r="B203" s="861"/>
      <c r="C203" s="861"/>
      <c r="D203" s="861"/>
      <c r="E203" s="861"/>
      <c r="F203" s="861"/>
      <c r="G203" s="861"/>
      <c r="H203" s="861"/>
      <c r="I203" s="861"/>
      <c r="J203" s="861"/>
      <c r="K203" s="861"/>
      <c r="L203" s="861"/>
      <c r="M203" s="861"/>
      <c r="N203" s="861"/>
      <c r="O203" s="861"/>
      <c r="P203" s="861"/>
      <c r="Q203" s="861"/>
      <c r="R203" s="861"/>
      <c r="S203" s="861"/>
      <c r="T203" s="861"/>
      <c r="U203" s="861"/>
      <c r="V203" s="861"/>
      <c r="W203" s="861"/>
      <c r="X203" s="861"/>
      <c r="Y203" s="861"/>
      <c r="Z203" s="861"/>
      <c r="AA203" s="861"/>
      <c r="AB203" s="861"/>
      <c r="AC203" s="861"/>
      <c r="AD203" s="861"/>
      <c r="AE203" s="861"/>
      <c r="AF203" s="861"/>
      <c r="AG203" s="861"/>
    </row>
    <row r="204" spans="1:33" ht="17.25" customHeight="1">
      <c r="A204" s="861"/>
      <c r="B204" s="861"/>
      <c r="C204" s="861"/>
      <c r="D204" s="861"/>
      <c r="E204" s="861"/>
      <c r="F204" s="861"/>
      <c r="G204" s="861"/>
      <c r="H204" s="861"/>
      <c r="I204" s="861"/>
      <c r="J204" s="861"/>
      <c r="K204" s="861"/>
      <c r="L204" s="861"/>
      <c r="M204" s="861"/>
      <c r="N204" s="861"/>
      <c r="O204" s="861"/>
      <c r="P204" s="861"/>
      <c r="Q204" s="861"/>
      <c r="R204" s="861"/>
      <c r="S204" s="861"/>
      <c r="T204" s="861"/>
      <c r="U204" s="861"/>
      <c r="V204" s="861"/>
      <c r="W204" s="861"/>
      <c r="X204" s="861"/>
      <c r="Y204" s="861"/>
      <c r="Z204" s="861"/>
      <c r="AA204" s="861"/>
      <c r="AB204" s="861"/>
      <c r="AC204" s="861"/>
      <c r="AD204" s="861"/>
      <c r="AE204" s="861"/>
      <c r="AF204" s="861"/>
      <c r="AG204" s="861"/>
    </row>
    <row r="205" spans="1:33" ht="17.25" customHeight="1">
      <c r="A205" s="861"/>
      <c r="B205" s="861"/>
      <c r="C205" s="861"/>
      <c r="D205" s="861"/>
      <c r="E205" s="861"/>
      <c r="F205" s="861"/>
      <c r="G205" s="861"/>
      <c r="H205" s="861"/>
      <c r="I205" s="861"/>
      <c r="J205" s="861"/>
      <c r="K205" s="861"/>
      <c r="L205" s="861"/>
      <c r="M205" s="861"/>
      <c r="N205" s="861"/>
      <c r="O205" s="861"/>
      <c r="P205" s="861"/>
      <c r="Q205" s="861"/>
      <c r="R205" s="861"/>
      <c r="S205" s="861"/>
      <c r="T205" s="861"/>
      <c r="U205" s="861"/>
      <c r="V205" s="861"/>
      <c r="W205" s="861"/>
      <c r="X205" s="861"/>
      <c r="Y205" s="861"/>
      <c r="Z205" s="861"/>
      <c r="AA205" s="861"/>
      <c r="AB205" s="861"/>
      <c r="AC205" s="861"/>
      <c r="AD205" s="861"/>
      <c r="AE205" s="861"/>
      <c r="AF205" s="861"/>
      <c r="AG205" s="861"/>
    </row>
    <row r="206" spans="1:33" ht="17.25" customHeight="1">
      <c r="A206" s="861"/>
      <c r="B206" s="861"/>
      <c r="C206" s="861"/>
      <c r="D206" s="861"/>
      <c r="E206" s="861"/>
      <c r="F206" s="861"/>
      <c r="G206" s="861"/>
      <c r="H206" s="861"/>
      <c r="I206" s="861"/>
      <c r="J206" s="861"/>
      <c r="K206" s="861"/>
      <c r="L206" s="861"/>
      <c r="M206" s="861"/>
      <c r="N206" s="861"/>
      <c r="O206" s="861"/>
      <c r="P206" s="861"/>
      <c r="Q206" s="861"/>
      <c r="R206" s="861"/>
      <c r="S206" s="861"/>
      <c r="T206" s="861"/>
      <c r="U206" s="861"/>
      <c r="V206" s="861"/>
      <c r="W206" s="861"/>
      <c r="X206" s="861"/>
      <c r="Y206" s="861"/>
      <c r="Z206" s="861"/>
      <c r="AA206" s="861"/>
      <c r="AB206" s="861"/>
      <c r="AC206" s="861"/>
      <c r="AD206" s="861"/>
      <c r="AE206" s="861"/>
      <c r="AF206" s="861"/>
      <c r="AG206" s="861"/>
    </row>
    <row r="207" spans="1:33" ht="17.25" customHeight="1">
      <c r="A207" s="861"/>
      <c r="B207" s="861"/>
      <c r="C207" s="861"/>
      <c r="D207" s="861"/>
      <c r="E207" s="861"/>
      <c r="F207" s="861"/>
      <c r="G207" s="861"/>
      <c r="H207" s="861"/>
      <c r="I207" s="861"/>
      <c r="J207" s="861"/>
      <c r="K207" s="861"/>
      <c r="L207" s="861"/>
      <c r="M207" s="861"/>
      <c r="N207" s="861"/>
      <c r="O207" s="861"/>
      <c r="P207" s="861"/>
      <c r="Q207" s="861"/>
      <c r="R207" s="861"/>
      <c r="S207" s="861"/>
      <c r="T207" s="861"/>
      <c r="U207" s="861"/>
      <c r="V207" s="861"/>
      <c r="W207" s="861"/>
      <c r="X207" s="861"/>
      <c r="Y207" s="861"/>
      <c r="Z207" s="861"/>
      <c r="AA207" s="861"/>
      <c r="AB207" s="861"/>
      <c r="AC207" s="861"/>
      <c r="AD207" s="861"/>
      <c r="AE207" s="861"/>
      <c r="AF207" s="861"/>
      <c r="AG207" s="861"/>
    </row>
    <row r="208" spans="1:33" ht="17.25" customHeight="1">
      <c r="A208" s="861"/>
      <c r="B208" s="861"/>
      <c r="C208" s="861"/>
      <c r="D208" s="861"/>
      <c r="E208" s="861"/>
      <c r="F208" s="861"/>
      <c r="G208" s="861"/>
      <c r="H208" s="861"/>
      <c r="I208" s="861"/>
      <c r="J208" s="861"/>
      <c r="K208" s="861"/>
      <c r="L208" s="861"/>
      <c r="M208" s="861"/>
      <c r="N208" s="861"/>
      <c r="O208" s="861"/>
      <c r="P208" s="861"/>
      <c r="Q208" s="861"/>
      <c r="R208" s="861"/>
      <c r="S208" s="861"/>
      <c r="T208" s="861"/>
      <c r="U208" s="861"/>
      <c r="V208" s="861"/>
      <c r="W208" s="861"/>
      <c r="X208" s="861"/>
      <c r="Y208" s="861"/>
      <c r="Z208" s="861"/>
      <c r="AA208" s="861"/>
      <c r="AB208" s="861"/>
      <c r="AC208" s="861"/>
      <c r="AD208" s="861"/>
      <c r="AE208" s="861"/>
      <c r="AF208" s="861"/>
      <c r="AG208" s="861"/>
    </row>
    <row r="209" spans="1:33" ht="17.25" customHeight="1">
      <c r="A209" s="861"/>
      <c r="B209" s="861"/>
      <c r="C209" s="861"/>
      <c r="D209" s="861"/>
      <c r="E209" s="861"/>
      <c r="F209" s="861"/>
      <c r="G209" s="861"/>
      <c r="H209" s="861"/>
      <c r="I209" s="861"/>
      <c r="J209" s="861"/>
      <c r="K209" s="861"/>
      <c r="L209" s="861"/>
      <c r="M209" s="861"/>
      <c r="N209" s="861"/>
      <c r="O209" s="861"/>
      <c r="P209" s="861"/>
      <c r="Q209" s="861"/>
      <c r="R209" s="861"/>
      <c r="S209" s="861"/>
      <c r="T209" s="861"/>
      <c r="U209" s="861"/>
      <c r="V209" s="861"/>
      <c r="W209" s="861"/>
      <c r="X209" s="861"/>
      <c r="Y209" s="861"/>
      <c r="Z209" s="861"/>
      <c r="AA209" s="861"/>
      <c r="AB209" s="861"/>
      <c r="AC209" s="861"/>
      <c r="AD209" s="861"/>
      <c r="AE209" s="861"/>
      <c r="AF209" s="861"/>
      <c r="AG209" s="861"/>
    </row>
    <row r="210" spans="1:33" ht="17.25" customHeight="1">
      <c r="A210" s="861"/>
      <c r="B210" s="861"/>
      <c r="C210" s="861"/>
      <c r="D210" s="861"/>
      <c r="E210" s="861"/>
      <c r="F210" s="861"/>
      <c r="G210" s="861"/>
      <c r="H210" s="861"/>
      <c r="I210" s="861"/>
      <c r="J210" s="861"/>
      <c r="K210" s="861"/>
      <c r="L210" s="861"/>
      <c r="M210" s="861"/>
      <c r="N210" s="861"/>
      <c r="O210" s="861"/>
      <c r="P210" s="861"/>
      <c r="Q210" s="861"/>
      <c r="R210" s="861"/>
      <c r="S210" s="861"/>
      <c r="T210" s="861"/>
      <c r="U210" s="861"/>
      <c r="V210" s="861"/>
      <c r="W210" s="861"/>
      <c r="X210" s="861"/>
      <c r="Y210" s="861"/>
      <c r="Z210" s="861"/>
      <c r="AA210" s="861"/>
      <c r="AB210" s="861"/>
      <c r="AC210" s="861"/>
      <c r="AD210" s="861"/>
      <c r="AE210" s="861"/>
      <c r="AF210" s="861"/>
      <c r="AG210" s="861"/>
    </row>
    <row r="211" spans="1:33" ht="17.25" customHeight="1">
      <c r="A211" s="861"/>
      <c r="B211" s="861"/>
      <c r="C211" s="861"/>
      <c r="D211" s="861"/>
      <c r="E211" s="861"/>
      <c r="F211" s="861"/>
      <c r="G211" s="861"/>
      <c r="H211" s="861"/>
      <c r="I211" s="861"/>
      <c r="J211" s="861"/>
      <c r="K211" s="861"/>
      <c r="L211" s="861"/>
      <c r="M211" s="861"/>
      <c r="N211" s="861"/>
      <c r="O211" s="861"/>
      <c r="P211" s="861"/>
      <c r="Q211" s="861"/>
      <c r="R211" s="861"/>
      <c r="S211" s="861"/>
      <c r="T211" s="861"/>
      <c r="U211" s="861"/>
      <c r="V211" s="861"/>
      <c r="W211" s="861"/>
      <c r="X211" s="861"/>
      <c r="Y211" s="861"/>
      <c r="Z211" s="861"/>
      <c r="AA211" s="861"/>
      <c r="AB211" s="861"/>
      <c r="AC211" s="861"/>
      <c r="AD211" s="861"/>
      <c r="AE211" s="861"/>
      <c r="AF211" s="861"/>
      <c r="AG211" s="861"/>
    </row>
    <row r="212" spans="1:33" ht="17.25" customHeight="1">
      <c r="A212" s="861"/>
      <c r="B212" s="861"/>
      <c r="C212" s="861"/>
      <c r="D212" s="861"/>
      <c r="E212" s="861"/>
      <c r="F212" s="861"/>
      <c r="G212" s="861"/>
      <c r="H212" s="861"/>
      <c r="I212" s="861"/>
      <c r="J212" s="861"/>
      <c r="K212" s="861"/>
      <c r="L212" s="861"/>
      <c r="M212" s="861"/>
      <c r="N212" s="861"/>
      <c r="O212" s="861"/>
      <c r="P212" s="861"/>
      <c r="Q212" s="861"/>
      <c r="R212" s="861"/>
      <c r="S212" s="861"/>
      <c r="T212" s="861"/>
      <c r="U212" s="861"/>
      <c r="V212" s="861"/>
      <c r="W212" s="861"/>
      <c r="X212" s="861"/>
      <c r="Y212" s="861"/>
      <c r="Z212" s="861"/>
      <c r="AA212" s="861"/>
      <c r="AB212" s="861"/>
      <c r="AC212" s="861"/>
      <c r="AD212" s="861"/>
      <c r="AE212" s="861"/>
      <c r="AF212" s="861"/>
      <c r="AG212" s="861"/>
    </row>
    <row r="213" spans="1:33" ht="17.25" customHeight="1">
      <c r="A213" s="861"/>
      <c r="B213" s="861"/>
      <c r="C213" s="861"/>
      <c r="D213" s="861"/>
      <c r="E213" s="861"/>
      <c r="F213" s="861"/>
      <c r="G213" s="861"/>
      <c r="H213" s="861"/>
      <c r="I213" s="861"/>
      <c r="J213" s="861"/>
      <c r="K213" s="861"/>
      <c r="L213" s="861"/>
      <c r="M213" s="861"/>
      <c r="N213" s="861"/>
      <c r="O213" s="861"/>
      <c r="P213" s="861"/>
      <c r="Q213" s="861"/>
      <c r="R213" s="861"/>
      <c r="S213" s="861"/>
      <c r="T213" s="861"/>
      <c r="U213" s="861"/>
      <c r="V213" s="861"/>
      <c r="W213" s="861"/>
      <c r="X213" s="861"/>
      <c r="Y213" s="861"/>
      <c r="Z213" s="861"/>
      <c r="AA213" s="861"/>
      <c r="AB213" s="861"/>
      <c r="AC213" s="861"/>
      <c r="AD213" s="861"/>
      <c r="AE213" s="861"/>
      <c r="AF213" s="861"/>
      <c r="AG213" s="861"/>
    </row>
    <row r="214" spans="1:33" ht="17.25" customHeight="1">
      <c r="A214" s="861"/>
      <c r="B214" s="861"/>
      <c r="C214" s="861"/>
      <c r="D214" s="861"/>
      <c r="E214" s="861"/>
      <c r="F214" s="861"/>
      <c r="G214" s="861"/>
      <c r="H214" s="861"/>
      <c r="I214" s="861"/>
      <c r="J214" s="861"/>
      <c r="K214" s="861"/>
      <c r="L214" s="861"/>
      <c r="M214" s="861"/>
      <c r="N214" s="861"/>
      <c r="O214" s="861"/>
      <c r="P214" s="861"/>
      <c r="Q214" s="861"/>
      <c r="R214" s="861"/>
      <c r="S214" s="861"/>
      <c r="T214" s="861"/>
      <c r="U214" s="861"/>
      <c r="V214" s="861"/>
      <c r="W214" s="861"/>
      <c r="X214" s="861"/>
      <c r="Y214" s="861"/>
      <c r="Z214" s="861"/>
      <c r="AA214" s="861"/>
      <c r="AB214" s="861"/>
      <c r="AC214" s="861"/>
      <c r="AD214" s="861"/>
      <c r="AE214" s="861"/>
      <c r="AF214" s="861"/>
      <c r="AG214" s="861"/>
    </row>
    <row r="215" spans="1:33" ht="17.25" customHeight="1">
      <c r="A215" s="861"/>
      <c r="B215" s="861"/>
      <c r="C215" s="861"/>
      <c r="D215" s="861"/>
      <c r="E215" s="861"/>
      <c r="F215" s="861"/>
      <c r="G215" s="861"/>
      <c r="H215" s="861"/>
      <c r="I215" s="861"/>
      <c r="J215" s="861"/>
      <c r="K215" s="861"/>
      <c r="L215" s="861"/>
      <c r="M215" s="861"/>
      <c r="N215" s="861"/>
      <c r="O215" s="861"/>
      <c r="P215" s="861"/>
      <c r="Q215" s="861"/>
      <c r="R215" s="861"/>
      <c r="S215" s="861"/>
      <c r="T215" s="861"/>
      <c r="U215" s="861"/>
      <c r="V215" s="861"/>
      <c r="W215" s="861"/>
      <c r="X215" s="861"/>
      <c r="Y215" s="861"/>
      <c r="Z215" s="861"/>
      <c r="AA215" s="861"/>
      <c r="AB215" s="861"/>
      <c r="AC215" s="861"/>
      <c r="AD215" s="861"/>
      <c r="AE215" s="861"/>
      <c r="AF215" s="861"/>
      <c r="AG215" s="861"/>
    </row>
    <row r="216" spans="1:33" ht="17.25" customHeight="1">
      <c r="A216" s="861"/>
      <c r="B216" s="861"/>
      <c r="C216" s="861"/>
      <c r="D216" s="861"/>
      <c r="E216" s="861"/>
      <c r="F216" s="861"/>
      <c r="G216" s="861"/>
      <c r="H216" s="861"/>
      <c r="I216" s="861"/>
      <c r="J216" s="861"/>
      <c r="K216" s="861"/>
      <c r="L216" s="861"/>
      <c r="M216" s="861"/>
      <c r="N216" s="861"/>
      <c r="O216" s="861"/>
      <c r="P216" s="861"/>
      <c r="Q216" s="861"/>
      <c r="R216" s="861"/>
      <c r="S216" s="861"/>
      <c r="T216" s="861"/>
      <c r="U216" s="861"/>
      <c r="V216" s="861"/>
      <c r="W216" s="861"/>
      <c r="X216" s="861"/>
      <c r="Y216" s="861"/>
      <c r="Z216" s="861"/>
      <c r="AA216" s="861"/>
      <c r="AB216" s="861"/>
      <c r="AC216" s="861"/>
      <c r="AD216" s="861"/>
      <c r="AE216" s="861"/>
      <c r="AF216" s="861"/>
      <c r="AG216" s="861"/>
    </row>
    <row r="217" spans="1:33" ht="17.25" customHeight="1">
      <c r="A217" s="861"/>
      <c r="B217" s="861"/>
      <c r="C217" s="861"/>
      <c r="D217" s="861"/>
      <c r="E217" s="861"/>
      <c r="F217" s="861"/>
      <c r="G217" s="861"/>
      <c r="H217" s="861"/>
      <c r="I217" s="861"/>
      <c r="J217" s="861"/>
      <c r="K217" s="861"/>
      <c r="L217" s="861"/>
      <c r="M217" s="861"/>
      <c r="N217" s="861"/>
      <c r="O217" s="861"/>
      <c r="P217" s="861"/>
      <c r="Q217" s="861"/>
      <c r="R217" s="861"/>
      <c r="S217" s="861"/>
      <c r="T217" s="861"/>
      <c r="U217" s="861"/>
      <c r="V217" s="861"/>
      <c r="W217" s="861"/>
      <c r="X217" s="861"/>
      <c r="Y217" s="861"/>
      <c r="Z217" s="861"/>
      <c r="AA217" s="861"/>
      <c r="AB217" s="861"/>
      <c r="AC217" s="861"/>
      <c r="AD217" s="861"/>
      <c r="AE217" s="861"/>
      <c r="AF217" s="861"/>
      <c r="AG217" s="861"/>
    </row>
    <row r="218" spans="1:33" ht="17.25" customHeight="1">
      <c r="A218" s="861"/>
      <c r="B218" s="861"/>
      <c r="C218" s="861"/>
      <c r="D218" s="861"/>
      <c r="E218" s="861"/>
      <c r="F218" s="861"/>
      <c r="G218" s="861"/>
      <c r="H218" s="861"/>
      <c r="I218" s="861"/>
      <c r="J218" s="861"/>
      <c r="K218" s="861"/>
      <c r="L218" s="861"/>
      <c r="M218" s="861"/>
      <c r="N218" s="861"/>
      <c r="O218" s="861"/>
      <c r="P218" s="861"/>
      <c r="Q218" s="861"/>
      <c r="R218" s="861"/>
      <c r="S218" s="861"/>
      <c r="T218" s="861"/>
      <c r="U218" s="861"/>
      <c r="V218" s="861"/>
      <c r="W218" s="861"/>
      <c r="X218" s="861"/>
      <c r="Y218" s="861"/>
      <c r="Z218" s="861"/>
      <c r="AA218" s="861"/>
      <c r="AB218" s="861"/>
      <c r="AC218" s="861"/>
      <c r="AD218" s="861"/>
      <c r="AE218" s="861"/>
      <c r="AF218" s="861"/>
      <c r="AG218" s="861"/>
    </row>
    <row r="219" spans="1:33" ht="17.25" customHeight="1">
      <c r="A219" s="861"/>
      <c r="B219" s="861"/>
      <c r="C219" s="861"/>
      <c r="D219" s="861"/>
      <c r="E219" s="861"/>
      <c r="F219" s="861"/>
      <c r="G219" s="861"/>
      <c r="H219" s="861"/>
      <c r="I219" s="861"/>
      <c r="J219" s="861"/>
      <c r="K219" s="861"/>
      <c r="L219" s="861"/>
      <c r="M219" s="861"/>
      <c r="N219" s="861"/>
      <c r="O219" s="861"/>
      <c r="P219" s="861"/>
      <c r="Q219" s="861"/>
      <c r="R219" s="861"/>
      <c r="S219" s="861"/>
      <c r="T219" s="861"/>
      <c r="U219" s="861"/>
      <c r="V219" s="861"/>
      <c r="W219" s="861"/>
      <c r="X219" s="861"/>
      <c r="Y219" s="861"/>
      <c r="Z219" s="861"/>
      <c r="AA219" s="861"/>
      <c r="AB219" s="861"/>
      <c r="AC219" s="861"/>
      <c r="AD219" s="861"/>
      <c r="AE219" s="861"/>
      <c r="AF219" s="861"/>
      <c r="AG219" s="861"/>
    </row>
    <row r="220" spans="1:33" ht="17.25" customHeight="1">
      <c r="A220" s="861"/>
      <c r="B220" s="861"/>
      <c r="C220" s="861"/>
      <c r="D220" s="861"/>
      <c r="E220" s="861"/>
      <c r="F220" s="861"/>
      <c r="G220" s="861"/>
      <c r="H220" s="861"/>
      <c r="I220" s="861"/>
      <c r="J220" s="861"/>
      <c r="K220" s="861"/>
      <c r="L220" s="861"/>
      <c r="M220" s="861"/>
      <c r="N220" s="861"/>
      <c r="O220" s="861"/>
      <c r="P220" s="861"/>
      <c r="Q220" s="861"/>
      <c r="R220" s="861"/>
      <c r="S220" s="861"/>
      <c r="T220" s="861"/>
      <c r="U220" s="861"/>
      <c r="V220" s="861"/>
      <c r="W220" s="861"/>
      <c r="X220" s="861"/>
      <c r="Y220" s="861"/>
      <c r="Z220" s="861"/>
      <c r="AA220" s="861"/>
      <c r="AB220" s="861"/>
      <c r="AC220" s="861"/>
      <c r="AD220" s="861"/>
      <c r="AE220" s="861"/>
      <c r="AF220" s="861"/>
      <c r="AG220" s="861"/>
    </row>
    <row r="221" spans="1:33" ht="17.25" customHeight="1">
      <c r="A221" s="861"/>
      <c r="B221" s="861"/>
      <c r="C221" s="861"/>
      <c r="D221" s="861"/>
      <c r="E221" s="861"/>
      <c r="F221" s="861"/>
      <c r="G221" s="861"/>
      <c r="H221" s="861"/>
      <c r="I221" s="861"/>
      <c r="J221" s="861"/>
      <c r="K221" s="861"/>
      <c r="L221" s="861"/>
      <c r="M221" s="861"/>
      <c r="N221" s="861"/>
      <c r="O221" s="861"/>
      <c r="P221" s="861"/>
      <c r="Q221" s="861"/>
      <c r="R221" s="861"/>
      <c r="S221" s="861"/>
      <c r="T221" s="861"/>
      <c r="U221" s="861"/>
      <c r="V221" s="861"/>
      <c r="W221" s="861"/>
      <c r="X221" s="861"/>
      <c r="Y221" s="861"/>
      <c r="Z221" s="861"/>
      <c r="AA221" s="861"/>
      <c r="AB221" s="861"/>
      <c r="AC221" s="861"/>
      <c r="AD221" s="861"/>
      <c r="AE221" s="861"/>
      <c r="AF221" s="861"/>
      <c r="AG221" s="861"/>
    </row>
    <row r="222" spans="1:33" ht="17.25" customHeight="1">
      <c r="A222" s="861"/>
      <c r="B222" s="861"/>
      <c r="C222" s="861"/>
      <c r="D222" s="861"/>
      <c r="E222" s="861"/>
      <c r="F222" s="861"/>
      <c r="G222" s="861"/>
      <c r="H222" s="861"/>
      <c r="I222" s="861"/>
      <c r="J222" s="861"/>
      <c r="K222" s="861"/>
      <c r="L222" s="861"/>
      <c r="M222" s="861"/>
      <c r="N222" s="861"/>
      <c r="O222" s="861"/>
      <c r="P222" s="861"/>
      <c r="Q222" s="861"/>
      <c r="R222" s="861"/>
      <c r="S222" s="861"/>
      <c r="T222" s="861"/>
      <c r="U222" s="861"/>
      <c r="V222" s="861"/>
      <c r="W222" s="861"/>
      <c r="X222" s="861"/>
      <c r="Y222" s="861"/>
      <c r="Z222" s="861"/>
      <c r="AA222" s="861"/>
      <c r="AB222" s="861"/>
      <c r="AC222" s="861"/>
      <c r="AD222" s="861"/>
      <c r="AE222" s="861"/>
      <c r="AF222" s="861"/>
      <c r="AG222" s="861"/>
    </row>
    <row r="223" spans="1:33" ht="17.25" customHeight="1">
      <c r="A223" s="861"/>
      <c r="B223" s="861"/>
      <c r="C223" s="861"/>
      <c r="D223" s="861"/>
      <c r="E223" s="861"/>
      <c r="F223" s="861"/>
      <c r="G223" s="861"/>
      <c r="H223" s="861"/>
      <c r="I223" s="861"/>
      <c r="J223" s="861"/>
      <c r="K223" s="861"/>
      <c r="L223" s="861"/>
      <c r="M223" s="861"/>
      <c r="N223" s="861"/>
      <c r="O223" s="861"/>
      <c r="P223" s="861"/>
      <c r="Q223" s="861"/>
      <c r="R223" s="861"/>
      <c r="S223" s="861"/>
      <c r="T223" s="861"/>
      <c r="U223" s="861"/>
      <c r="V223" s="861"/>
      <c r="W223" s="861"/>
      <c r="X223" s="861"/>
      <c r="Y223" s="861"/>
      <c r="Z223" s="861"/>
      <c r="AA223" s="861"/>
      <c r="AB223" s="861"/>
      <c r="AC223" s="861"/>
      <c r="AD223" s="861"/>
      <c r="AE223" s="861"/>
      <c r="AF223" s="861"/>
      <c r="AG223" s="861"/>
    </row>
    <row r="224" spans="1:33" ht="17.25" customHeight="1">
      <c r="A224" s="861"/>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1"/>
      <c r="AA224" s="861"/>
      <c r="AB224" s="861"/>
      <c r="AC224" s="861"/>
      <c r="AD224" s="861"/>
      <c r="AE224" s="861"/>
      <c r="AF224" s="861"/>
      <c r="AG224" s="861"/>
    </row>
    <row r="225" spans="1:33" ht="17.25" customHeight="1">
      <c r="A225" s="861"/>
      <c r="B225" s="861"/>
      <c r="C225" s="861"/>
      <c r="D225" s="861"/>
      <c r="E225" s="861"/>
      <c r="F225" s="861"/>
      <c r="G225" s="861"/>
      <c r="H225" s="861"/>
      <c r="I225" s="861"/>
      <c r="J225" s="861"/>
      <c r="K225" s="861"/>
      <c r="L225" s="861"/>
      <c r="M225" s="861"/>
      <c r="N225" s="861"/>
      <c r="O225" s="861"/>
      <c r="P225" s="861"/>
      <c r="Q225" s="861"/>
      <c r="R225" s="861"/>
      <c r="S225" s="861"/>
      <c r="T225" s="861"/>
      <c r="U225" s="861"/>
      <c r="V225" s="861"/>
      <c r="W225" s="861"/>
      <c r="X225" s="861"/>
      <c r="Y225" s="861"/>
      <c r="Z225" s="861"/>
      <c r="AA225" s="861"/>
      <c r="AB225" s="861"/>
      <c r="AC225" s="861"/>
      <c r="AD225" s="861"/>
      <c r="AE225" s="861"/>
      <c r="AF225" s="861"/>
      <c r="AG225" s="861"/>
    </row>
    <row r="226" spans="1:33" ht="17.25" customHeight="1">
      <c r="A226" s="861"/>
      <c r="B226" s="861"/>
      <c r="C226" s="861"/>
      <c r="D226" s="861"/>
      <c r="E226" s="861"/>
      <c r="F226" s="861"/>
      <c r="G226" s="861"/>
      <c r="H226" s="861"/>
      <c r="I226" s="861"/>
      <c r="J226" s="861"/>
      <c r="K226" s="861"/>
      <c r="L226" s="861"/>
      <c r="M226" s="861"/>
      <c r="N226" s="861"/>
      <c r="O226" s="861"/>
      <c r="P226" s="861"/>
      <c r="Q226" s="861"/>
      <c r="R226" s="861"/>
      <c r="S226" s="861"/>
      <c r="T226" s="861"/>
      <c r="U226" s="861"/>
      <c r="V226" s="861"/>
      <c r="W226" s="861"/>
      <c r="X226" s="861"/>
      <c r="Y226" s="861"/>
      <c r="Z226" s="861"/>
      <c r="AA226" s="861"/>
      <c r="AB226" s="861"/>
      <c r="AC226" s="861"/>
      <c r="AD226" s="861"/>
      <c r="AE226" s="861"/>
      <c r="AF226" s="861"/>
      <c r="AG226" s="861"/>
    </row>
    <row r="227" spans="1:33" ht="17.25" customHeight="1">
      <c r="A227" s="861"/>
      <c r="B227" s="861"/>
      <c r="C227" s="861"/>
      <c r="D227" s="861"/>
      <c r="E227" s="861"/>
      <c r="F227" s="861"/>
      <c r="G227" s="861"/>
      <c r="H227" s="861"/>
      <c r="I227" s="861"/>
      <c r="J227" s="861"/>
      <c r="K227" s="861"/>
      <c r="L227" s="861"/>
      <c r="M227" s="861"/>
      <c r="N227" s="861"/>
      <c r="O227" s="861"/>
      <c r="P227" s="861"/>
      <c r="Q227" s="861"/>
      <c r="R227" s="861"/>
      <c r="S227" s="861"/>
      <c r="T227" s="861"/>
      <c r="U227" s="861"/>
      <c r="V227" s="861"/>
      <c r="W227" s="861"/>
      <c r="X227" s="861"/>
      <c r="Y227" s="861"/>
      <c r="Z227" s="861"/>
      <c r="AA227" s="861"/>
      <c r="AB227" s="861"/>
      <c r="AC227" s="861"/>
      <c r="AD227" s="861"/>
      <c r="AE227" s="861"/>
      <c r="AF227" s="861"/>
      <c r="AG227" s="861"/>
    </row>
    <row r="228" spans="1:33" ht="17.25" customHeight="1">
      <c r="A228" s="861"/>
      <c r="B228" s="861"/>
      <c r="C228" s="861"/>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c r="AA228" s="861"/>
      <c r="AB228" s="861"/>
      <c r="AC228" s="861"/>
      <c r="AD228" s="861"/>
      <c r="AE228" s="861"/>
      <c r="AF228" s="861"/>
      <c r="AG228" s="861"/>
    </row>
    <row r="229" spans="1:33" ht="17.25" customHeight="1">
      <c r="A229" s="861"/>
      <c r="B229" s="861"/>
      <c r="C229" s="861"/>
      <c r="D229" s="861"/>
      <c r="E229" s="861"/>
      <c r="F229" s="861"/>
      <c r="G229" s="861"/>
      <c r="H229" s="861"/>
      <c r="I229" s="861"/>
      <c r="J229" s="861"/>
      <c r="K229" s="861"/>
      <c r="L229" s="861"/>
      <c r="M229" s="861"/>
      <c r="N229" s="861"/>
      <c r="O229" s="861"/>
      <c r="P229" s="861"/>
      <c r="Q229" s="861"/>
      <c r="R229" s="861"/>
      <c r="S229" s="861"/>
      <c r="T229" s="861"/>
      <c r="U229" s="861"/>
      <c r="V229" s="861"/>
      <c r="W229" s="861"/>
      <c r="X229" s="861"/>
      <c r="Y229" s="861"/>
      <c r="Z229" s="861"/>
      <c r="AA229" s="861"/>
      <c r="AB229" s="861"/>
      <c r="AC229" s="861"/>
      <c r="AD229" s="861"/>
      <c r="AE229" s="861"/>
      <c r="AF229" s="861"/>
      <c r="AG229" s="861"/>
    </row>
    <row r="230" spans="1:33" ht="17.25" customHeight="1">
      <c r="A230" s="861"/>
      <c r="B230" s="861"/>
      <c r="C230" s="861"/>
      <c r="D230" s="861"/>
      <c r="E230" s="861"/>
      <c r="F230" s="861"/>
      <c r="G230" s="861"/>
      <c r="H230" s="861"/>
      <c r="I230" s="861"/>
      <c r="J230" s="861"/>
      <c r="K230" s="861"/>
      <c r="L230" s="861"/>
      <c r="M230" s="861"/>
      <c r="N230" s="861"/>
      <c r="O230" s="861"/>
      <c r="P230" s="861"/>
      <c r="Q230" s="861"/>
      <c r="R230" s="861"/>
      <c r="S230" s="861"/>
      <c r="T230" s="861"/>
      <c r="U230" s="861"/>
      <c r="V230" s="861"/>
      <c r="W230" s="861"/>
      <c r="X230" s="861"/>
      <c r="Y230" s="861"/>
      <c r="Z230" s="861"/>
      <c r="AA230" s="861"/>
      <c r="AB230" s="861"/>
      <c r="AC230" s="861"/>
      <c r="AD230" s="861"/>
      <c r="AE230" s="861"/>
      <c r="AF230" s="861"/>
      <c r="AG230" s="861"/>
    </row>
    <row r="231" spans="1:33" ht="17.25" customHeight="1">
      <c r="A231" s="861"/>
      <c r="B231" s="861"/>
      <c r="C231" s="861"/>
      <c r="D231" s="861"/>
      <c r="E231" s="861"/>
      <c r="F231" s="861"/>
      <c r="G231" s="861"/>
      <c r="H231" s="861"/>
      <c r="I231" s="861"/>
      <c r="J231" s="861"/>
      <c r="K231" s="861"/>
      <c r="L231" s="861"/>
      <c r="M231" s="861"/>
      <c r="N231" s="861"/>
      <c r="O231" s="861"/>
      <c r="P231" s="861"/>
      <c r="Q231" s="861"/>
      <c r="R231" s="861"/>
      <c r="S231" s="861"/>
      <c r="T231" s="861"/>
      <c r="U231" s="861"/>
      <c r="V231" s="861"/>
      <c r="W231" s="861"/>
      <c r="X231" s="861"/>
      <c r="Y231" s="861"/>
      <c r="Z231" s="861"/>
      <c r="AA231" s="861"/>
      <c r="AB231" s="861"/>
      <c r="AC231" s="861"/>
      <c r="AD231" s="861"/>
      <c r="AE231" s="861"/>
      <c r="AF231" s="861"/>
      <c r="AG231" s="861"/>
    </row>
    <row r="232" spans="1:33" ht="17.25" customHeight="1">
      <c r="A232" s="861"/>
      <c r="B232" s="861"/>
      <c r="C232" s="861"/>
      <c r="D232" s="861"/>
      <c r="E232" s="861"/>
      <c r="F232" s="861"/>
      <c r="G232" s="861"/>
      <c r="H232" s="861"/>
      <c r="I232" s="861"/>
      <c r="J232" s="861"/>
      <c r="K232" s="861"/>
      <c r="L232" s="861"/>
      <c r="M232" s="861"/>
      <c r="N232" s="861"/>
      <c r="O232" s="861"/>
      <c r="P232" s="861"/>
      <c r="Q232" s="861"/>
      <c r="R232" s="861"/>
      <c r="S232" s="861"/>
      <c r="T232" s="861"/>
      <c r="U232" s="861"/>
      <c r="V232" s="861"/>
      <c r="W232" s="861"/>
      <c r="X232" s="861"/>
      <c r="Y232" s="861"/>
      <c r="Z232" s="861"/>
      <c r="AA232" s="861"/>
      <c r="AB232" s="861"/>
      <c r="AC232" s="861"/>
      <c r="AD232" s="861"/>
      <c r="AE232" s="861"/>
      <c r="AF232" s="861"/>
      <c r="AG232" s="861"/>
    </row>
    <row r="233" spans="1:33" ht="17.25" customHeight="1">
      <c r="A233" s="861"/>
      <c r="B233" s="861"/>
      <c r="C233" s="861"/>
      <c r="D233" s="861"/>
      <c r="E233" s="861"/>
      <c r="F233" s="861"/>
      <c r="G233" s="861"/>
      <c r="H233" s="861"/>
      <c r="I233" s="861"/>
      <c r="J233" s="861"/>
      <c r="K233" s="861"/>
      <c r="L233" s="861"/>
      <c r="M233" s="861"/>
      <c r="N233" s="861"/>
      <c r="O233" s="861"/>
      <c r="P233" s="861"/>
      <c r="Q233" s="861"/>
      <c r="R233" s="861"/>
      <c r="S233" s="861"/>
      <c r="T233" s="861"/>
      <c r="U233" s="861"/>
      <c r="V233" s="861"/>
      <c r="W233" s="861"/>
      <c r="X233" s="861"/>
      <c r="Y233" s="861"/>
      <c r="Z233" s="861"/>
      <c r="AA233" s="861"/>
      <c r="AB233" s="861"/>
      <c r="AC233" s="861"/>
      <c r="AD233" s="861"/>
      <c r="AE233" s="861"/>
      <c r="AF233" s="861"/>
      <c r="AG233" s="861"/>
    </row>
    <row r="234" spans="1:33" ht="17.25" customHeight="1">
      <c r="A234" s="861"/>
      <c r="B234" s="861"/>
      <c r="C234" s="861"/>
      <c r="D234" s="861"/>
      <c r="E234" s="861"/>
      <c r="F234" s="861"/>
      <c r="G234" s="861"/>
      <c r="H234" s="861"/>
      <c r="I234" s="861"/>
      <c r="J234" s="861"/>
      <c r="K234" s="861"/>
      <c r="L234" s="861"/>
      <c r="M234" s="861"/>
      <c r="N234" s="861"/>
      <c r="O234" s="861"/>
      <c r="P234" s="861"/>
      <c r="Q234" s="861"/>
      <c r="R234" s="861"/>
      <c r="S234" s="861"/>
      <c r="T234" s="861"/>
      <c r="U234" s="861"/>
      <c r="V234" s="861"/>
      <c r="W234" s="861"/>
      <c r="X234" s="861"/>
      <c r="Y234" s="861"/>
      <c r="Z234" s="861"/>
      <c r="AA234" s="861"/>
      <c r="AB234" s="861"/>
      <c r="AC234" s="861"/>
      <c r="AD234" s="861"/>
      <c r="AE234" s="861"/>
      <c r="AF234" s="861"/>
      <c r="AG234" s="861"/>
    </row>
    <row r="235" spans="1:33" ht="17.25" customHeight="1">
      <c r="A235" s="861"/>
      <c r="B235" s="861"/>
      <c r="C235" s="861"/>
      <c r="D235" s="861"/>
      <c r="E235" s="861"/>
      <c r="F235" s="861"/>
      <c r="G235" s="861"/>
      <c r="H235" s="861"/>
      <c r="I235" s="861"/>
      <c r="J235" s="861"/>
      <c r="K235" s="861"/>
      <c r="L235" s="861"/>
      <c r="M235" s="861"/>
      <c r="N235" s="861"/>
      <c r="O235" s="861"/>
      <c r="P235" s="861"/>
      <c r="Q235" s="861"/>
      <c r="R235" s="861"/>
      <c r="S235" s="861"/>
      <c r="T235" s="861"/>
      <c r="U235" s="861"/>
      <c r="V235" s="861"/>
      <c r="W235" s="861"/>
      <c r="X235" s="861"/>
      <c r="Y235" s="861"/>
      <c r="Z235" s="861"/>
      <c r="AA235" s="861"/>
      <c r="AB235" s="861"/>
      <c r="AC235" s="861"/>
      <c r="AD235" s="861"/>
      <c r="AE235" s="861"/>
      <c r="AF235" s="861"/>
      <c r="AG235" s="861"/>
    </row>
    <row r="236" spans="1:33" ht="17.25" customHeight="1">
      <c r="A236" s="861"/>
      <c r="B236" s="861"/>
      <c r="C236" s="861"/>
      <c r="D236" s="861"/>
      <c r="E236" s="861"/>
      <c r="F236" s="861"/>
      <c r="G236" s="861"/>
      <c r="H236" s="861"/>
      <c r="I236" s="861"/>
      <c r="J236" s="861"/>
      <c r="K236" s="861"/>
      <c r="L236" s="861"/>
      <c r="M236" s="861"/>
      <c r="N236" s="861"/>
      <c r="O236" s="861"/>
      <c r="P236" s="861"/>
      <c r="Q236" s="861"/>
      <c r="R236" s="861"/>
      <c r="S236" s="861"/>
      <c r="T236" s="861"/>
      <c r="U236" s="861"/>
      <c r="V236" s="861"/>
      <c r="W236" s="861"/>
      <c r="X236" s="861"/>
      <c r="Y236" s="861"/>
      <c r="Z236" s="861"/>
      <c r="AA236" s="861"/>
      <c r="AB236" s="861"/>
      <c r="AC236" s="861"/>
      <c r="AD236" s="861"/>
      <c r="AE236" s="861"/>
      <c r="AF236" s="861"/>
      <c r="AG236" s="861"/>
    </row>
    <row r="237" spans="1:33" ht="17.25" customHeight="1">
      <c r="A237" s="861"/>
      <c r="B237" s="861"/>
      <c r="C237" s="861"/>
      <c r="D237" s="861"/>
      <c r="E237" s="861"/>
      <c r="F237" s="861"/>
      <c r="G237" s="861"/>
      <c r="H237" s="861"/>
      <c r="I237" s="861"/>
      <c r="J237" s="861"/>
      <c r="K237" s="861"/>
      <c r="L237" s="861"/>
      <c r="M237" s="861"/>
      <c r="N237" s="861"/>
      <c r="O237" s="861"/>
      <c r="P237" s="861"/>
      <c r="Q237" s="861"/>
      <c r="R237" s="861"/>
      <c r="S237" s="861"/>
      <c r="T237" s="861"/>
      <c r="U237" s="861"/>
      <c r="V237" s="861"/>
      <c r="W237" s="861"/>
      <c r="X237" s="861"/>
      <c r="Y237" s="861"/>
      <c r="Z237" s="861"/>
      <c r="AA237" s="861"/>
      <c r="AB237" s="861"/>
      <c r="AC237" s="861"/>
      <c r="AD237" s="861"/>
      <c r="AE237" s="861"/>
      <c r="AF237" s="861"/>
      <c r="AG237" s="861"/>
    </row>
    <row r="238" spans="1:33" ht="17.25" customHeight="1">
      <c r="A238" s="861"/>
      <c r="B238" s="861"/>
      <c r="C238" s="861"/>
      <c r="D238" s="861"/>
      <c r="E238" s="861"/>
      <c r="F238" s="861"/>
      <c r="G238" s="861"/>
      <c r="H238" s="861"/>
      <c r="I238" s="861"/>
      <c r="J238" s="861"/>
      <c r="K238" s="861"/>
      <c r="L238" s="861"/>
      <c r="M238" s="861"/>
      <c r="N238" s="861"/>
      <c r="O238" s="861"/>
      <c r="P238" s="861"/>
      <c r="Q238" s="861"/>
      <c r="R238" s="861"/>
      <c r="S238" s="861"/>
      <c r="T238" s="861"/>
      <c r="U238" s="861"/>
      <c r="V238" s="861"/>
      <c r="W238" s="861"/>
      <c r="X238" s="861"/>
      <c r="Y238" s="861"/>
      <c r="Z238" s="861"/>
      <c r="AA238" s="861"/>
      <c r="AB238" s="861"/>
      <c r="AC238" s="861"/>
      <c r="AD238" s="861"/>
      <c r="AE238" s="861"/>
      <c r="AF238" s="861"/>
      <c r="AG238" s="861"/>
    </row>
    <row r="239" spans="1:33" ht="17.25" customHeight="1">
      <c r="A239" s="861"/>
      <c r="B239" s="861"/>
      <c r="C239" s="861"/>
      <c r="D239" s="861"/>
      <c r="E239" s="861"/>
      <c r="F239" s="861"/>
      <c r="G239" s="861"/>
      <c r="H239" s="861"/>
      <c r="I239" s="861"/>
      <c r="J239" s="861"/>
      <c r="K239" s="861"/>
      <c r="L239" s="861"/>
      <c r="M239" s="861"/>
      <c r="N239" s="861"/>
      <c r="O239" s="861"/>
      <c r="P239" s="861"/>
      <c r="Q239" s="861"/>
      <c r="R239" s="861"/>
      <c r="S239" s="861"/>
      <c r="T239" s="861"/>
      <c r="U239" s="861"/>
      <c r="V239" s="861"/>
      <c r="W239" s="861"/>
      <c r="X239" s="861"/>
      <c r="Y239" s="861"/>
      <c r="Z239" s="861"/>
      <c r="AA239" s="861"/>
      <c r="AB239" s="861"/>
      <c r="AC239" s="861"/>
      <c r="AD239" s="861"/>
      <c r="AE239" s="861"/>
      <c r="AF239" s="861"/>
      <c r="AG239" s="861"/>
    </row>
    <row r="240" spans="1:33" ht="17.25" customHeight="1">
      <c r="A240" s="861"/>
      <c r="B240" s="861"/>
      <c r="C240" s="861"/>
      <c r="D240" s="861"/>
      <c r="E240" s="861"/>
      <c r="F240" s="861"/>
      <c r="G240" s="861"/>
      <c r="H240" s="861"/>
      <c r="I240" s="861"/>
      <c r="J240" s="861"/>
      <c r="K240" s="861"/>
      <c r="L240" s="861"/>
      <c r="M240" s="861"/>
      <c r="N240" s="861"/>
      <c r="O240" s="861"/>
      <c r="P240" s="861"/>
      <c r="Q240" s="861"/>
      <c r="R240" s="861"/>
      <c r="S240" s="861"/>
      <c r="T240" s="861"/>
      <c r="U240" s="861"/>
      <c r="V240" s="861"/>
      <c r="W240" s="861"/>
      <c r="X240" s="861"/>
      <c r="Y240" s="861"/>
      <c r="Z240" s="861"/>
      <c r="AA240" s="861"/>
      <c r="AB240" s="861"/>
      <c r="AC240" s="861"/>
      <c r="AD240" s="861"/>
      <c r="AE240" s="861"/>
      <c r="AF240" s="861"/>
      <c r="AG240" s="861"/>
    </row>
    <row r="241" spans="1:33" ht="17.25" customHeight="1">
      <c r="A241" s="861"/>
      <c r="B241" s="861"/>
      <c r="C241" s="861"/>
      <c r="D241" s="861"/>
      <c r="E241" s="861"/>
      <c r="F241" s="861"/>
      <c r="G241" s="861"/>
      <c r="H241" s="861"/>
      <c r="I241" s="861"/>
      <c r="J241" s="861"/>
      <c r="K241" s="861"/>
      <c r="L241" s="861"/>
      <c r="M241" s="861"/>
      <c r="N241" s="861"/>
      <c r="O241" s="861"/>
      <c r="P241" s="861"/>
      <c r="Q241" s="861"/>
      <c r="R241" s="861"/>
      <c r="S241" s="861"/>
      <c r="T241" s="861"/>
      <c r="U241" s="861"/>
      <c r="V241" s="861"/>
      <c r="W241" s="861"/>
      <c r="X241" s="861"/>
      <c r="Y241" s="861"/>
      <c r="Z241" s="861"/>
      <c r="AA241" s="861"/>
      <c r="AB241" s="861"/>
      <c r="AC241" s="861"/>
      <c r="AD241" s="861"/>
      <c r="AE241" s="861"/>
      <c r="AF241" s="861"/>
      <c r="AG241" s="861"/>
    </row>
    <row r="242" spans="1:33" ht="17.25" customHeight="1">
      <c r="A242" s="861"/>
      <c r="B242" s="861"/>
      <c r="C242" s="861"/>
      <c r="D242" s="861"/>
      <c r="E242" s="861"/>
      <c r="F242" s="861"/>
      <c r="G242" s="861"/>
      <c r="H242" s="861"/>
      <c r="I242" s="861"/>
      <c r="J242" s="861"/>
      <c r="K242" s="861"/>
      <c r="L242" s="861"/>
      <c r="M242" s="861"/>
      <c r="N242" s="861"/>
      <c r="O242" s="861"/>
      <c r="P242" s="861"/>
      <c r="Q242" s="861"/>
      <c r="R242" s="861"/>
      <c r="S242" s="861"/>
      <c r="T242" s="861"/>
      <c r="U242" s="861"/>
      <c r="V242" s="861"/>
      <c r="W242" s="861"/>
      <c r="X242" s="861"/>
      <c r="Y242" s="861"/>
      <c r="Z242" s="861"/>
      <c r="AA242" s="861"/>
      <c r="AB242" s="861"/>
      <c r="AC242" s="861"/>
      <c r="AD242" s="861"/>
      <c r="AE242" s="861"/>
      <c r="AF242" s="861"/>
      <c r="AG242" s="861"/>
    </row>
    <row r="243" spans="1:33" ht="17.25" customHeight="1">
      <c r="A243" s="861"/>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c r="AA243" s="861"/>
      <c r="AB243" s="861"/>
      <c r="AC243" s="861"/>
      <c r="AD243" s="861"/>
      <c r="AE243" s="861"/>
      <c r="AF243" s="861"/>
      <c r="AG243" s="861"/>
    </row>
    <row r="244" spans="1:33" ht="17.25" customHeight="1">
      <c r="A244" s="861"/>
      <c r="B244" s="861"/>
      <c r="C244" s="861"/>
      <c r="D244" s="861"/>
      <c r="E244" s="861"/>
      <c r="F244" s="861"/>
      <c r="G244" s="861"/>
      <c r="H244" s="861"/>
      <c r="I244" s="861"/>
      <c r="J244" s="861"/>
      <c r="K244" s="861"/>
      <c r="L244" s="861"/>
      <c r="M244" s="861"/>
      <c r="N244" s="861"/>
      <c r="O244" s="861"/>
      <c r="P244" s="861"/>
      <c r="Q244" s="861"/>
      <c r="R244" s="861"/>
      <c r="S244" s="861"/>
      <c r="T244" s="861"/>
      <c r="U244" s="861"/>
      <c r="V244" s="861"/>
      <c r="W244" s="861"/>
      <c r="X244" s="861"/>
      <c r="Y244" s="861"/>
      <c r="Z244" s="861"/>
      <c r="AA244" s="861"/>
      <c r="AB244" s="861"/>
      <c r="AC244" s="861"/>
      <c r="AD244" s="861"/>
      <c r="AE244" s="861"/>
      <c r="AF244" s="861"/>
      <c r="AG244" s="861"/>
    </row>
    <row r="245" spans="1:33" ht="17.25" customHeight="1">
      <c r="A245" s="861"/>
      <c r="B245" s="861"/>
      <c r="C245" s="861"/>
      <c r="D245" s="861"/>
      <c r="E245" s="861"/>
      <c r="F245" s="861"/>
      <c r="G245" s="861"/>
      <c r="H245" s="861"/>
      <c r="I245" s="861"/>
      <c r="J245" s="861"/>
      <c r="K245" s="861"/>
      <c r="L245" s="861"/>
      <c r="M245" s="861"/>
      <c r="N245" s="861"/>
      <c r="O245" s="861"/>
      <c r="P245" s="861"/>
      <c r="Q245" s="861"/>
      <c r="R245" s="861"/>
      <c r="S245" s="861"/>
      <c r="T245" s="861"/>
      <c r="U245" s="861"/>
      <c r="V245" s="861"/>
      <c r="W245" s="861"/>
      <c r="X245" s="861"/>
      <c r="Y245" s="861"/>
      <c r="Z245" s="861"/>
      <c r="AA245" s="861"/>
      <c r="AB245" s="861"/>
      <c r="AC245" s="861"/>
      <c r="AD245" s="861"/>
      <c r="AE245" s="861"/>
      <c r="AF245" s="861"/>
      <c r="AG245" s="861"/>
    </row>
    <row r="246" spans="1:33" ht="17.25" customHeight="1">
      <c r="A246" s="861"/>
      <c r="B246" s="861"/>
      <c r="C246" s="861"/>
      <c r="D246" s="861"/>
      <c r="E246" s="861"/>
      <c r="F246" s="861"/>
      <c r="G246" s="861"/>
      <c r="H246" s="861"/>
      <c r="I246" s="861"/>
      <c r="J246" s="861"/>
      <c r="K246" s="861"/>
      <c r="L246" s="861"/>
      <c r="M246" s="861"/>
      <c r="N246" s="861"/>
      <c r="O246" s="861"/>
      <c r="P246" s="861"/>
      <c r="Q246" s="861"/>
      <c r="R246" s="861"/>
      <c r="S246" s="861"/>
      <c r="T246" s="861"/>
      <c r="U246" s="861"/>
      <c r="V246" s="861"/>
      <c r="W246" s="861"/>
      <c r="X246" s="861"/>
      <c r="Y246" s="861"/>
      <c r="Z246" s="861"/>
      <c r="AA246" s="861"/>
      <c r="AB246" s="861"/>
      <c r="AC246" s="861"/>
      <c r="AD246" s="861"/>
      <c r="AE246" s="861"/>
      <c r="AF246" s="861"/>
      <c r="AG246" s="861"/>
    </row>
    <row r="247" spans="1:33" ht="17.25" customHeight="1">
      <c r="A247" s="861"/>
      <c r="B247" s="861"/>
      <c r="C247" s="861"/>
      <c r="D247" s="861"/>
      <c r="E247" s="861"/>
      <c r="F247" s="861"/>
      <c r="G247" s="861"/>
      <c r="H247" s="861"/>
      <c r="I247" s="861"/>
      <c r="J247" s="861"/>
      <c r="K247" s="861"/>
      <c r="L247" s="861"/>
      <c r="M247" s="861"/>
      <c r="N247" s="861"/>
      <c r="O247" s="861"/>
      <c r="P247" s="861"/>
      <c r="Q247" s="861"/>
      <c r="R247" s="861"/>
      <c r="S247" s="861"/>
      <c r="T247" s="861"/>
      <c r="U247" s="861"/>
      <c r="V247" s="861"/>
      <c r="W247" s="861"/>
      <c r="X247" s="861"/>
      <c r="Y247" s="861"/>
      <c r="Z247" s="861"/>
      <c r="AA247" s="861"/>
      <c r="AB247" s="861"/>
      <c r="AC247" s="861"/>
      <c r="AD247" s="861"/>
      <c r="AE247" s="861"/>
      <c r="AF247" s="861"/>
      <c r="AG247" s="861"/>
    </row>
    <row r="248" spans="1:33" ht="17.25" customHeight="1">
      <c r="A248" s="861"/>
      <c r="B248" s="861"/>
      <c r="C248" s="861"/>
      <c r="D248" s="861"/>
      <c r="E248" s="861"/>
      <c r="F248" s="861"/>
      <c r="G248" s="861"/>
      <c r="H248" s="861"/>
      <c r="I248" s="861"/>
      <c r="J248" s="861"/>
      <c r="K248" s="861"/>
      <c r="L248" s="861"/>
      <c r="M248" s="861"/>
      <c r="N248" s="861"/>
      <c r="O248" s="861"/>
      <c r="P248" s="861"/>
      <c r="Q248" s="861"/>
      <c r="R248" s="861"/>
      <c r="S248" s="861"/>
      <c r="T248" s="861"/>
      <c r="U248" s="861"/>
      <c r="V248" s="861"/>
      <c r="W248" s="861"/>
      <c r="X248" s="861"/>
      <c r="Y248" s="861"/>
      <c r="Z248" s="861"/>
      <c r="AA248" s="861"/>
      <c r="AB248" s="861"/>
      <c r="AC248" s="861"/>
      <c r="AD248" s="861"/>
      <c r="AE248" s="861"/>
      <c r="AF248" s="861"/>
      <c r="AG248" s="861"/>
    </row>
    <row r="249" spans="1:33" ht="17.25" customHeight="1">
      <c r="A249" s="861"/>
      <c r="B249" s="861"/>
      <c r="C249" s="861"/>
      <c r="D249" s="861"/>
      <c r="E249" s="861"/>
      <c r="F249" s="861"/>
      <c r="G249" s="861"/>
      <c r="H249" s="861"/>
      <c r="I249" s="861"/>
      <c r="J249" s="861"/>
      <c r="K249" s="861"/>
      <c r="L249" s="861"/>
      <c r="M249" s="861"/>
      <c r="N249" s="861"/>
      <c r="O249" s="861"/>
      <c r="P249" s="861"/>
      <c r="Q249" s="861"/>
      <c r="R249" s="861"/>
      <c r="S249" s="861"/>
      <c r="T249" s="861"/>
      <c r="U249" s="861"/>
      <c r="V249" s="861"/>
      <c r="W249" s="861"/>
      <c r="X249" s="861"/>
      <c r="Y249" s="861"/>
      <c r="Z249" s="861"/>
      <c r="AA249" s="861"/>
      <c r="AB249" s="861"/>
      <c r="AC249" s="861"/>
      <c r="AD249" s="861"/>
      <c r="AE249" s="861"/>
      <c r="AF249" s="861"/>
      <c r="AG249" s="861"/>
    </row>
    <row r="250" spans="1:33" ht="17.25" customHeight="1">
      <c r="A250" s="861"/>
      <c r="B250" s="861"/>
      <c r="C250" s="861"/>
      <c r="D250" s="861"/>
      <c r="E250" s="861"/>
      <c r="F250" s="861"/>
      <c r="G250" s="861"/>
      <c r="H250" s="861"/>
      <c r="I250" s="861"/>
      <c r="J250" s="861"/>
      <c r="K250" s="861"/>
      <c r="L250" s="861"/>
      <c r="M250" s="861"/>
      <c r="N250" s="861"/>
      <c r="O250" s="861"/>
      <c r="P250" s="861"/>
      <c r="Q250" s="861"/>
      <c r="R250" s="861"/>
      <c r="S250" s="861"/>
      <c r="T250" s="861"/>
      <c r="U250" s="861"/>
      <c r="V250" s="861"/>
      <c r="W250" s="861"/>
      <c r="X250" s="861"/>
      <c r="Y250" s="861"/>
      <c r="Z250" s="861"/>
      <c r="AA250" s="861"/>
      <c r="AB250" s="861"/>
      <c r="AC250" s="861"/>
      <c r="AD250" s="861"/>
      <c r="AE250" s="861"/>
      <c r="AF250" s="861"/>
      <c r="AG250" s="861"/>
    </row>
    <row r="251" spans="1:33" ht="17.25" customHeight="1">
      <c r="A251" s="861"/>
      <c r="B251" s="861"/>
      <c r="C251" s="861"/>
      <c r="D251" s="861"/>
      <c r="E251" s="861"/>
      <c r="F251" s="861"/>
      <c r="G251" s="861"/>
      <c r="H251" s="861"/>
      <c r="I251" s="861"/>
      <c r="J251" s="861"/>
      <c r="K251" s="861"/>
      <c r="L251" s="861"/>
      <c r="M251" s="861"/>
      <c r="N251" s="861"/>
      <c r="O251" s="861"/>
      <c r="P251" s="861"/>
      <c r="Q251" s="861"/>
      <c r="R251" s="861"/>
      <c r="S251" s="861"/>
      <c r="T251" s="861"/>
      <c r="U251" s="861"/>
      <c r="V251" s="861"/>
      <c r="W251" s="861"/>
      <c r="X251" s="861"/>
      <c r="Y251" s="861"/>
      <c r="Z251" s="861"/>
      <c r="AA251" s="861"/>
      <c r="AB251" s="861"/>
      <c r="AC251" s="861"/>
      <c r="AD251" s="861"/>
      <c r="AE251" s="861"/>
      <c r="AF251" s="861"/>
      <c r="AG251" s="861"/>
    </row>
    <row r="252" spans="1:33" ht="17.25" customHeight="1">
      <c r="A252" s="861"/>
      <c r="B252" s="861"/>
      <c r="C252" s="861"/>
      <c r="D252" s="861"/>
      <c r="E252" s="861"/>
      <c r="F252" s="861"/>
      <c r="G252" s="861"/>
      <c r="H252" s="861"/>
      <c r="I252" s="861"/>
      <c r="J252" s="861"/>
      <c r="K252" s="861"/>
      <c r="L252" s="861"/>
      <c r="M252" s="861"/>
      <c r="N252" s="861"/>
      <c r="O252" s="861"/>
      <c r="P252" s="861"/>
      <c r="Q252" s="861"/>
      <c r="R252" s="861"/>
      <c r="S252" s="861"/>
      <c r="T252" s="861"/>
      <c r="U252" s="861"/>
      <c r="V252" s="861"/>
      <c r="W252" s="861"/>
      <c r="X252" s="861"/>
      <c r="Y252" s="861"/>
      <c r="Z252" s="861"/>
      <c r="AA252" s="861"/>
      <c r="AB252" s="861"/>
      <c r="AC252" s="861"/>
      <c r="AD252" s="861"/>
      <c r="AE252" s="861"/>
      <c r="AF252" s="861"/>
      <c r="AG252" s="861"/>
    </row>
    <row r="253" spans="1:33" ht="17.25" customHeight="1">
      <c r="A253" s="861"/>
      <c r="B253" s="861"/>
      <c r="C253" s="861"/>
      <c r="D253" s="861"/>
      <c r="E253" s="861"/>
      <c r="F253" s="861"/>
      <c r="G253" s="861"/>
      <c r="H253" s="861"/>
      <c r="I253" s="861"/>
      <c r="J253" s="861"/>
      <c r="K253" s="861"/>
      <c r="L253" s="861"/>
      <c r="M253" s="861"/>
      <c r="N253" s="861"/>
      <c r="O253" s="861"/>
      <c r="P253" s="861"/>
      <c r="Q253" s="861"/>
      <c r="R253" s="861"/>
      <c r="S253" s="861"/>
      <c r="T253" s="861"/>
      <c r="U253" s="861"/>
      <c r="V253" s="861"/>
      <c r="W253" s="861"/>
      <c r="X253" s="861"/>
      <c r="Y253" s="861"/>
      <c r="Z253" s="861"/>
      <c r="AA253" s="861"/>
      <c r="AB253" s="861"/>
      <c r="AC253" s="861"/>
      <c r="AD253" s="861"/>
      <c r="AE253" s="861"/>
      <c r="AF253" s="861"/>
      <c r="AG253" s="861"/>
    </row>
    <row r="254" spans="1:33" ht="17.25" customHeight="1">
      <c r="A254" s="861"/>
      <c r="B254" s="861"/>
      <c r="C254" s="861"/>
      <c r="D254" s="861"/>
      <c r="E254" s="861"/>
      <c r="F254" s="861"/>
      <c r="G254" s="861"/>
      <c r="H254" s="861"/>
      <c r="I254" s="861"/>
      <c r="J254" s="861"/>
      <c r="K254" s="861"/>
      <c r="L254" s="861"/>
      <c r="M254" s="861"/>
      <c r="N254" s="861"/>
      <c r="O254" s="861"/>
      <c r="P254" s="861"/>
      <c r="Q254" s="861"/>
      <c r="R254" s="861"/>
      <c r="S254" s="861"/>
      <c r="T254" s="861"/>
      <c r="U254" s="861"/>
      <c r="V254" s="861"/>
      <c r="W254" s="861"/>
      <c r="X254" s="861"/>
      <c r="Y254" s="861"/>
      <c r="Z254" s="861"/>
      <c r="AA254" s="861"/>
      <c r="AB254" s="861"/>
      <c r="AC254" s="861"/>
      <c r="AD254" s="861"/>
      <c r="AE254" s="861"/>
      <c r="AF254" s="861"/>
      <c r="AG254" s="861"/>
    </row>
    <row r="255" spans="1:33" ht="17.25" customHeight="1">
      <c r="A255" s="861"/>
      <c r="B255" s="861"/>
      <c r="C255" s="861"/>
      <c r="D255" s="861"/>
      <c r="E255" s="861"/>
      <c r="F255" s="861"/>
      <c r="G255" s="861"/>
      <c r="H255" s="861"/>
      <c r="I255" s="861"/>
      <c r="J255" s="861"/>
      <c r="K255" s="861"/>
      <c r="L255" s="861"/>
      <c r="M255" s="861"/>
      <c r="N255" s="861"/>
      <c r="O255" s="861"/>
      <c r="P255" s="861"/>
      <c r="Q255" s="861"/>
      <c r="R255" s="861"/>
      <c r="S255" s="861"/>
      <c r="T255" s="861"/>
      <c r="U255" s="861"/>
      <c r="V255" s="861"/>
      <c r="W255" s="861"/>
      <c r="X255" s="861"/>
      <c r="Y255" s="861"/>
      <c r="Z255" s="861"/>
      <c r="AA255" s="861"/>
      <c r="AB255" s="861"/>
      <c r="AC255" s="861"/>
      <c r="AD255" s="861"/>
      <c r="AE255" s="861"/>
      <c r="AF255" s="861"/>
      <c r="AG255" s="861"/>
    </row>
    <row r="256" spans="1:33" ht="17.25" customHeight="1">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c r="AA256" s="861"/>
      <c r="AB256" s="861"/>
      <c r="AC256" s="861"/>
      <c r="AD256" s="861"/>
      <c r="AE256" s="861"/>
      <c r="AF256" s="861"/>
      <c r="AG256" s="861"/>
    </row>
    <row r="257" spans="1:33" ht="17.25" customHeight="1">
      <c r="A257" s="861"/>
      <c r="B257" s="861"/>
      <c r="C257" s="861"/>
      <c r="D257" s="861"/>
      <c r="E257" s="861"/>
      <c r="F257" s="861"/>
      <c r="G257" s="861"/>
      <c r="H257" s="861"/>
      <c r="I257" s="861"/>
      <c r="J257" s="861"/>
      <c r="K257" s="861"/>
      <c r="L257" s="861"/>
      <c r="M257" s="861"/>
      <c r="N257" s="861"/>
      <c r="O257" s="861"/>
      <c r="P257" s="861"/>
      <c r="Q257" s="861"/>
      <c r="R257" s="861"/>
      <c r="S257" s="861"/>
      <c r="T257" s="861"/>
      <c r="U257" s="861"/>
      <c r="V257" s="861"/>
      <c r="W257" s="861"/>
      <c r="X257" s="861"/>
      <c r="Y257" s="861"/>
      <c r="Z257" s="861"/>
      <c r="AA257" s="861"/>
      <c r="AB257" s="861"/>
      <c r="AC257" s="861"/>
      <c r="AD257" s="861"/>
      <c r="AE257" s="861"/>
      <c r="AF257" s="861"/>
      <c r="AG257" s="861"/>
    </row>
    <row r="258" spans="1:33" ht="17.25" customHeight="1">
      <c r="A258" s="861"/>
      <c r="B258" s="861"/>
      <c r="C258" s="861"/>
      <c r="D258" s="861"/>
      <c r="E258" s="861"/>
      <c r="F258" s="861"/>
      <c r="G258" s="861"/>
      <c r="H258" s="861"/>
      <c r="I258" s="861"/>
      <c r="J258" s="861"/>
      <c r="K258" s="861"/>
      <c r="L258" s="861"/>
      <c r="M258" s="861"/>
      <c r="N258" s="861"/>
      <c r="O258" s="861"/>
      <c r="P258" s="861"/>
      <c r="Q258" s="861"/>
      <c r="R258" s="861"/>
      <c r="S258" s="861"/>
      <c r="T258" s="861"/>
      <c r="U258" s="861"/>
      <c r="V258" s="861"/>
      <c r="W258" s="861"/>
      <c r="X258" s="861"/>
      <c r="Y258" s="861"/>
      <c r="Z258" s="861"/>
      <c r="AA258" s="861"/>
      <c r="AB258" s="861"/>
      <c r="AC258" s="861"/>
      <c r="AD258" s="861"/>
      <c r="AE258" s="861"/>
      <c r="AF258" s="861"/>
      <c r="AG258" s="861"/>
    </row>
    <row r="259" spans="1:33" ht="17.25" customHeight="1">
      <c r="A259" s="861"/>
      <c r="B259" s="861"/>
      <c r="C259" s="861"/>
      <c r="D259" s="861"/>
      <c r="E259" s="861"/>
      <c r="F259" s="861"/>
      <c r="G259" s="861"/>
      <c r="H259" s="861"/>
      <c r="I259" s="861"/>
      <c r="J259" s="861"/>
      <c r="K259" s="861"/>
      <c r="L259" s="861"/>
      <c r="M259" s="861"/>
      <c r="N259" s="861"/>
      <c r="O259" s="861"/>
      <c r="P259" s="861"/>
      <c r="Q259" s="861"/>
      <c r="R259" s="861"/>
      <c r="S259" s="861"/>
      <c r="T259" s="861"/>
      <c r="U259" s="861"/>
      <c r="V259" s="861"/>
      <c r="W259" s="861"/>
      <c r="X259" s="861"/>
      <c r="Y259" s="861"/>
      <c r="Z259" s="861"/>
      <c r="AA259" s="861"/>
      <c r="AB259" s="861"/>
      <c r="AC259" s="861"/>
      <c r="AD259" s="861"/>
      <c r="AE259" s="861"/>
      <c r="AF259" s="861"/>
      <c r="AG259" s="861"/>
    </row>
    <row r="260" spans="1:33" ht="17.25" customHeight="1">
      <c r="A260" s="861"/>
      <c r="B260" s="861"/>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c r="AA260" s="861"/>
      <c r="AB260" s="861"/>
      <c r="AC260" s="861"/>
      <c r="AD260" s="861"/>
      <c r="AE260" s="861"/>
      <c r="AF260" s="861"/>
      <c r="AG260" s="861"/>
    </row>
    <row r="261" spans="1:33" ht="17.25" customHeight="1">
      <c r="A261" s="861"/>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861"/>
      <c r="AF261" s="861"/>
      <c r="AG261" s="861"/>
    </row>
    <row r="262" spans="1:33" ht="17.25" customHeight="1">
      <c r="A262" s="861"/>
      <c r="B262" s="861"/>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c r="AA262" s="861"/>
      <c r="AB262" s="861"/>
      <c r="AC262" s="861"/>
      <c r="AD262" s="861"/>
      <c r="AE262" s="861"/>
      <c r="AF262" s="861"/>
      <c r="AG262" s="861"/>
    </row>
    <row r="263" spans="1:33" ht="17.25" customHeight="1">
      <c r="A263" s="861"/>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c r="AA263" s="861"/>
      <c r="AB263" s="861"/>
      <c r="AC263" s="861"/>
      <c r="AD263" s="861"/>
      <c r="AE263" s="861"/>
      <c r="AF263" s="861"/>
      <c r="AG263" s="861"/>
    </row>
    <row r="264" spans="1:33" ht="17.25" customHeight="1">
      <c r="A264" s="861"/>
      <c r="B264" s="861"/>
      <c r="C264" s="861"/>
      <c r="D264" s="861"/>
      <c r="E264" s="861"/>
      <c r="F264" s="861"/>
      <c r="G264" s="861"/>
      <c r="H264" s="861"/>
      <c r="I264" s="861"/>
      <c r="J264" s="861"/>
      <c r="K264" s="861"/>
      <c r="L264" s="861"/>
      <c r="M264" s="861"/>
      <c r="N264" s="861"/>
      <c r="O264" s="861"/>
      <c r="P264" s="861"/>
      <c r="Q264" s="861"/>
      <c r="R264" s="861"/>
      <c r="S264" s="861"/>
      <c r="T264" s="861"/>
      <c r="U264" s="861"/>
      <c r="V264" s="861"/>
      <c r="W264" s="861"/>
      <c r="X264" s="861"/>
      <c r="Y264" s="861"/>
      <c r="Z264" s="861"/>
      <c r="AA264" s="861"/>
      <c r="AB264" s="861"/>
      <c r="AC264" s="861"/>
      <c r="AD264" s="861"/>
      <c r="AE264" s="861"/>
      <c r="AF264" s="861"/>
      <c r="AG264" s="861"/>
    </row>
    <row r="265" spans="1:33" ht="17.25" customHeight="1">
      <c r="A265" s="861"/>
      <c r="B265" s="861"/>
      <c r="C265" s="861"/>
      <c r="D265" s="861"/>
      <c r="E265" s="861"/>
      <c r="F265" s="861"/>
      <c r="G265" s="861"/>
      <c r="H265" s="861"/>
      <c r="I265" s="861"/>
      <c r="J265" s="861"/>
      <c r="K265" s="861"/>
      <c r="L265" s="861"/>
      <c r="M265" s="861"/>
      <c r="N265" s="861"/>
      <c r="O265" s="861"/>
      <c r="P265" s="861"/>
      <c r="Q265" s="861"/>
      <c r="R265" s="861"/>
      <c r="S265" s="861"/>
      <c r="T265" s="861"/>
      <c r="U265" s="861"/>
      <c r="V265" s="861"/>
      <c r="W265" s="861"/>
      <c r="X265" s="861"/>
      <c r="Y265" s="861"/>
      <c r="Z265" s="861"/>
      <c r="AA265" s="861"/>
      <c r="AB265" s="861"/>
      <c r="AC265" s="861"/>
      <c r="AD265" s="861"/>
      <c r="AE265" s="861"/>
      <c r="AF265" s="861"/>
      <c r="AG265" s="861"/>
    </row>
    <row r="266" spans="1:33" ht="17.25" customHeight="1">
      <c r="A266" s="861"/>
      <c r="B266" s="861"/>
      <c r="C266" s="861"/>
      <c r="D266" s="861"/>
      <c r="E266" s="861"/>
      <c r="F266" s="861"/>
      <c r="G266" s="861"/>
      <c r="H266" s="861"/>
      <c r="I266" s="861"/>
      <c r="J266" s="861"/>
      <c r="K266" s="861"/>
      <c r="L266" s="861"/>
      <c r="M266" s="861"/>
      <c r="N266" s="861"/>
      <c r="O266" s="861"/>
      <c r="P266" s="861"/>
      <c r="Q266" s="861"/>
      <c r="R266" s="861"/>
      <c r="S266" s="861"/>
      <c r="T266" s="861"/>
      <c r="U266" s="861"/>
      <c r="V266" s="861"/>
      <c r="W266" s="861"/>
      <c r="X266" s="861"/>
      <c r="Y266" s="861"/>
      <c r="Z266" s="861"/>
      <c r="AA266" s="861"/>
      <c r="AB266" s="861"/>
      <c r="AC266" s="861"/>
      <c r="AD266" s="861"/>
      <c r="AE266" s="861"/>
      <c r="AF266" s="861"/>
      <c r="AG266" s="861"/>
    </row>
    <row r="267" spans="1:33" ht="17.25" customHeight="1">
      <c r="A267" s="861"/>
      <c r="B267" s="861"/>
      <c r="C267" s="861"/>
      <c r="D267" s="861"/>
      <c r="E267" s="861"/>
      <c r="F267" s="861"/>
      <c r="G267" s="861"/>
      <c r="H267" s="861"/>
      <c r="I267" s="861"/>
      <c r="J267" s="861"/>
      <c r="K267" s="861"/>
      <c r="L267" s="861"/>
      <c r="M267" s="861"/>
      <c r="N267" s="861"/>
      <c r="O267" s="861"/>
      <c r="P267" s="861"/>
      <c r="Q267" s="861"/>
      <c r="R267" s="861"/>
      <c r="S267" s="861"/>
      <c r="T267" s="861"/>
      <c r="U267" s="861"/>
      <c r="V267" s="861"/>
      <c r="W267" s="861"/>
      <c r="X267" s="861"/>
      <c r="Y267" s="861"/>
      <c r="Z267" s="861"/>
      <c r="AA267" s="861"/>
      <c r="AB267" s="861"/>
      <c r="AC267" s="861"/>
      <c r="AD267" s="861"/>
      <c r="AE267" s="861"/>
      <c r="AF267" s="861"/>
      <c r="AG267" s="861"/>
    </row>
    <row r="268" spans="1:33" ht="17.25" customHeight="1">
      <c r="A268" s="861"/>
      <c r="B268" s="861"/>
      <c r="C268" s="861"/>
      <c r="D268" s="861"/>
      <c r="E268" s="861"/>
      <c r="F268" s="861"/>
      <c r="G268" s="861"/>
      <c r="H268" s="861"/>
      <c r="I268" s="861"/>
      <c r="J268" s="861"/>
      <c r="K268" s="861"/>
      <c r="L268" s="861"/>
      <c r="M268" s="861"/>
      <c r="N268" s="861"/>
      <c r="O268" s="861"/>
      <c r="P268" s="861"/>
      <c r="Q268" s="861"/>
      <c r="R268" s="861"/>
      <c r="S268" s="861"/>
      <c r="T268" s="861"/>
      <c r="U268" s="861"/>
      <c r="V268" s="861"/>
      <c r="W268" s="861"/>
      <c r="X268" s="861"/>
      <c r="Y268" s="861"/>
      <c r="Z268" s="861"/>
      <c r="AA268" s="861"/>
      <c r="AB268" s="861"/>
      <c r="AC268" s="861"/>
      <c r="AD268" s="861"/>
      <c r="AE268" s="861"/>
      <c r="AF268" s="861"/>
      <c r="AG268" s="861"/>
    </row>
    <row r="269" spans="1:33" ht="17.25" customHeight="1">
      <c r="A269" s="861"/>
      <c r="B269" s="861"/>
      <c r="C269" s="861"/>
      <c r="D269" s="861"/>
      <c r="E269" s="861"/>
      <c r="F269" s="861"/>
      <c r="G269" s="861"/>
      <c r="H269" s="861"/>
      <c r="I269" s="861"/>
      <c r="J269" s="861"/>
      <c r="K269" s="861"/>
      <c r="L269" s="861"/>
      <c r="M269" s="861"/>
      <c r="N269" s="861"/>
      <c r="O269" s="861"/>
      <c r="P269" s="861"/>
      <c r="Q269" s="861"/>
      <c r="R269" s="861"/>
      <c r="S269" s="861"/>
      <c r="T269" s="861"/>
      <c r="U269" s="861"/>
      <c r="V269" s="861"/>
      <c r="W269" s="861"/>
      <c r="X269" s="861"/>
      <c r="Y269" s="861"/>
      <c r="Z269" s="861"/>
      <c r="AA269" s="861"/>
      <c r="AB269" s="861"/>
      <c r="AC269" s="861"/>
      <c r="AD269" s="861"/>
      <c r="AE269" s="861"/>
      <c r="AF269" s="861"/>
      <c r="AG269" s="861"/>
    </row>
    <row r="270" spans="1:33" ht="17.25" customHeight="1">
      <c r="A270" s="861"/>
      <c r="B270" s="861"/>
      <c r="C270" s="861"/>
      <c r="D270" s="861"/>
      <c r="E270" s="861"/>
      <c r="F270" s="861"/>
      <c r="G270" s="861"/>
      <c r="H270" s="861"/>
      <c r="I270" s="861"/>
      <c r="J270" s="861"/>
      <c r="K270" s="861"/>
      <c r="L270" s="861"/>
      <c r="M270" s="861"/>
      <c r="N270" s="861"/>
      <c r="O270" s="861"/>
      <c r="P270" s="861"/>
      <c r="Q270" s="861"/>
      <c r="R270" s="861"/>
      <c r="S270" s="861"/>
      <c r="T270" s="861"/>
      <c r="U270" s="861"/>
      <c r="V270" s="861"/>
      <c r="W270" s="861"/>
      <c r="X270" s="861"/>
      <c r="Y270" s="861"/>
      <c r="Z270" s="861"/>
      <c r="AA270" s="861"/>
      <c r="AB270" s="861"/>
      <c r="AC270" s="861"/>
      <c r="AD270" s="861"/>
      <c r="AE270" s="861"/>
      <c r="AF270" s="861"/>
      <c r="AG270" s="861"/>
    </row>
    <row r="271" spans="1:33" ht="17.25" customHeight="1">
      <c r="A271" s="861"/>
      <c r="B271" s="861"/>
      <c r="C271" s="861"/>
      <c r="D271" s="861"/>
      <c r="E271" s="861"/>
      <c r="F271" s="861"/>
      <c r="G271" s="861"/>
      <c r="H271" s="861"/>
      <c r="I271" s="861"/>
      <c r="J271" s="861"/>
      <c r="K271" s="861"/>
      <c r="L271" s="861"/>
      <c r="M271" s="861"/>
      <c r="N271" s="861"/>
      <c r="O271" s="861"/>
      <c r="P271" s="861"/>
      <c r="Q271" s="861"/>
      <c r="R271" s="861"/>
      <c r="S271" s="861"/>
      <c r="T271" s="861"/>
      <c r="U271" s="861"/>
      <c r="V271" s="861"/>
      <c r="W271" s="861"/>
      <c r="X271" s="861"/>
      <c r="Y271" s="861"/>
      <c r="Z271" s="861"/>
      <c r="AA271" s="861"/>
      <c r="AB271" s="861"/>
      <c r="AC271" s="861"/>
      <c r="AD271" s="861"/>
      <c r="AE271" s="861"/>
      <c r="AF271" s="861"/>
      <c r="AG271" s="861"/>
    </row>
    <row r="272" spans="1:33" ht="17.25" customHeight="1">
      <c r="A272" s="861"/>
      <c r="B272" s="861"/>
      <c r="C272" s="861"/>
      <c r="D272" s="861"/>
      <c r="E272" s="861"/>
      <c r="F272" s="861"/>
      <c r="G272" s="861"/>
      <c r="H272" s="861"/>
      <c r="I272" s="861"/>
      <c r="J272" s="861"/>
      <c r="K272" s="861"/>
      <c r="L272" s="861"/>
      <c r="M272" s="861"/>
      <c r="N272" s="861"/>
      <c r="O272" s="861"/>
      <c r="P272" s="861"/>
      <c r="Q272" s="861"/>
      <c r="R272" s="861"/>
      <c r="S272" s="861"/>
      <c r="T272" s="861"/>
      <c r="U272" s="861"/>
      <c r="V272" s="861"/>
      <c r="W272" s="861"/>
      <c r="X272" s="861"/>
      <c r="Y272" s="861"/>
      <c r="Z272" s="861"/>
      <c r="AA272" s="861"/>
      <c r="AB272" s="861"/>
      <c r="AC272" s="861"/>
      <c r="AD272" s="861"/>
      <c r="AE272" s="861"/>
      <c r="AF272" s="861"/>
      <c r="AG272" s="861"/>
    </row>
    <row r="273" spans="1:33" ht="17.25" customHeight="1">
      <c r="A273" s="861"/>
      <c r="B273" s="861"/>
      <c r="C273" s="861"/>
      <c r="D273" s="861"/>
      <c r="E273" s="861"/>
      <c r="F273" s="861"/>
      <c r="G273" s="861"/>
      <c r="H273" s="861"/>
      <c r="I273" s="861"/>
      <c r="J273" s="861"/>
      <c r="K273" s="861"/>
      <c r="L273" s="861"/>
      <c r="M273" s="861"/>
      <c r="N273" s="861"/>
      <c r="O273" s="861"/>
      <c r="P273" s="861"/>
      <c r="Q273" s="861"/>
      <c r="R273" s="861"/>
      <c r="S273" s="861"/>
      <c r="T273" s="861"/>
      <c r="U273" s="861"/>
      <c r="V273" s="861"/>
      <c r="W273" s="861"/>
      <c r="X273" s="861"/>
      <c r="Y273" s="861"/>
      <c r="Z273" s="861"/>
      <c r="AA273" s="861"/>
      <c r="AB273" s="861"/>
      <c r="AC273" s="861"/>
      <c r="AD273" s="861"/>
      <c r="AE273" s="861"/>
      <c r="AF273" s="861"/>
      <c r="AG273" s="861"/>
    </row>
    <row r="274" spans="1:33" ht="17.25" customHeight="1">
      <c r="A274" s="861"/>
      <c r="B274" s="861"/>
      <c r="C274" s="861"/>
      <c r="D274" s="861"/>
      <c r="E274" s="861"/>
      <c r="F274" s="861"/>
      <c r="G274" s="861"/>
      <c r="H274" s="861"/>
      <c r="I274" s="861"/>
      <c r="J274" s="861"/>
      <c r="K274" s="861"/>
      <c r="L274" s="861"/>
      <c r="M274" s="861"/>
      <c r="N274" s="861"/>
      <c r="O274" s="861"/>
      <c r="P274" s="861"/>
      <c r="Q274" s="861"/>
      <c r="R274" s="861"/>
      <c r="S274" s="861"/>
      <c r="T274" s="861"/>
      <c r="U274" s="861"/>
      <c r="V274" s="861"/>
      <c r="W274" s="861"/>
      <c r="X274" s="861"/>
      <c r="Y274" s="861"/>
      <c r="Z274" s="861"/>
      <c r="AA274" s="861"/>
      <c r="AB274" s="861"/>
      <c r="AC274" s="861"/>
      <c r="AD274" s="861"/>
      <c r="AE274" s="861"/>
      <c r="AF274" s="861"/>
      <c r="AG274" s="861"/>
    </row>
    <row r="275" spans="1:33" ht="17.25" customHeight="1">
      <c r="A275" s="861"/>
      <c r="B275" s="861"/>
      <c r="C275" s="861"/>
      <c r="D275" s="861"/>
      <c r="E275" s="861"/>
      <c r="F275" s="861"/>
      <c r="G275" s="861"/>
      <c r="H275" s="861"/>
      <c r="I275" s="861"/>
      <c r="J275" s="861"/>
      <c r="K275" s="861"/>
      <c r="L275" s="861"/>
      <c r="M275" s="861"/>
      <c r="N275" s="861"/>
      <c r="O275" s="861"/>
      <c r="P275" s="861"/>
      <c r="Q275" s="861"/>
      <c r="R275" s="861"/>
      <c r="S275" s="861"/>
      <c r="T275" s="861"/>
      <c r="U275" s="861"/>
      <c r="V275" s="861"/>
      <c r="W275" s="861"/>
      <c r="X275" s="861"/>
      <c r="Y275" s="861"/>
      <c r="Z275" s="861"/>
      <c r="AA275" s="861"/>
      <c r="AB275" s="861"/>
      <c r="AC275" s="861"/>
      <c r="AD275" s="861"/>
      <c r="AE275" s="861"/>
      <c r="AF275" s="861"/>
      <c r="AG275" s="861"/>
    </row>
    <row r="276" spans="1:33" ht="17.25" customHeight="1">
      <c r="A276" s="861"/>
      <c r="B276" s="861"/>
      <c r="C276" s="861"/>
      <c r="D276" s="861"/>
      <c r="E276" s="861"/>
      <c r="F276" s="861"/>
      <c r="G276" s="861"/>
      <c r="H276" s="861"/>
      <c r="I276" s="861"/>
      <c r="J276" s="861"/>
      <c r="K276" s="861"/>
      <c r="L276" s="861"/>
      <c r="M276" s="861"/>
      <c r="N276" s="861"/>
      <c r="O276" s="861"/>
      <c r="P276" s="861"/>
      <c r="Q276" s="861"/>
      <c r="R276" s="861"/>
      <c r="S276" s="861"/>
      <c r="T276" s="861"/>
      <c r="U276" s="861"/>
      <c r="V276" s="861"/>
      <c r="W276" s="861"/>
      <c r="X276" s="861"/>
      <c r="Y276" s="861"/>
      <c r="Z276" s="861"/>
      <c r="AA276" s="861"/>
      <c r="AB276" s="861"/>
      <c r="AC276" s="861"/>
      <c r="AD276" s="861"/>
      <c r="AE276" s="861"/>
      <c r="AF276" s="861"/>
      <c r="AG276" s="861"/>
    </row>
    <row r="277" spans="1:33" ht="17.25" customHeight="1">
      <c r="A277" s="861"/>
      <c r="B277" s="861"/>
      <c r="C277" s="861"/>
      <c r="D277" s="861"/>
      <c r="E277" s="861"/>
      <c r="F277" s="861"/>
      <c r="G277" s="861"/>
      <c r="H277" s="861"/>
      <c r="I277" s="861"/>
      <c r="J277" s="861"/>
      <c r="K277" s="861"/>
      <c r="L277" s="861"/>
      <c r="M277" s="861"/>
      <c r="N277" s="861"/>
      <c r="O277" s="861"/>
      <c r="P277" s="861"/>
      <c r="Q277" s="861"/>
      <c r="R277" s="861"/>
      <c r="S277" s="861"/>
      <c r="T277" s="861"/>
      <c r="U277" s="861"/>
      <c r="V277" s="861"/>
      <c r="W277" s="861"/>
      <c r="X277" s="861"/>
      <c r="Y277" s="861"/>
      <c r="Z277" s="861"/>
      <c r="AA277" s="861"/>
      <c r="AB277" s="861"/>
      <c r="AC277" s="861"/>
      <c r="AD277" s="861"/>
      <c r="AE277" s="861"/>
      <c r="AF277" s="861"/>
      <c r="AG277" s="861"/>
    </row>
    <row r="278" spans="1:33" ht="17.25" customHeight="1">
      <c r="A278" s="861"/>
      <c r="B278" s="861"/>
      <c r="C278" s="861"/>
      <c r="D278" s="861"/>
      <c r="E278" s="861"/>
      <c r="F278" s="861"/>
      <c r="G278" s="861"/>
      <c r="H278" s="861"/>
      <c r="I278" s="861"/>
      <c r="J278" s="861"/>
      <c r="K278" s="861"/>
      <c r="L278" s="861"/>
      <c r="M278" s="861"/>
      <c r="N278" s="861"/>
      <c r="O278" s="861"/>
      <c r="P278" s="861"/>
      <c r="Q278" s="861"/>
      <c r="R278" s="861"/>
      <c r="S278" s="861"/>
      <c r="T278" s="861"/>
      <c r="U278" s="861"/>
      <c r="V278" s="861"/>
      <c r="W278" s="861"/>
      <c r="X278" s="861"/>
      <c r="Y278" s="861"/>
      <c r="Z278" s="861"/>
      <c r="AA278" s="861"/>
      <c r="AB278" s="861"/>
      <c r="AC278" s="861"/>
      <c r="AD278" s="861"/>
      <c r="AE278" s="861"/>
      <c r="AF278" s="861"/>
      <c r="AG278" s="861"/>
    </row>
    <row r="279" spans="1:33" ht="17.25" customHeight="1">
      <c r="A279" s="861"/>
      <c r="B279" s="861"/>
      <c r="C279" s="861"/>
      <c r="D279" s="861"/>
      <c r="E279" s="861"/>
      <c r="F279" s="861"/>
      <c r="G279" s="861"/>
      <c r="H279" s="861"/>
      <c r="I279" s="861"/>
      <c r="J279" s="861"/>
      <c r="K279" s="861"/>
      <c r="L279" s="861"/>
      <c r="M279" s="861"/>
      <c r="N279" s="861"/>
      <c r="O279" s="861"/>
      <c r="P279" s="861"/>
      <c r="Q279" s="861"/>
      <c r="R279" s="861"/>
      <c r="S279" s="861"/>
      <c r="T279" s="861"/>
      <c r="U279" s="861"/>
      <c r="V279" s="861"/>
      <c r="W279" s="861"/>
      <c r="X279" s="861"/>
      <c r="Y279" s="861"/>
      <c r="Z279" s="861"/>
      <c r="AA279" s="861"/>
      <c r="AB279" s="861"/>
      <c r="AC279" s="861"/>
      <c r="AD279" s="861"/>
      <c r="AE279" s="861"/>
      <c r="AF279" s="861"/>
      <c r="AG279" s="861"/>
    </row>
    <row r="280" spans="1:33" ht="17.25" customHeight="1">
      <c r="A280" s="861"/>
      <c r="B280" s="861"/>
      <c r="C280" s="861"/>
      <c r="D280" s="861"/>
      <c r="E280" s="861"/>
      <c r="F280" s="861"/>
      <c r="G280" s="861"/>
      <c r="H280" s="861"/>
      <c r="I280" s="861"/>
      <c r="J280" s="861"/>
      <c r="K280" s="861"/>
      <c r="L280" s="861"/>
      <c r="M280" s="861"/>
      <c r="N280" s="861"/>
      <c r="O280" s="861"/>
      <c r="P280" s="861"/>
      <c r="Q280" s="861"/>
      <c r="R280" s="861"/>
      <c r="S280" s="861"/>
      <c r="T280" s="861"/>
      <c r="U280" s="861"/>
      <c r="V280" s="861"/>
      <c r="W280" s="861"/>
      <c r="X280" s="861"/>
      <c r="Y280" s="861"/>
      <c r="Z280" s="861"/>
      <c r="AA280" s="861"/>
      <c r="AB280" s="861"/>
      <c r="AC280" s="861"/>
      <c r="AD280" s="861"/>
      <c r="AE280" s="861"/>
      <c r="AF280" s="861"/>
      <c r="AG280" s="861"/>
    </row>
    <row r="281" spans="1:33" ht="17.25" customHeight="1">
      <c r="A281" s="861"/>
      <c r="B281" s="861"/>
      <c r="C281" s="861"/>
      <c r="D281" s="861"/>
      <c r="E281" s="861"/>
      <c r="F281" s="861"/>
      <c r="G281" s="861"/>
      <c r="H281" s="861"/>
      <c r="I281" s="861"/>
      <c r="J281" s="861"/>
      <c r="K281" s="861"/>
      <c r="L281" s="861"/>
      <c r="M281" s="861"/>
      <c r="N281" s="861"/>
      <c r="O281" s="861"/>
      <c r="P281" s="861"/>
      <c r="Q281" s="861"/>
      <c r="R281" s="861"/>
      <c r="S281" s="861"/>
      <c r="T281" s="861"/>
      <c r="U281" s="861"/>
      <c r="V281" s="861"/>
      <c r="W281" s="861"/>
      <c r="X281" s="861"/>
      <c r="Y281" s="861"/>
      <c r="Z281" s="861"/>
      <c r="AA281" s="861"/>
      <c r="AB281" s="861"/>
      <c r="AC281" s="861"/>
      <c r="AD281" s="861"/>
      <c r="AE281" s="861"/>
      <c r="AF281" s="861"/>
      <c r="AG281" s="861"/>
    </row>
    <row r="282" spans="1:33" ht="17.25" customHeight="1">
      <c r="A282" s="861"/>
      <c r="B282" s="861"/>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c r="AA282" s="861"/>
      <c r="AB282" s="861"/>
      <c r="AC282" s="861"/>
      <c r="AD282" s="861"/>
      <c r="AE282" s="861"/>
      <c r="AF282" s="861"/>
      <c r="AG282" s="861"/>
    </row>
    <row r="283" spans="1:33" ht="17.25" customHeight="1">
      <c r="A283" s="861"/>
      <c r="B283" s="861"/>
      <c r="C283" s="861"/>
      <c r="D283" s="861"/>
      <c r="E283" s="861"/>
      <c r="F283" s="861"/>
      <c r="G283" s="861"/>
      <c r="H283" s="861"/>
      <c r="I283" s="861"/>
      <c r="J283" s="861"/>
      <c r="K283" s="861"/>
      <c r="L283" s="861"/>
      <c r="M283" s="861"/>
      <c r="N283" s="861"/>
      <c r="O283" s="861"/>
      <c r="P283" s="861"/>
      <c r="Q283" s="861"/>
      <c r="R283" s="861"/>
      <c r="S283" s="861"/>
      <c r="T283" s="861"/>
      <c r="U283" s="861"/>
      <c r="V283" s="861"/>
      <c r="W283" s="861"/>
      <c r="X283" s="861"/>
      <c r="Y283" s="861"/>
      <c r="Z283" s="861"/>
      <c r="AA283" s="861"/>
      <c r="AB283" s="861"/>
      <c r="AC283" s="861"/>
      <c r="AD283" s="861"/>
      <c r="AE283" s="861"/>
      <c r="AF283" s="861"/>
      <c r="AG283" s="861"/>
    </row>
    <row r="284" spans="1:33" ht="17.25" customHeight="1">
      <c r="A284" s="861"/>
      <c r="B284" s="861"/>
      <c r="C284" s="861"/>
      <c r="D284" s="861"/>
      <c r="E284" s="861"/>
      <c r="F284" s="861"/>
      <c r="G284" s="861"/>
      <c r="H284" s="861"/>
      <c r="I284" s="861"/>
      <c r="J284" s="861"/>
      <c r="K284" s="861"/>
      <c r="L284" s="861"/>
      <c r="M284" s="861"/>
      <c r="N284" s="861"/>
      <c r="O284" s="861"/>
      <c r="P284" s="861"/>
      <c r="Q284" s="861"/>
      <c r="R284" s="861"/>
      <c r="S284" s="861"/>
      <c r="T284" s="861"/>
      <c r="U284" s="861"/>
      <c r="V284" s="861"/>
      <c r="W284" s="861"/>
      <c r="X284" s="861"/>
      <c r="Y284" s="861"/>
      <c r="Z284" s="861"/>
      <c r="AA284" s="861"/>
      <c r="AB284" s="861"/>
      <c r="AC284" s="861"/>
      <c r="AD284" s="861"/>
      <c r="AE284" s="861"/>
      <c r="AF284" s="861"/>
      <c r="AG284" s="861"/>
    </row>
    <row r="285" spans="1:33" ht="17.25" customHeight="1">
      <c r="A285" s="861"/>
      <c r="B285" s="861"/>
      <c r="C285" s="861"/>
      <c r="D285" s="861"/>
      <c r="E285" s="861"/>
      <c r="F285" s="861"/>
      <c r="G285" s="861"/>
      <c r="H285" s="861"/>
      <c r="I285" s="861"/>
      <c r="J285" s="861"/>
      <c r="K285" s="861"/>
      <c r="L285" s="861"/>
      <c r="M285" s="861"/>
      <c r="N285" s="861"/>
      <c r="O285" s="861"/>
      <c r="P285" s="861"/>
      <c r="Q285" s="861"/>
      <c r="R285" s="861"/>
      <c r="S285" s="861"/>
      <c r="T285" s="861"/>
      <c r="U285" s="861"/>
      <c r="V285" s="861"/>
      <c r="W285" s="861"/>
      <c r="X285" s="861"/>
      <c r="Y285" s="861"/>
      <c r="Z285" s="861"/>
      <c r="AA285" s="861"/>
      <c r="AB285" s="861"/>
      <c r="AC285" s="861"/>
      <c r="AD285" s="861"/>
      <c r="AE285" s="861"/>
      <c r="AF285" s="861"/>
      <c r="AG285" s="861"/>
    </row>
    <row r="286" spans="1:33" ht="17.25" customHeight="1">
      <c r="A286" s="861"/>
      <c r="B286" s="861"/>
      <c r="C286" s="861"/>
      <c r="D286" s="861"/>
      <c r="E286" s="861"/>
      <c r="F286" s="861"/>
      <c r="G286" s="861"/>
      <c r="H286" s="861"/>
      <c r="I286" s="861"/>
      <c r="J286" s="861"/>
      <c r="K286" s="861"/>
      <c r="L286" s="861"/>
      <c r="M286" s="861"/>
      <c r="N286" s="861"/>
      <c r="O286" s="861"/>
      <c r="P286" s="861"/>
      <c r="Q286" s="861"/>
      <c r="R286" s="861"/>
      <c r="S286" s="861"/>
      <c r="T286" s="861"/>
      <c r="U286" s="861"/>
      <c r="V286" s="861"/>
      <c r="W286" s="861"/>
      <c r="X286" s="861"/>
      <c r="Y286" s="861"/>
      <c r="Z286" s="861"/>
      <c r="AA286" s="861"/>
      <c r="AB286" s="861"/>
      <c r="AC286" s="861"/>
      <c r="AD286" s="861"/>
      <c r="AE286" s="861"/>
      <c r="AF286" s="861"/>
      <c r="AG286" s="861"/>
    </row>
    <row r="287" spans="1:33" ht="17.25" customHeight="1">
      <c r="A287" s="861"/>
      <c r="B287" s="861"/>
      <c r="C287" s="861"/>
      <c r="D287" s="861"/>
      <c r="E287" s="861"/>
      <c r="F287" s="861"/>
      <c r="G287" s="861"/>
      <c r="H287" s="861"/>
      <c r="I287" s="861"/>
      <c r="J287" s="861"/>
      <c r="K287" s="861"/>
      <c r="L287" s="861"/>
      <c r="M287" s="861"/>
      <c r="N287" s="861"/>
      <c r="O287" s="861"/>
      <c r="P287" s="861"/>
      <c r="Q287" s="861"/>
      <c r="R287" s="861"/>
      <c r="S287" s="861"/>
      <c r="T287" s="861"/>
      <c r="U287" s="861"/>
      <c r="V287" s="861"/>
      <c r="W287" s="861"/>
      <c r="X287" s="861"/>
      <c r="Y287" s="861"/>
      <c r="Z287" s="861"/>
      <c r="AA287" s="861"/>
      <c r="AB287" s="861"/>
      <c r="AC287" s="861"/>
      <c r="AD287" s="861"/>
      <c r="AE287" s="861"/>
      <c r="AF287" s="861"/>
      <c r="AG287" s="861"/>
    </row>
    <row r="288" spans="1:33" ht="17.25" customHeight="1">
      <c r="A288" s="861"/>
      <c r="B288" s="861"/>
      <c r="C288" s="861"/>
      <c r="D288" s="861"/>
      <c r="E288" s="861"/>
      <c r="F288" s="861"/>
      <c r="G288" s="861"/>
      <c r="H288" s="861"/>
      <c r="I288" s="861"/>
      <c r="J288" s="861"/>
      <c r="K288" s="861"/>
      <c r="L288" s="861"/>
      <c r="M288" s="861"/>
      <c r="N288" s="861"/>
      <c r="O288" s="861"/>
      <c r="P288" s="861"/>
      <c r="Q288" s="861"/>
      <c r="R288" s="861"/>
      <c r="S288" s="861"/>
      <c r="T288" s="861"/>
      <c r="U288" s="861"/>
      <c r="V288" s="861"/>
      <c r="W288" s="861"/>
      <c r="X288" s="861"/>
      <c r="Y288" s="861"/>
      <c r="Z288" s="861"/>
      <c r="AA288" s="861"/>
      <c r="AB288" s="861"/>
      <c r="AC288" s="861"/>
      <c r="AD288" s="861"/>
      <c r="AE288" s="861"/>
      <c r="AF288" s="861"/>
      <c r="AG288" s="861"/>
    </row>
    <row r="289" spans="1:33" ht="17.25" customHeight="1">
      <c r="A289" s="861"/>
      <c r="B289" s="861"/>
      <c r="C289" s="861"/>
      <c r="D289" s="861"/>
      <c r="E289" s="861"/>
      <c r="F289" s="861"/>
      <c r="G289" s="861"/>
      <c r="H289" s="861"/>
      <c r="I289" s="861"/>
      <c r="J289" s="861"/>
      <c r="K289" s="861"/>
      <c r="L289" s="861"/>
      <c r="M289" s="861"/>
      <c r="N289" s="861"/>
      <c r="O289" s="861"/>
      <c r="P289" s="861"/>
      <c r="Q289" s="861"/>
      <c r="R289" s="861"/>
      <c r="S289" s="861"/>
      <c r="T289" s="861"/>
      <c r="U289" s="861"/>
      <c r="V289" s="861"/>
      <c r="W289" s="861"/>
      <c r="X289" s="861"/>
      <c r="Y289" s="861"/>
      <c r="Z289" s="861"/>
      <c r="AA289" s="861"/>
      <c r="AB289" s="861"/>
      <c r="AC289" s="861"/>
      <c r="AD289" s="861"/>
      <c r="AE289" s="861"/>
      <c r="AF289" s="861"/>
      <c r="AG289" s="861"/>
    </row>
    <row r="290" spans="1:33" ht="17.25" customHeight="1">
      <c r="A290" s="861"/>
      <c r="B290" s="861"/>
      <c r="C290" s="861"/>
      <c r="D290" s="861"/>
      <c r="E290" s="861"/>
      <c r="F290" s="861"/>
      <c r="G290" s="861"/>
      <c r="H290" s="861"/>
      <c r="I290" s="861"/>
      <c r="J290" s="861"/>
      <c r="K290" s="861"/>
      <c r="L290" s="861"/>
      <c r="M290" s="861"/>
      <c r="N290" s="861"/>
      <c r="O290" s="861"/>
      <c r="P290" s="861"/>
      <c r="Q290" s="861"/>
      <c r="R290" s="861"/>
      <c r="S290" s="861"/>
      <c r="T290" s="861"/>
      <c r="U290" s="861"/>
      <c r="V290" s="861"/>
      <c r="W290" s="861"/>
      <c r="X290" s="861"/>
      <c r="Y290" s="861"/>
      <c r="Z290" s="861"/>
      <c r="AA290" s="861"/>
      <c r="AB290" s="861"/>
      <c r="AC290" s="861"/>
      <c r="AD290" s="861"/>
      <c r="AE290" s="861"/>
      <c r="AF290" s="861"/>
      <c r="AG290" s="861"/>
    </row>
    <row r="291" spans="1:33" ht="17.25" customHeight="1">
      <c r="A291" s="861"/>
      <c r="B291" s="861"/>
      <c r="C291" s="861"/>
      <c r="D291" s="861"/>
      <c r="E291" s="861"/>
      <c r="F291" s="861"/>
      <c r="G291" s="861"/>
      <c r="H291" s="861"/>
      <c r="I291" s="861"/>
      <c r="J291" s="861"/>
      <c r="K291" s="861"/>
      <c r="L291" s="861"/>
      <c r="M291" s="861"/>
      <c r="N291" s="861"/>
      <c r="O291" s="861"/>
      <c r="P291" s="861"/>
      <c r="Q291" s="861"/>
      <c r="R291" s="861"/>
      <c r="S291" s="861"/>
      <c r="T291" s="861"/>
      <c r="U291" s="861"/>
      <c r="V291" s="861"/>
      <c r="W291" s="861"/>
      <c r="X291" s="861"/>
      <c r="Y291" s="861"/>
      <c r="Z291" s="861"/>
      <c r="AA291" s="861"/>
      <c r="AB291" s="861"/>
      <c r="AC291" s="861"/>
      <c r="AD291" s="861"/>
      <c r="AE291" s="861"/>
      <c r="AF291" s="861"/>
      <c r="AG291" s="861"/>
    </row>
    <row r="292" spans="1:33" ht="17.25" customHeight="1">
      <c r="A292" s="861"/>
      <c r="B292" s="861"/>
      <c r="C292" s="861"/>
      <c r="D292" s="861"/>
      <c r="E292" s="861"/>
      <c r="F292" s="861"/>
      <c r="G292" s="861"/>
      <c r="H292" s="861"/>
      <c r="I292" s="861"/>
      <c r="J292" s="861"/>
      <c r="K292" s="861"/>
      <c r="L292" s="861"/>
      <c r="M292" s="861"/>
      <c r="N292" s="861"/>
      <c r="O292" s="861"/>
      <c r="P292" s="861"/>
      <c r="Q292" s="861"/>
      <c r="R292" s="861"/>
      <c r="S292" s="861"/>
      <c r="T292" s="861"/>
      <c r="U292" s="861"/>
      <c r="V292" s="861"/>
      <c r="W292" s="861"/>
      <c r="X292" s="861"/>
      <c r="Y292" s="861"/>
      <c r="Z292" s="861"/>
      <c r="AA292" s="861"/>
      <c r="AB292" s="861"/>
      <c r="AC292" s="861"/>
      <c r="AD292" s="861"/>
      <c r="AE292" s="861"/>
      <c r="AF292" s="861"/>
      <c r="AG292" s="861"/>
    </row>
    <row r="293" spans="1:33" ht="17.25" customHeight="1">
      <c r="A293" s="861"/>
      <c r="B293" s="861"/>
      <c r="C293" s="861"/>
      <c r="D293" s="861"/>
      <c r="E293" s="861"/>
      <c r="F293" s="861"/>
      <c r="G293" s="861"/>
      <c r="H293" s="861"/>
      <c r="I293" s="861"/>
      <c r="J293" s="861"/>
      <c r="K293" s="861"/>
      <c r="L293" s="861"/>
      <c r="M293" s="861"/>
      <c r="N293" s="861"/>
      <c r="O293" s="861"/>
      <c r="P293" s="861"/>
      <c r="Q293" s="861"/>
      <c r="R293" s="861"/>
      <c r="S293" s="861"/>
      <c r="T293" s="861"/>
      <c r="U293" s="861"/>
      <c r="V293" s="861"/>
      <c r="W293" s="861"/>
      <c r="X293" s="861"/>
      <c r="Y293" s="861"/>
      <c r="Z293" s="861"/>
      <c r="AA293" s="861"/>
      <c r="AB293" s="861"/>
      <c r="AC293" s="861"/>
      <c r="AD293" s="861"/>
      <c r="AE293" s="861"/>
      <c r="AF293" s="861"/>
      <c r="AG293" s="861"/>
    </row>
    <row r="294" spans="1:33" ht="17.25" customHeight="1">
      <c r="A294" s="861"/>
      <c r="B294" s="861"/>
      <c r="C294" s="861"/>
      <c r="D294" s="861"/>
      <c r="E294" s="861"/>
      <c r="F294" s="861"/>
      <c r="G294" s="861"/>
      <c r="H294" s="861"/>
      <c r="I294" s="861"/>
      <c r="J294" s="861"/>
      <c r="K294" s="861"/>
      <c r="L294" s="861"/>
      <c r="M294" s="861"/>
      <c r="N294" s="861"/>
      <c r="O294" s="861"/>
      <c r="P294" s="861"/>
      <c r="Q294" s="861"/>
      <c r="R294" s="861"/>
      <c r="S294" s="861"/>
      <c r="T294" s="861"/>
      <c r="U294" s="861"/>
      <c r="V294" s="861"/>
      <c r="W294" s="861"/>
      <c r="X294" s="861"/>
      <c r="Y294" s="861"/>
      <c r="Z294" s="861"/>
      <c r="AA294" s="861"/>
      <c r="AB294" s="861"/>
      <c r="AC294" s="861"/>
      <c r="AD294" s="861"/>
      <c r="AE294" s="861"/>
      <c r="AF294" s="861"/>
      <c r="AG294" s="861"/>
    </row>
    <row r="295" spans="1:33" ht="17.25" customHeight="1">
      <c r="A295" s="861"/>
      <c r="B295" s="861"/>
      <c r="C295" s="861"/>
      <c r="D295" s="861"/>
      <c r="E295" s="861"/>
      <c r="F295" s="861"/>
      <c r="G295" s="861"/>
      <c r="H295" s="861"/>
      <c r="I295" s="861"/>
      <c r="J295" s="861"/>
      <c r="K295" s="861"/>
      <c r="L295" s="861"/>
      <c r="M295" s="861"/>
      <c r="N295" s="861"/>
      <c r="O295" s="861"/>
      <c r="P295" s="861"/>
      <c r="Q295" s="861"/>
      <c r="R295" s="861"/>
      <c r="S295" s="861"/>
      <c r="T295" s="861"/>
      <c r="U295" s="861"/>
      <c r="V295" s="861"/>
      <c r="W295" s="861"/>
      <c r="X295" s="861"/>
      <c r="Y295" s="861"/>
      <c r="Z295" s="861"/>
      <c r="AA295" s="861"/>
      <c r="AB295" s="861"/>
      <c r="AC295" s="861"/>
      <c r="AD295" s="861"/>
      <c r="AE295" s="861"/>
      <c r="AF295" s="861"/>
      <c r="AG295" s="861"/>
    </row>
    <row r="296" spans="1:33" ht="17.25" customHeight="1">
      <c r="A296" s="861"/>
      <c r="B296" s="861"/>
      <c r="C296" s="861"/>
      <c r="D296" s="861"/>
      <c r="E296" s="861"/>
      <c r="F296" s="861"/>
      <c r="G296" s="861"/>
      <c r="H296" s="861"/>
      <c r="I296" s="861"/>
      <c r="J296" s="861"/>
      <c r="K296" s="861"/>
      <c r="L296" s="861"/>
      <c r="M296" s="861"/>
      <c r="N296" s="861"/>
      <c r="O296" s="861"/>
      <c r="P296" s="861"/>
      <c r="Q296" s="861"/>
      <c r="R296" s="861"/>
      <c r="S296" s="861"/>
      <c r="T296" s="861"/>
      <c r="U296" s="861"/>
      <c r="V296" s="861"/>
      <c r="W296" s="861"/>
      <c r="X296" s="861"/>
      <c r="Y296" s="861"/>
      <c r="Z296" s="861"/>
      <c r="AA296" s="861"/>
      <c r="AB296" s="861"/>
      <c r="AC296" s="861"/>
      <c r="AD296" s="861"/>
      <c r="AE296" s="861"/>
      <c r="AF296" s="861"/>
      <c r="AG296" s="861"/>
    </row>
    <row r="297" spans="1:33" ht="17.25" customHeight="1">
      <c r="A297" s="861"/>
      <c r="B297" s="861"/>
      <c r="C297" s="861"/>
      <c r="D297" s="861"/>
      <c r="E297" s="861"/>
      <c r="F297" s="861"/>
      <c r="G297" s="861"/>
      <c r="H297" s="861"/>
      <c r="I297" s="861"/>
      <c r="J297" s="861"/>
      <c r="K297" s="861"/>
      <c r="L297" s="861"/>
      <c r="M297" s="861"/>
      <c r="N297" s="861"/>
      <c r="O297" s="861"/>
      <c r="P297" s="861"/>
      <c r="Q297" s="861"/>
      <c r="R297" s="861"/>
      <c r="S297" s="861"/>
      <c r="T297" s="861"/>
      <c r="U297" s="861"/>
      <c r="V297" s="861"/>
      <c r="W297" s="861"/>
      <c r="X297" s="861"/>
      <c r="Y297" s="861"/>
      <c r="Z297" s="861"/>
      <c r="AA297" s="861"/>
      <c r="AB297" s="861"/>
      <c r="AC297" s="861"/>
      <c r="AD297" s="861"/>
      <c r="AE297" s="861"/>
      <c r="AF297" s="861"/>
      <c r="AG297" s="861"/>
    </row>
    <row r="298" spans="1:33" ht="17.25" customHeight="1">
      <c r="A298" s="861"/>
      <c r="B298" s="861"/>
      <c r="C298" s="861"/>
      <c r="D298" s="861"/>
      <c r="E298" s="861"/>
      <c r="F298" s="861"/>
      <c r="G298" s="861"/>
      <c r="H298" s="861"/>
      <c r="I298" s="861"/>
      <c r="J298" s="861"/>
      <c r="K298" s="861"/>
      <c r="L298" s="861"/>
      <c r="M298" s="861"/>
      <c r="N298" s="861"/>
      <c r="O298" s="861"/>
      <c r="P298" s="861"/>
      <c r="Q298" s="861"/>
      <c r="R298" s="861"/>
      <c r="S298" s="861"/>
      <c r="T298" s="861"/>
      <c r="U298" s="861"/>
      <c r="V298" s="861"/>
      <c r="W298" s="861"/>
      <c r="X298" s="861"/>
      <c r="Y298" s="861"/>
      <c r="Z298" s="861"/>
      <c r="AA298" s="861"/>
      <c r="AB298" s="861"/>
      <c r="AC298" s="861"/>
      <c r="AD298" s="861"/>
      <c r="AE298" s="861"/>
      <c r="AF298" s="861"/>
      <c r="AG298" s="861"/>
    </row>
    <row r="299" spans="1:33" ht="17.25" customHeight="1">
      <c r="A299" s="861"/>
      <c r="B299" s="861"/>
      <c r="C299" s="861"/>
      <c r="D299" s="861"/>
      <c r="E299" s="861"/>
      <c r="F299" s="861"/>
      <c r="G299" s="861"/>
      <c r="H299" s="861"/>
      <c r="I299" s="861"/>
      <c r="J299" s="861"/>
      <c r="K299" s="861"/>
      <c r="L299" s="861"/>
      <c r="M299" s="861"/>
      <c r="N299" s="861"/>
      <c r="O299" s="861"/>
      <c r="P299" s="861"/>
      <c r="Q299" s="861"/>
      <c r="R299" s="861"/>
      <c r="S299" s="861"/>
      <c r="T299" s="861"/>
      <c r="U299" s="861"/>
      <c r="V299" s="861"/>
      <c r="W299" s="861"/>
      <c r="X299" s="861"/>
      <c r="Y299" s="861"/>
      <c r="Z299" s="861"/>
      <c r="AA299" s="861"/>
      <c r="AB299" s="861"/>
      <c r="AC299" s="861"/>
      <c r="AD299" s="861"/>
      <c r="AE299" s="861"/>
      <c r="AF299" s="861"/>
      <c r="AG299" s="861"/>
    </row>
    <row r="300" spans="1:33" ht="17.25" customHeight="1">
      <c r="A300" s="861"/>
      <c r="B300" s="861"/>
      <c r="C300" s="861"/>
      <c r="D300" s="861"/>
      <c r="E300" s="861"/>
      <c r="F300" s="861"/>
      <c r="G300" s="861"/>
      <c r="H300" s="861"/>
      <c r="I300" s="861"/>
      <c r="J300" s="861"/>
      <c r="K300" s="861"/>
      <c r="L300" s="861"/>
      <c r="M300" s="861"/>
      <c r="N300" s="861"/>
      <c r="O300" s="861"/>
      <c r="P300" s="861"/>
      <c r="Q300" s="861"/>
      <c r="R300" s="861"/>
      <c r="S300" s="861"/>
      <c r="T300" s="861"/>
      <c r="U300" s="861"/>
      <c r="V300" s="861"/>
      <c r="W300" s="861"/>
      <c r="X300" s="861"/>
      <c r="Y300" s="861"/>
      <c r="Z300" s="861"/>
      <c r="AA300" s="861"/>
      <c r="AB300" s="861"/>
      <c r="AC300" s="861"/>
      <c r="AD300" s="861"/>
      <c r="AE300" s="861"/>
      <c r="AF300" s="861"/>
      <c r="AG300" s="861"/>
    </row>
    <row r="301" spans="1:33" ht="17.25" customHeight="1">
      <c r="A301" s="861"/>
      <c r="B301" s="861"/>
      <c r="C301" s="861"/>
      <c r="D301" s="861"/>
      <c r="E301" s="861"/>
      <c r="F301" s="861"/>
      <c r="G301" s="861"/>
      <c r="H301" s="861"/>
      <c r="I301" s="861"/>
      <c r="J301" s="861"/>
      <c r="K301" s="861"/>
      <c r="L301" s="861"/>
      <c r="M301" s="861"/>
      <c r="N301" s="861"/>
      <c r="O301" s="861"/>
      <c r="P301" s="861"/>
      <c r="Q301" s="861"/>
      <c r="R301" s="861"/>
      <c r="S301" s="861"/>
      <c r="T301" s="861"/>
      <c r="U301" s="861"/>
      <c r="V301" s="861"/>
      <c r="W301" s="861"/>
      <c r="X301" s="861"/>
      <c r="Y301" s="861"/>
      <c r="Z301" s="861"/>
      <c r="AA301" s="861"/>
      <c r="AB301" s="861"/>
      <c r="AC301" s="861"/>
      <c r="AD301" s="861"/>
      <c r="AE301" s="861"/>
      <c r="AF301" s="861"/>
      <c r="AG301" s="861"/>
    </row>
    <row r="302" spans="1:33" ht="17.25" customHeight="1">
      <c r="A302" s="861"/>
      <c r="B302" s="861"/>
      <c r="C302" s="861"/>
      <c r="D302" s="861"/>
      <c r="E302" s="861"/>
      <c r="F302" s="861"/>
      <c r="G302" s="861"/>
      <c r="H302" s="861"/>
      <c r="I302" s="861"/>
      <c r="J302" s="861"/>
      <c r="K302" s="861"/>
      <c r="L302" s="861"/>
      <c r="M302" s="861"/>
      <c r="N302" s="861"/>
      <c r="O302" s="861"/>
      <c r="P302" s="861"/>
      <c r="Q302" s="861"/>
      <c r="R302" s="861"/>
      <c r="S302" s="861"/>
      <c r="T302" s="861"/>
      <c r="U302" s="861"/>
      <c r="V302" s="861"/>
      <c r="W302" s="861"/>
      <c r="X302" s="861"/>
      <c r="Y302" s="861"/>
      <c r="Z302" s="861"/>
      <c r="AA302" s="861"/>
      <c r="AB302" s="861"/>
      <c r="AC302" s="861"/>
      <c r="AD302" s="861"/>
      <c r="AE302" s="861"/>
      <c r="AF302" s="861"/>
      <c r="AG302" s="861"/>
    </row>
    <row r="303" spans="1:33" ht="17.25" customHeight="1">
      <c r="A303" s="861"/>
      <c r="B303" s="861"/>
      <c r="C303" s="861"/>
      <c r="D303" s="861"/>
      <c r="E303" s="861"/>
      <c r="F303" s="861"/>
      <c r="G303" s="861"/>
      <c r="H303" s="861"/>
      <c r="I303" s="861"/>
      <c r="J303" s="861"/>
      <c r="K303" s="861"/>
      <c r="L303" s="861"/>
      <c r="M303" s="861"/>
      <c r="N303" s="861"/>
      <c r="O303" s="861"/>
      <c r="P303" s="861"/>
      <c r="Q303" s="861"/>
      <c r="R303" s="861"/>
      <c r="S303" s="861"/>
      <c r="T303" s="861"/>
      <c r="U303" s="861"/>
      <c r="V303" s="861"/>
      <c r="W303" s="861"/>
      <c r="X303" s="861"/>
      <c r="Y303" s="861"/>
      <c r="Z303" s="861"/>
      <c r="AA303" s="861"/>
      <c r="AB303" s="861"/>
      <c r="AC303" s="861"/>
      <c r="AD303" s="861"/>
      <c r="AE303" s="861"/>
      <c r="AF303" s="861"/>
      <c r="AG303" s="861"/>
    </row>
    <row r="304" spans="1:33" ht="17.25" customHeight="1">
      <c r="A304" s="861"/>
      <c r="B304" s="861"/>
      <c r="C304" s="861"/>
      <c r="D304" s="861"/>
      <c r="E304" s="861"/>
      <c r="F304" s="861"/>
      <c r="G304" s="861"/>
      <c r="H304" s="861"/>
      <c r="I304" s="861"/>
      <c r="J304" s="861"/>
      <c r="K304" s="861"/>
      <c r="L304" s="861"/>
      <c r="M304" s="861"/>
      <c r="N304" s="861"/>
      <c r="O304" s="861"/>
      <c r="P304" s="861"/>
      <c r="Q304" s="861"/>
      <c r="R304" s="861"/>
      <c r="S304" s="861"/>
      <c r="T304" s="861"/>
      <c r="U304" s="861"/>
      <c r="V304" s="861"/>
      <c r="W304" s="861"/>
      <c r="X304" s="861"/>
      <c r="Y304" s="861"/>
      <c r="Z304" s="861"/>
      <c r="AA304" s="861"/>
      <c r="AB304" s="861"/>
      <c r="AC304" s="861"/>
      <c r="AD304" s="861"/>
      <c r="AE304" s="861"/>
      <c r="AF304" s="861"/>
      <c r="AG304" s="861"/>
    </row>
    <row r="305" spans="1:33" ht="17.25" customHeight="1">
      <c r="A305" s="861"/>
      <c r="B305" s="861"/>
      <c r="C305" s="861"/>
      <c r="D305" s="861"/>
      <c r="E305" s="861"/>
      <c r="F305" s="861"/>
      <c r="G305" s="861"/>
      <c r="H305" s="861"/>
      <c r="I305" s="861"/>
      <c r="J305" s="861"/>
      <c r="K305" s="861"/>
      <c r="L305" s="861"/>
      <c r="M305" s="861"/>
      <c r="N305" s="861"/>
      <c r="O305" s="861"/>
      <c r="P305" s="861"/>
      <c r="Q305" s="861"/>
      <c r="R305" s="861"/>
      <c r="S305" s="861"/>
      <c r="T305" s="861"/>
      <c r="U305" s="861"/>
      <c r="V305" s="861"/>
      <c r="W305" s="861"/>
      <c r="X305" s="861"/>
      <c r="Y305" s="861"/>
      <c r="Z305" s="861"/>
      <c r="AA305" s="861"/>
      <c r="AB305" s="861"/>
      <c r="AC305" s="861"/>
      <c r="AD305" s="861"/>
      <c r="AE305" s="861"/>
      <c r="AF305" s="861"/>
      <c r="AG305" s="861"/>
    </row>
    <row r="306" spans="1:33" ht="17.25" customHeight="1">
      <c r="A306" s="861"/>
      <c r="B306" s="861"/>
      <c r="C306" s="861"/>
      <c r="D306" s="861"/>
      <c r="E306" s="861"/>
      <c r="F306" s="861"/>
      <c r="G306" s="861"/>
      <c r="H306" s="861"/>
      <c r="I306" s="861"/>
      <c r="J306" s="861"/>
      <c r="K306" s="861"/>
      <c r="L306" s="861"/>
      <c r="M306" s="861"/>
      <c r="N306" s="861"/>
      <c r="O306" s="861"/>
      <c r="P306" s="861"/>
      <c r="Q306" s="861"/>
      <c r="R306" s="861"/>
      <c r="S306" s="861"/>
      <c r="T306" s="861"/>
      <c r="U306" s="861"/>
      <c r="V306" s="861"/>
      <c r="W306" s="861"/>
      <c r="X306" s="861"/>
      <c r="Y306" s="861"/>
      <c r="Z306" s="861"/>
      <c r="AA306" s="861"/>
      <c r="AB306" s="861"/>
      <c r="AC306" s="861"/>
      <c r="AD306" s="861"/>
      <c r="AE306" s="861"/>
      <c r="AF306" s="861"/>
      <c r="AG306" s="861"/>
    </row>
    <row r="307" spans="1:33" ht="17.25" customHeight="1">
      <c r="A307" s="861"/>
      <c r="B307" s="861"/>
      <c r="C307" s="861"/>
      <c r="D307" s="861"/>
      <c r="E307" s="861"/>
      <c r="F307" s="861"/>
      <c r="G307" s="861"/>
      <c r="H307" s="861"/>
      <c r="I307" s="861"/>
      <c r="J307" s="861"/>
      <c r="K307" s="861"/>
      <c r="L307" s="861"/>
      <c r="M307" s="861"/>
      <c r="N307" s="861"/>
      <c r="O307" s="861"/>
      <c r="P307" s="861"/>
      <c r="Q307" s="861"/>
      <c r="R307" s="861"/>
      <c r="S307" s="861"/>
      <c r="T307" s="861"/>
      <c r="U307" s="861"/>
      <c r="V307" s="861"/>
      <c r="W307" s="861"/>
      <c r="X307" s="861"/>
      <c r="Y307" s="861"/>
      <c r="Z307" s="861"/>
      <c r="AA307" s="861"/>
      <c r="AB307" s="861"/>
      <c r="AC307" s="861"/>
      <c r="AD307" s="861"/>
      <c r="AE307" s="861"/>
      <c r="AF307" s="861"/>
      <c r="AG307" s="861"/>
    </row>
    <row r="308" spans="1:33" ht="17.25" customHeight="1">
      <c r="A308" s="861"/>
      <c r="B308" s="861"/>
      <c r="C308" s="861"/>
      <c r="D308" s="861"/>
      <c r="E308" s="861"/>
      <c r="F308" s="861"/>
      <c r="G308" s="861"/>
      <c r="H308" s="861"/>
      <c r="I308" s="861"/>
      <c r="J308" s="861"/>
      <c r="K308" s="861"/>
      <c r="L308" s="861"/>
      <c r="M308" s="861"/>
      <c r="N308" s="861"/>
      <c r="O308" s="861"/>
      <c r="P308" s="861"/>
      <c r="Q308" s="861"/>
      <c r="R308" s="861"/>
      <c r="S308" s="861"/>
      <c r="T308" s="861"/>
      <c r="U308" s="861"/>
      <c r="V308" s="861"/>
      <c r="W308" s="861"/>
      <c r="X308" s="861"/>
      <c r="Y308" s="861"/>
      <c r="Z308" s="861"/>
      <c r="AA308" s="861"/>
      <c r="AB308" s="861"/>
      <c r="AC308" s="861"/>
      <c r="AD308" s="861"/>
      <c r="AE308" s="861"/>
      <c r="AF308" s="861"/>
      <c r="AG308" s="861"/>
    </row>
    <row r="309" spans="1:33" ht="17.25" customHeight="1">
      <c r="A309" s="861"/>
      <c r="B309" s="861"/>
      <c r="C309" s="861"/>
      <c r="D309" s="861"/>
      <c r="E309" s="861"/>
      <c r="F309" s="861"/>
      <c r="G309" s="861"/>
      <c r="H309" s="861"/>
      <c r="I309" s="861"/>
      <c r="J309" s="861"/>
      <c r="K309" s="861"/>
      <c r="L309" s="861"/>
      <c r="M309" s="861"/>
      <c r="N309" s="861"/>
      <c r="O309" s="861"/>
      <c r="P309" s="861"/>
      <c r="Q309" s="861"/>
      <c r="R309" s="861"/>
      <c r="S309" s="861"/>
      <c r="T309" s="861"/>
      <c r="U309" s="861"/>
      <c r="V309" s="861"/>
      <c r="W309" s="861"/>
      <c r="X309" s="861"/>
      <c r="Y309" s="861"/>
      <c r="Z309" s="861"/>
      <c r="AA309" s="861"/>
      <c r="AB309" s="861"/>
      <c r="AC309" s="861"/>
      <c r="AD309" s="861"/>
      <c r="AE309" s="861"/>
      <c r="AF309" s="861"/>
      <c r="AG309" s="861"/>
    </row>
    <row r="310" spans="1:33" ht="17.25" customHeight="1">
      <c r="A310" s="861"/>
      <c r="B310" s="861"/>
      <c r="C310" s="861"/>
      <c r="D310" s="861"/>
      <c r="E310" s="861"/>
      <c r="F310" s="861"/>
      <c r="G310" s="861"/>
      <c r="H310" s="861"/>
      <c r="I310" s="861"/>
      <c r="J310" s="861"/>
      <c r="K310" s="861"/>
      <c r="L310" s="861"/>
      <c r="M310" s="861"/>
      <c r="N310" s="861"/>
      <c r="O310" s="861"/>
      <c r="P310" s="861"/>
      <c r="Q310" s="861"/>
      <c r="R310" s="861"/>
      <c r="S310" s="861"/>
      <c r="T310" s="861"/>
      <c r="U310" s="861"/>
      <c r="V310" s="861"/>
      <c r="W310" s="861"/>
      <c r="X310" s="861"/>
      <c r="Y310" s="861"/>
      <c r="Z310" s="861"/>
      <c r="AA310" s="861"/>
      <c r="AB310" s="861"/>
      <c r="AC310" s="861"/>
      <c r="AD310" s="861"/>
      <c r="AE310" s="861"/>
      <c r="AF310" s="861"/>
      <c r="AG310" s="861"/>
    </row>
    <row r="311" spans="1:33" ht="17.25" customHeight="1">
      <c r="A311" s="861"/>
      <c r="B311" s="861"/>
      <c r="C311" s="861"/>
      <c r="D311" s="861"/>
      <c r="E311" s="861"/>
      <c r="F311" s="861"/>
      <c r="G311" s="861"/>
      <c r="H311" s="861"/>
      <c r="I311" s="861"/>
      <c r="J311" s="861"/>
      <c r="K311" s="861"/>
      <c r="L311" s="861"/>
      <c r="M311" s="861"/>
      <c r="N311" s="861"/>
      <c r="O311" s="861"/>
      <c r="P311" s="861"/>
      <c r="Q311" s="861"/>
      <c r="R311" s="861"/>
      <c r="S311" s="861"/>
      <c r="T311" s="861"/>
      <c r="U311" s="861"/>
      <c r="V311" s="861"/>
      <c r="W311" s="861"/>
      <c r="X311" s="861"/>
      <c r="Y311" s="861"/>
      <c r="Z311" s="861"/>
      <c r="AA311" s="861"/>
      <c r="AB311" s="861"/>
      <c r="AC311" s="861"/>
      <c r="AD311" s="861"/>
      <c r="AE311" s="861"/>
      <c r="AF311" s="861"/>
      <c r="AG311" s="861"/>
    </row>
    <row r="312" spans="1:33" ht="17.25" customHeight="1">
      <c r="A312" s="861"/>
      <c r="B312" s="861"/>
      <c r="C312" s="861"/>
      <c r="D312" s="861"/>
      <c r="E312" s="861"/>
      <c r="F312" s="861"/>
      <c r="G312" s="861"/>
      <c r="H312" s="861"/>
      <c r="I312" s="861"/>
      <c r="J312" s="861"/>
      <c r="K312" s="861"/>
      <c r="L312" s="861"/>
      <c r="M312" s="861"/>
      <c r="N312" s="861"/>
      <c r="O312" s="861"/>
      <c r="P312" s="861"/>
      <c r="Q312" s="861"/>
      <c r="R312" s="861"/>
      <c r="S312" s="861"/>
      <c r="T312" s="861"/>
      <c r="U312" s="861"/>
      <c r="V312" s="861"/>
      <c r="W312" s="861"/>
      <c r="X312" s="861"/>
      <c r="Y312" s="861"/>
      <c r="Z312" s="861"/>
      <c r="AA312" s="861"/>
      <c r="AB312" s="861"/>
      <c r="AC312" s="861"/>
      <c r="AD312" s="861"/>
      <c r="AE312" s="861"/>
      <c r="AF312" s="861"/>
      <c r="AG312" s="861"/>
    </row>
    <row r="313" spans="1:33" ht="17.25" customHeight="1">
      <c r="A313" s="861"/>
      <c r="B313" s="861"/>
      <c r="C313" s="861"/>
      <c r="D313" s="861"/>
      <c r="E313" s="861"/>
      <c r="F313" s="861"/>
      <c r="G313" s="861"/>
      <c r="H313" s="861"/>
      <c r="I313" s="861"/>
      <c r="J313" s="861"/>
      <c r="K313" s="861"/>
      <c r="L313" s="861"/>
      <c r="M313" s="861"/>
      <c r="N313" s="861"/>
      <c r="O313" s="861"/>
      <c r="P313" s="861"/>
      <c r="Q313" s="861"/>
      <c r="R313" s="861"/>
      <c r="S313" s="861"/>
      <c r="T313" s="861"/>
      <c r="U313" s="861"/>
      <c r="V313" s="861"/>
      <c r="W313" s="861"/>
      <c r="X313" s="861"/>
      <c r="Y313" s="861"/>
      <c r="Z313" s="861"/>
      <c r="AA313" s="861"/>
      <c r="AB313" s="861"/>
      <c r="AC313" s="861"/>
      <c r="AD313" s="861"/>
      <c r="AE313" s="861"/>
      <c r="AF313" s="861"/>
      <c r="AG313" s="861"/>
    </row>
    <row r="314" spans="1:33" ht="17.25" customHeight="1">
      <c r="A314" s="861"/>
      <c r="B314" s="861"/>
      <c r="C314" s="861"/>
      <c r="D314" s="861"/>
      <c r="E314" s="861"/>
      <c r="F314" s="861"/>
      <c r="G314" s="861"/>
      <c r="H314" s="861"/>
      <c r="I314" s="861"/>
      <c r="J314" s="861"/>
      <c r="K314" s="861"/>
      <c r="L314" s="861"/>
      <c r="M314" s="861"/>
      <c r="N314" s="861"/>
      <c r="O314" s="861"/>
      <c r="P314" s="861"/>
      <c r="Q314" s="861"/>
      <c r="R314" s="861"/>
      <c r="S314" s="861"/>
      <c r="T314" s="861"/>
      <c r="U314" s="861"/>
      <c r="V314" s="861"/>
      <c r="W314" s="861"/>
      <c r="X314" s="861"/>
      <c r="Y314" s="861"/>
      <c r="Z314" s="861"/>
      <c r="AA314" s="861"/>
      <c r="AB314" s="861"/>
      <c r="AC314" s="861"/>
      <c r="AD314" s="861"/>
      <c r="AE314" s="861"/>
      <c r="AF314" s="861"/>
      <c r="AG314" s="861"/>
    </row>
    <row r="315" spans="1:33" ht="17.25" customHeight="1">
      <c r="A315" s="861"/>
      <c r="B315" s="861"/>
      <c r="C315" s="861"/>
      <c r="D315" s="861"/>
      <c r="E315" s="861"/>
      <c r="F315" s="861"/>
      <c r="G315" s="861"/>
      <c r="H315" s="861"/>
      <c r="I315" s="861"/>
      <c r="J315" s="861"/>
      <c r="K315" s="861"/>
      <c r="L315" s="861"/>
      <c r="M315" s="861"/>
      <c r="N315" s="861"/>
      <c r="O315" s="861"/>
      <c r="P315" s="861"/>
      <c r="Q315" s="861"/>
      <c r="R315" s="861"/>
      <c r="S315" s="861"/>
      <c r="T315" s="861"/>
      <c r="U315" s="861"/>
      <c r="V315" s="861"/>
      <c r="W315" s="861"/>
      <c r="X315" s="861"/>
      <c r="Y315" s="861"/>
      <c r="Z315" s="861"/>
      <c r="AA315" s="861"/>
      <c r="AB315" s="861"/>
      <c r="AC315" s="861"/>
      <c r="AD315" s="861"/>
      <c r="AE315" s="861"/>
      <c r="AF315" s="861"/>
      <c r="AG315" s="861"/>
    </row>
    <row r="316" spans="1:33" ht="17.25" customHeight="1">
      <c r="A316" s="861"/>
      <c r="B316" s="861"/>
      <c r="C316" s="861"/>
      <c r="D316" s="861"/>
      <c r="E316" s="861"/>
      <c r="F316" s="861"/>
      <c r="G316" s="861"/>
      <c r="H316" s="861"/>
      <c r="I316" s="861"/>
      <c r="J316" s="861"/>
      <c r="K316" s="861"/>
      <c r="L316" s="861"/>
      <c r="M316" s="861"/>
      <c r="N316" s="861"/>
      <c r="O316" s="861"/>
      <c r="P316" s="861"/>
      <c r="Q316" s="861"/>
      <c r="R316" s="861"/>
      <c r="S316" s="861"/>
      <c r="T316" s="861"/>
      <c r="U316" s="861"/>
      <c r="V316" s="861"/>
      <c r="W316" s="861"/>
      <c r="X316" s="861"/>
      <c r="Y316" s="861"/>
      <c r="Z316" s="861"/>
      <c r="AA316" s="861"/>
      <c r="AB316" s="861"/>
      <c r="AC316" s="861"/>
      <c r="AD316" s="861"/>
      <c r="AE316" s="861"/>
      <c r="AF316" s="861"/>
      <c r="AG316" s="861"/>
    </row>
    <row r="317" spans="1:33" ht="17.25" customHeight="1">
      <c r="A317" s="861"/>
      <c r="B317" s="861"/>
      <c r="C317" s="861"/>
      <c r="D317" s="861"/>
      <c r="E317" s="861"/>
      <c r="F317" s="861"/>
      <c r="G317" s="861"/>
      <c r="H317" s="861"/>
      <c r="I317" s="861"/>
      <c r="J317" s="861"/>
      <c r="K317" s="861"/>
      <c r="L317" s="861"/>
      <c r="M317" s="861"/>
      <c r="N317" s="861"/>
      <c r="O317" s="861"/>
      <c r="P317" s="861"/>
      <c r="Q317" s="861"/>
      <c r="R317" s="861"/>
      <c r="S317" s="861"/>
      <c r="T317" s="861"/>
      <c r="U317" s="861"/>
      <c r="V317" s="861"/>
      <c r="W317" s="861"/>
      <c r="X317" s="861"/>
      <c r="Y317" s="861"/>
      <c r="Z317" s="861"/>
      <c r="AA317" s="861"/>
      <c r="AB317" s="861"/>
      <c r="AC317" s="861"/>
      <c r="AD317" s="861"/>
      <c r="AE317" s="861"/>
      <c r="AF317" s="861"/>
      <c r="AG317" s="861"/>
    </row>
    <row r="318" spans="1:33" ht="17.25" customHeight="1">
      <c r="A318" s="861"/>
      <c r="B318" s="861"/>
      <c r="C318" s="861"/>
      <c r="D318" s="861"/>
      <c r="E318" s="861"/>
      <c r="F318" s="861"/>
      <c r="G318" s="861"/>
      <c r="H318" s="861"/>
      <c r="I318" s="861"/>
      <c r="J318" s="861"/>
      <c r="K318" s="861"/>
      <c r="L318" s="861"/>
      <c r="M318" s="861"/>
      <c r="N318" s="861"/>
      <c r="O318" s="861"/>
      <c r="P318" s="861"/>
      <c r="Q318" s="861"/>
      <c r="R318" s="861"/>
      <c r="S318" s="861"/>
      <c r="T318" s="861"/>
      <c r="U318" s="861"/>
      <c r="V318" s="861"/>
      <c r="W318" s="861"/>
      <c r="X318" s="861"/>
      <c r="Y318" s="861"/>
      <c r="Z318" s="861"/>
      <c r="AA318" s="861"/>
      <c r="AB318" s="861"/>
      <c r="AC318" s="861"/>
      <c r="AD318" s="861"/>
      <c r="AE318" s="861"/>
      <c r="AF318" s="861"/>
      <c r="AG318" s="861"/>
    </row>
    <row r="319" spans="1:33" ht="17.25" customHeight="1">
      <c r="A319" s="861"/>
      <c r="B319" s="861"/>
      <c r="C319" s="861"/>
      <c r="D319" s="861"/>
      <c r="E319" s="861"/>
      <c r="F319" s="861"/>
      <c r="G319" s="861"/>
      <c r="H319" s="861"/>
      <c r="I319" s="861"/>
      <c r="J319" s="861"/>
      <c r="K319" s="861"/>
      <c r="L319" s="861"/>
      <c r="M319" s="861"/>
      <c r="N319" s="861"/>
      <c r="O319" s="861"/>
      <c r="P319" s="861"/>
      <c r="Q319" s="861"/>
      <c r="R319" s="861"/>
      <c r="S319" s="861"/>
      <c r="T319" s="861"/>
      <c r="U319" s="861"/>
      <c r="V319" s="861"/>
      <c r="W319" s="861"/>
      <c r="X319" s="861"/>
      <c r="Y319" s="861"/>
      <c r="Z319" s="861"/>
      <c r="AA319" s="861"/>
      <c r="AB319" s="861"/>
      <c r="AC319" s="861"/>
      <c r="AD319" s="861"/>
      <c r="AE319" s="861"/>
      <c r="AF319" s="861"/>
      <c r="AG319" s="861"/>
    </row>
    <row r="320" spans="1:33" ht="17.25" customHeight="1">
      <c r="A320" s="861"/>
      <c r="B320" s="861"/>
      <c r="C320" s="861"/>
      <c r="D320" s="861"/>
      <c r="E320" s="861"/>
      <c r="F320" s="861"/>
      <c r="G320" s="861"/>
      <c r="H320" s="861"/>
      <c r="I320" s="861"/>
      <c r="J320" s="861"/>
      <c r="K320" s="861"/>
      <c r="L320" s="861"/>
      <c r="M320" s="861"/>
      <c r="N320" s="861"/>
      <c r="O320" s="861"/>
      <c r="P320" s="861"/>
      <c r="Q320" s="861"/>
      <c r="R320" s="861"/>
      <c r="S320" s="861"/>
      <c r="T320" s="861"/>
      <c r="U320" s="861"/>
      <c r="V320" s="861"/>
      <c r="W320" s="861"/>
      <c r="X320" s="861"/>
      <c r="Y320" s="861"/>
      <c r="Z320" s="861"/>
      <c r="AA320" s="861"/>
      <c r="AB320" s="861"/>
      <c r="AC320" s="861"/>
      <c r="AD320" s="861"/>
      <c r="AE320" s="861"/>
      <c r="AF320" s="861"/>
      <c r="AG320" s="861"/>
    </row>
    <row r="321" spans="1:33" ht="17.25" customHeight="1">
      <c r="A321" s="861"/>
      <c r="B321" s="861"/>
      <c r="C321" s="861"/>
      <c r="D321" s="861"/>
      <c r="E321" s="861"/>
      <c r="F321" s="861"/>
      <c r="G321" s="861"/>
      <c r="H321" s="861"/>
      <c r="I321" s="861"/>
      <c r="J321" s="861"/>
      <c r="K321" s="861"/>
      <c r="L321" s="861"/>
      <c r="M321" s="861"/>
      <c r="N321" s="861"/>
      <c r="O321" s="861"/>
      <c r="P321" s="861"/>
      <c r="Q321" s="861"/>
      <c r="R321" s="861"/>
      <c r="S321" s="861"/>
      <c r="T321" s="861"/>
      <c r="U321" s="861"/>
      <c r="V321" s="861"/>
      <c r="W321" s="861"/>
      <c r="X321" s="861"/>
      <c r="Y321" s="861"/>
      <c r="Z321" s="861"/>
      <c r="AA321" s="861"/>
      <c r="AB321" s="861"/>
      <c r="AC321" s="861"/>
      <c r="AD321" s="861"/>
      <c r="AE321" s="861"/>
      <c r="AF321" s="861"/>
      <c r="AG321" s="861"/>
    </row>
    <row r="322" spans="1:33" ht="17.25" customHeight="1">
      <c r="A322" s="861"/>
      <c r="B322" s="861"/>
      <c r="C322" s="861"/>
      <c r="D322" s="861"/>
      <c r="E322" s="861"/>
      <c r="F322" s="861"/>
      <c r="G322" s="861"/>
      <c r="H322" s="861"/>
      <c r="I322" s="861"/>
      <c r="J322" s="861"/>
      <c r="K322" s="861"/>
      <c r="L322" s="861"/>
      <c r="M322" s="861"/>
      <c r="N322" s="861"/>
      <c r="O322" s="861"/>
      <c r="P322" s="861"/>
      <c r="Q322" s="861"/>
      <c r="R322" s="861"/>
      <c r="S322" s="861"/>
      <c r="T322" s="861"/>
      <c r="U322" s="861"/>
      <c r="V322" s="861"/>
      <c r="W322" s="861"/>
      <c r="X322" s="861"/>
      <c r="Y322" s="861"/>
      <c r="Z322" s="861"/>
      <c r="AA322" s="861"/>
      <c r="AB322" s="861"/>
      <c r="AC322" s="861"/>
      <c r="AD322" s="861"/>
      <c r="AE322" s="861"/>
      <c r="AF322" s="861"/>
      <c r="AG322" s="861"/>
    </row>
    <row r="323" spans="1:33" ht="17.25" customHeight="1">
      <c r="A323" s="861"/>
      <c r="B323" s="861"/>
      <c r="C323" s="861"/>
      <c r="D323" s="861"/>
      <c r="E323" s="861"/>
      <c r="F323" s="861"/>
      <c r="G323" s="861"/>
      <c r="H323" s="861"/>
      <c r="I323" s="861"/>
      <c r="J323" s="861"/>
      <c r="K323" s="861"/>
      <c r="L323" s="861"/>
      <c r="M323" s="861"/>
      <c r="N323" s="861"/>
      <c r="O323" s="861"/>
      <c r="P323" s="861"/>
      <c r="Q323" s="861"/>
      <c r="R323" s="861"/>
      <c r="S323" s="861"/>
      <c r="T323" s="861"/>
      <c r="U323" s="861"/>
      <c r="V323" s="861"/>
      <c r="W323" s="861"/>
      <c r="X323" s="861"/>
      <c r="Y323" s="861"/>
      <c r="Z323" s="861"/>
      <c r="AA323" s="861"/>
      <c r="AB323" s="861"/>
      <c r="AC323" s="861"/>
      <c r="AD323" s="861"/>
      <c r="AE323" s="861"/>
      <c r="AF323" s="861"/>
      <c r="AG323" s="861"/>
    </row>
    <row r="324" spans="1:33" ht="17.25" customHeight="1">
      <c r="A324" s="861"/>
      <c r="B324" s="861"/>
      <c r="C324" s="861"/>
      <c r="D324" s="861"/>
      <c r="E324" s="861"/>
      <c r="F324" s="861"/>
      <c r="G324" s="861"/>
      <c r="H324" s="861"/>
      <c r="I324" s="861"/>
      <c r="J324" s="861"/>
      <c r="K324" s="861"/>
      <c r="L324" s="861"/>
      <c r="M324" s="861"/>
      <c r="N324" s="861"/>
      <c r="O324" s="861"/>
      <c r="P324" s="861"/>
      <c r="Q324" s="861"/>
      <c r="R324" s="861"/>
      <c r="S324" s="861"/>
      <c r="T324" s="861"/>
      <c r="U324" s="861"/>
      <c r="V324" s="861"/>
      <c r="W324" s="861"/>
      <c r="X324" s="861"/>
      <c r="Y324" s="861"/>
      <c r="Z324" s="861"/>
      <c r="AA324" s="861"/>
      <c r="AB324" s="861"/>
      <c r="AC324" s="861"/>
      <c r="AD324" s="861"/>
      <c r="AE324" s="861"/>
      <c r="AF324" s="861"/>
      <c r="AG324" s="861"/>
    </row>
    <row r="325" spans="1:33" ht="17.25" customHeight="1">
      <c r="A325" s="861"/>
      <c r="B325" s="861"/>
      <c r="C325" s="861"/>
      <c r="D325" s="861"/>
      <c r="E325" s="861"/>
      <c r="F325" s="861"/>
      <c r="G325" s="861"/>
      <c r="H325" s="861"/>
      <c r="I325" s="861"/>
      <c r="J325" s="861"/>
      <c r="K325" s="861"/>
      <c r="L325" s="861"/>
      <c r="M325" s="861"/>
      <c r="N325" s="861"/>
      <c r="O325" s="861"/>
      <c r="P325" s="861"/>
      <c r="Q325" s="861"/>
      <c r="R325" s="861"/>
      <c r="S325" s="861"/>
      <c r="T325" s="861"/>
      <c r="U325" s="861"/>
      <c r="V325" s="861"/>
      <c r="W325" s="861"/>
      <c r="X325" s="861"/>
      <c r="Y325" s="861"/>
      <c r="Z325" s="861"/>
      <c r="AA325" s="861"/>
      <c r="AB325" s="861"/>
      <c r="AC325" s="861"/>
      <c r="AD325" s="861"/>
      <c r="AE325" s="861"/>
      <c r="AF325" s="861"/>
      <c r="AG325" s="861"/>
    </row>
    <row r="326" spans="1:33" ht="17.25" customHeight="1">
      <c r="A326" s="861"/>
      <c r="B326" s="861"/>
      <c r="C326" s="861"/>
      <c r="D326" s="861"/>
      <c r="E326" s="861"/>
      <c r="F326" s="861"/>
      <c r="G326" s="861"/>
      <c r="H326" s="861"/>
      <c r="I326" s="861"/>
      <c r="J326" s="861"/>
      <c r="K326" s="861"/>
      <c r="L326" s="861"/>
      <c r="M326" s="861"/>
      <c r="N326" s="861"/>
      <c r="O326" s="861"/>
      <c r="P326" s="861"/>
      <c r="Q326" s="861"/>
      <c r="R326" s="861"/>
      <c r="S326" s="861"/>
      <c r="T326" s="861"/>
      <c r="U326" s="861"/>
      <c r="V326" s="861"/>
      <c r="W326" s="861"/>
      <c r="X326" s="861"/>
      <c r="Y326" s="861"/>
      <c r="Z326" s="861"/>
      <c r="AA326" s="861"/>
      <c r="AB326" s="861"/>
      <c r="AC326" s="861"/>
      <c r="AD326" s="861"/>
      <c r="AE326" s="861"/>
      <c r="AF326" s="861"/>
      <c r="AG326" s="861"/>
    </row>
    <row r="327" spans="1:33" ht="17.25" customHeight="1">
      <c r="A327" s="861"/>
      <c r="B327" s="861"/>
      <c r="C327" s="861"/>
      <c r="D327" s="861"/>
      <c r="E327" s="861"/>
      <c r="F327" s="861"/>
      <c r="G327" s="861"/>
      <c r="H327" s="861"/>
      <c r="I327" s="861"/>
      <c r="J327" s="861"/>
      <c r="K327" s="861"/>
      <c r="L327" s="861"/>
      <c r="M327" s="861"/>
      <c r="N327" s="861"/>
      <c r="O327" s="861"/>
      <c r="P327" s="861"/>
      <c r="Q327" s="861"/>
      <c r="R327" s="861"/>
      <c r="S327" s="861"/>
      <c r="T327" s="861"/>
      <c r="U327" s="861"/>
      <c r="V327" s="861"/>
      <c r="W327" s="861"/>
      <c r="X327" s="861"/>
      <c r="Y327" s="861"/>
      <c r="Z327" s="861"/>
      <c r="AA327" s="861"/>
      <c r="AB327" s="861"/>
      <c r="AC327" s="861"/>
      <c r="AD327" s="861"/>
      <c r="AE327" s="861"/>
      <c r="AF327" s="861"/>
      <c r="AG327" s="861"/>
    </row>
    <row r="328" spans="1:33" ht="17.25" customHeight="1">
      <c r="A328" s="861"/>
      <c r="B328" s="861"/>
      <c r="C328" s="861"/>
      <c r="D328" s="861"/>
      <c r="E328" s="861"/>
      <c r="F328" s="861"/>
      <c r="G328" s="861"/>
      <c r="H328" s="861"/>
      <c r="I328" s="861"/>
      <c r="J328" s="861"/>
      <c r="K328" s="861"/>
      <c r="L328" s="861"/>
      <c r="M328" s="861"/>
      <c r="N328" s="861"/>
      <c r="O328" s="861"/>
      <c r="P328" s="861"/>
      <c r="Q328" s="861"/>
      <c r="R328" s="861"/>
      <c r="S328" s="861"/>
      <c r="T328" s="861"/>
      <c r="U328" s="861"/>
      <c r="V328" s="861"/>
      <c r="W328" s="861"/>
      <c r="X328" s="861"/>
      <c r="Y328" s="861"/>
      <c r="Z328" s="861"/>
      <c r="AA328" s="861"/>
      <c r="AB328" s="861"/>
      <c r="AC328" s="861"/>
      <c r="AD328" s="861"/>
      <c r="AE328" s="861"/>
      <c r="AF328" s="861"/>
      <c r="AG328" s="861"/>
    </row>
    <row r="329" spans="1:33" ht="17.25" customHeight="1">
      <c r="A329" s="861"/>
      <c r="B329" s="861"/>
      <c r="C329" s="861"/>
      <c r="D329" s="861"/>
      <c r="E329" s="861"/>
      <c r="F329" s="861"/>
      <c r="G329" s="861"/>
      <c r="H329" s="861"/>
      <c r="I329" s="861"/>
      <c r="J329" s="861"/>
      <c r="K329" s="861"/>
      <c r="L329" s="861"/>
      <c r="M329" s="861"/>
      <c r="N329" s="861"/>
      <c r="O329" s="861"/>
      <c r="P329" s="861"/>
      <c r="Q329" s="861"/>
      <c r="R329" s="861"/>
      <c r="S329" s="861"/>
      <c r="T329" s="861"/>
      <c r="U329" s="861"/>
      <c r="V329" s="861"/>
      <c r="W329" s="861"/>
      <c r="X329" s="861"/>
      <c r="Y329" s="861"/>
      <c r="Z329" s="861"/>
      <c r="AA329" s="861"/>
      <c r="AB329" s="861"/>
      <c r="AC329" s="861"/>
      <c r="AD329" s="861"/>
      <c r="AE329" s="861"/>
      <c r="AF329" s="861"/>
      <c r="AG329" s="861"/>
    </row>
    <row r="330" spans="1:33" ht="17.25" customHeight="1">
      <c r="A330" s="861"/>
      <c r="B330" s="861"/>
      <c r="C330" s="861"/>
      <c r="D330" s="861"/>
      <c r="E330" s="861"/>
      <c r="F330" s="861"/>
      <c r="G330" s="861"/>
      <c r="H330" s="861"/>
      <c r="I330" s="861"/>
      <c r="J330" s="861"/>
      <c r="K330" s="861"/>
      <c r="L330" s="861"/>
      <c r="M330" s="861"/>
      <c r="N330" s="861"/>
      <c r="O330" s="861"/>
      <c r="P330" s="861"/>
      <c r="Q330" s="861"/>
      <c r="R330" s="861"/>
      <c r="S330" s="861"/>
      <c r="T330" s="861"/>
      <c r="U330" s="861"/>
      <c r="V330" s="861"/>
      <c r="W330" s="861"/>
      <c r="X330" s="861"/>
      <c r="Y330" s="861"/>
      <c r="Z330" s="861"/>
      <c r="AA330" s="861"/>
      <c r="AB330" s="861"/>
      <c r="AC330" s="861"/>
      <c r="AD330" s="861"/>
      <c r="AE330" s="861"/>
      <c r="AF330" s="861"/>
      <c r="AG330" s="861"/>
    </row>
    <row r="331" spans="1:33" ht="17.25" customHeight="1">
      <c r="A331" s="861"/>
      <c r="B331" s="861"/>
      <c r="C331" s="861"/>
      <c r="D331" s="861"/>
      <c r="E331" s="861"/>
      <c r="F331" s="861"/>
      <c r="G331" s="861"/>
      <c r="H331" s="861"/>
      <c r="I331" s="861"/>
      <c r="J331" s="861"/>
      <c r="K331" s="861"/>
      <c r="L331" s="861"/>
      <c r="M331" s="861"/>
      <c r="N331" s="861"/>
      <c r="O331" s="861"/>
      <c r="P331" s="861"/>
      <c r="Q331" s="861"/>
      <c r="R331" s="861"/>
      <c r="S331" s="861"/>
      <c r="T331" s="861"/>
      <c r="U331" s="861"/>
      <c r="V331" s="861"/>
      <c r="W331" s="861"/>
      <c r="X331" s="861"/>
      <c r="Y331" s="861"/>
      <c r="Z331" s="861"/>
      <c r="AA331" s="861"/>
      <c r="AB331" s="861"/>
      <c r="AC331" s="861"/>
      <c r="AD331" s="861"/>
      <c r="AE331" s="861"/>
      <c r="AF331" s="861"/>
      <c r="AG331" s="861"/>
    </row>
    <row r="332" spans="1:33" ht="17.25" customHeight="1">
      <c r="A332" s="861"/>
      <c r="B332" s="861"/>
      <c r="C332" s="861"/>
      <c r="D332" s="861"/>
      <c r="E332" s="861"/>
      <c r="F332" s="861"/>
      <c r="G332" s="861"/>
      <c r="H332" s="861"/>
      <c r="I332" s="861"/>
      <c r="J332" s="861"/>
      <c r="K332" s="861"/>
      <c r="L332" s="861"/>
      <c r="M332" s="861"/>
      <c r="N332" s="861"/>
      <c r="O332" s="861"/>
      <c r="P332" s="861"/>
      <c r="Q332" s="861"/>
      <c r="R332" s="861"/>
      <c r="S332" s="861"/>
      <c r="T332" s="861"/>
      <c r="U332" s="861"/>
      <c r="V332" s="861"/>
      <c r="W332" s="861"/>
      <c r="X332" s="861"/>
      <c r="Y332" s="861"/>
      <c r="Z332" s="861"/>
      <c r="AA332" s="861"/>
      <c r="AB332" s="861"/>
      <c r="AC332" s="861"/>
      <c r="AD332" s="861"/>
      <c r="AE332" s="861"/>
      <c r="AF332" s="861"/>
      <c r="AG332" s="861"/>
    </row>
    <row r="333" spans="1:33" ht="17.25" customHeight="1">
      <c r="A333" s="861"/>
      <c r="B333" s="861"/>
      <c r="C333" s="861"/>
      <c r="D333" s="861"/>
      <c r="E333" s="861"/>
      <c r="F333" s="861"/>
      <c r="G333" s="861"/>
      <c r="H333" s="861"/>
      <c r="I333" s="861"/>
      <c r="J333" s="861"/>
      <c r="K333" s="861"/>
      <c r="L333" s="861"/>
      <c r="M333" s="861"/>
      <c r="N333" s="861"/>
      <c r="O333" s="861"/>
      <c r="P333" s="861"/>
      <c r="Q333" s="861"/>
      <c r="R333" s="861"/>
      <c r="S333" s="861"/>
      <c r="T333" s="861"/>
      <c r="U333" s="861"/>
      <c r="V333" s="861"/>
      <c r="W333" s="861"/>
      <c r="X333" s="861"/>
      <c r="Y333" s="861"/>
      <c r="Z333" s="861"/>
      <c r="AA333" s="861"/>
      <c r="AB333" s="861"/>
      <c r="AC333" s="861"/>
      <c r="AD333" s="861"/>
      <c r="AE333" s="861"/>
      <c r="AF333" s="861"/>
      <c r="AG333" s="861"/>
    </row>
    <row r="334" spans="1:33" ht="17.25" customHeight="1">
      <c r="A334" s="861"/>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c r="AA334" s="861"/>
      <c r="AB334" s="861"/>
      <c r="AC334" s="861"/>
      <c r="AD334" s="861"/>
      <c r="AE334" s="861"/>
      <c r="AF334" s="861"/>
      <c r="AG334" s="861"/>
    </row>
    <row r="335" spans="1:33" ht="17.25" customHeight="1">
      <c r="A335" s="861"/>
      <c r="B335" s="861"/>
      <c r="C335" s="861"/>
      <c r="D335" s="861"/>
      <c r="E335" s="861"/>
      <c r="F335" s="861"/>
      <c r="G335" s="861"/>
      <c r="H335" s="861"/>
      <c r="I335" s="861"/>
      <c r="J335" s="861"/>
      <c r="K335" s="861"/>
      <c r="L335" s="861"/>
      <c r="M335" s="861"/>
      <c r="N335" s="861"/>
      <c r="O335" s="861"/>
      <c r="P335" s="861"/>
      <c r="Q335" s="861"/>
      <c r="R335" s="861"/>
      <c r="S335" s="861"/>
      <c r="T335" s="861"/>
      <c r="U335" s="861"/>
      <c r="V335" s="861"/>
      <c r="W335" s="861"/>
      <c r="X335" s="861"/>
      <c r="Y335" s="861"/>
      <c r="Z335" s="861"/>
      <c r="AA335" s="861"/>
      <c r="AB335" s="861"/>
      <c r="AC335" s="861"/>
      <c r="AD335" s="861"/>
      <c r="AE335" s="861"/>
      <c r="AF335" s="861"/>
      <c r="AG335" s="861"/>
    </row>
    <row r="336" spans="1:33" ht="17.25" customHeight="1">
      <c r="A336" s="861"/>
      <c r="B336" s="861"/>
      <c r="C336" s="861"/>
      <c r="D336" s="861"/>
      <c r="E336" s="861"/>
      <c r="F336" s="861"/>
      <c r="G336" s="861"/>
      <c r="H336" s="861"/>
      <c r="I336" s="861"/>
      <c r="J336" s="861"/>
      <c r="K336" s="861"/>
      <c r="L336" s="861"/>
      <c r="M336" s="861"/>
      <c r="N336" s="861"/>
      <c r="O336" s="861"/>
      <c r="P336" s="861"/>
      <c r="Q336" s="861"/>
      <c r="R336" s="861"/>
      <c r="S336" s="861"/>
      <c r="T336" s="861"/>
      <c r="U336" s="861"/>
      <c r="V336" s="861"/>
      <c r="W336" s="861"/>
      <c r="X336" s="861"/>
      <c r="Y336" s="861"/>
      <c r="Z336" s="861"/>
      <c r="AA336" s="861"/>
      <c r="AB336" s="861"/>
      <c r="AC336" s="861"/>
      <c r="AD336" s="861"/>
      <c r="AE336" s="861"/>
      <c r="AF336" s="861"/>
      <c r="AG336" s="861"/>
    </row>
    <row r="337" spans="1:33" ht="17.25" customHeight="1">
      <c r="A337" s="861"/>
      <c r="B337" s="861"/>
      <c r="C337" s="861"/>
      <c r="D337" s="861"/>
      <c r="E337" s="861"/>
      <c r="F337" s="861"/>
      <c r="G337" s="861"/>
      <c r="H337" s="861"/>
      <c r="I337" s="861"/>
      <c r="J337" s="861"/>
      <c r="K337" s="861"/>
      <c r="L337" s="861"/>
      <c r="M337" s="861"/>
      <c r="N337" s="861"/>
      <c r="O337" s="861"/>
      <c r="P337" s="861"/>
      <c r="Q337" s="861"/>
      <c r="R337" s="861"/>
      <c r="S337" s="861"/>
      <c r="T337" s="861"/>
      <c r="U337" s="861"/>
      <c r="V337" s="861"/>
      <c r="W337" s="861"/>
      <c r="X337" s="861"/>
      <c r="Y337" s="861"/>
      <c r="Z337" s="861"/>
      <c r="AA337" s="861"/>
      <c r="AB337" s="861"/>
      <c r="AC337" s="861"/>
      <c r="AD337" s="861"/>
      <c r="AE337" s="861"/>
      <c r="AF337" s="861"/>
      <c r="AG337" s="861"/>
    </row>
    <row r="338" spans="1:33" ht="17.25" customHeight="1">
      <c r="A338" s="861"/>
      <c r="B338" s="861"/>
      <c r="C338" s="861"/>
      <c r="D338" s="861"/>
      <c r="E338" s="861"/>
      <c r="F338" s="861"/>
      <c r="G338" s="861"/>
      <c r="H338" s="861"/>
      <c r="I338" s="861"/>
      <c r="J338" s="861"/>
      <c r="K338" s="861"/>
      <c r="L338" s="861"/>
      <c r="M338" s="861"/>
      <c r="N338" s="861"/>
      <c r="O338" s="861"/>
      <c r="P338" s="861"/>
      <c r="Q338" s="861"/>
      <c r="R338" s="861"/>
      <c r="S338" s="861"/>
      <c r="T338" s="861"/>
      <c r="U338" s="861"/>
      <c r="V338" s="861"/>
      <c r="W338" s="861"/>
      <c r="X338" s="861"/>
      <c r="Y338" s="861"/>
      <c r="Z338" s="861"/>
      <c r="AA338" s="861"/>
      <c r="AB338" s="861"/>
      <c r="AC338" s="861"/>
      <c r="AD338" s="861"/>
      <c r="AE338" s="861"/>
      <c r="AF338" s="861"/>
      <c r="AG338" s="861"/>
    </row>
    <row r="339" spans="1:33" ht="17.25" customHeight="1">
      <c r="A339" s="861"/>
      <c r="B339" s="861"/>
      <c r="C339" s="861"/>
      <c r="D339" s="861"/>
      <c r="E339" s="861"/>
      <c r="F339" s="861"/>
      <c r="G339" s="861"/>
      <c r="H339" s="861"/>
      <c r="I339" s="861"/>
      <c r="J339" s="861"/>
      <c r="K339" s="861"/>
      <c r="L339" s="861"/>
      <c r="M339" s="861"/>
      <c r="N339" s="861"/>
      <c r="O339" s="861"/>
      <c r="P339" s="861"/>
      <c r="Q339" s="861"/>
      <c r="R339" s="861"/>
      <c r="S339" s="861"/>
      <c r="T339" s="861"/>
      <c r="U339" s="861"/>
      <c r="V339" s="861"/>
      <c r="W339" s="861"/>
      <c r="X339" s="861"/>
      <c r="Y339" s="861"/>
      <c r="Z339" s="861"/>
      <c r="AA339" s="861"/>
      <c r="AB339" s="861"/>
      <c r="AC339" s="861"/>
      <c r="AD339" s="861"/>
      <c r="AE339" s="861"/>
      <c r="AF339" s="861"/>
      <c r="AG339" s="861"/>
    </row>
    <row r="340" spans="1:33" ht="17.25" customHeight="1">
      <c r="A340" s="861"/>
      <c r="B340" s="861"/>
      <c r="C340" s="861"/>
      <c r="D340" s="861"/>
      <c r="E340" s="861"/>
      <c r="F340" s="861"/>
      <c r="G340" s="861"/>
      <c r="H340" s="861"/>
      <c r="I340" s="861"/>
      <c r="J340" s="861"/>
      <c r="K340" s="861"/>
      <c r="L340" s="861"/>
      <c r="M340" s="861"/>
      <c r="N340" s="861"/>
      <c r="O340" s="861"/>
      <c r="P340" s="861"/>
      <c r="Q340" s="861"/>
      <c r="R340" s="861"/>
      <c r="S340" s="861"/>
      <c r="T340" s="861"/>
      <c r="U340" s="861"/>
      <c r="V340" s="861"/>
      <c r="W340" s="861"/>
      <c r="X340" s="861"/>
      <c r="Y340" s="861"/>
      <c r="Z340" s="861"/>
      <c r="AA340" s="861"/>
      <c r="AB340" s="861"/>
      <c r="AC340" s="861"/>
      <c r="AD340" s="861"/>
      <c r="AE340" s="861"/>
      <c r="AF340" s="861"/>
      <c r="AG340" s="861"/>
    </row>
    <row r="341" spans="1:33" ht="17.25" customHeight="1">
      <c r="A341" s="861"/>
      <c r="B341" s="861"/>
      <c r="C341" s="861"/>
      <c r="D341" s="861"/>
      <c r="E341" s="861"/>
      <c r="F341" s="861"/>
      <c r="G341" s="861"/>
      <c r="H341" s="861"/>
      <c r="I341" s="861"/>
      <c r="J341" s="861"/>
      <c r="K341" s="861"/>
      <c r="L341" s="861"/>
      <c r="M341" s="861"/>
      <c r="N341" s="861"/>
      <c r="O341" s="861"/>
      <c r="P341" s="861"/>
      <c r="Q341" s="861"/>
      <c r="R341" s="861"/>
      <c r="S341" s="861"/>
      <c r="T341" s="861"/>
      <c r="U341" s="861"/>
      <c r="V341" s="861"/>
      <c r="W341" s="861"/>
      <c r="X341" s="861"/>
      <c r="Y341" s="861"/>
      <c r="Z341" s="861"/>
      <c r="AA341" s="861"/>
      <c r="AB341" s="861"/>
      <c r="AC341" s="861"/>
      <c r="AD341" s="861"/>
      <c r="AE341" s="861"/>
      <c r="AF341" s="861"/>
      <c r="AG341" s="861"/>
    </row>
    <row r="342" spans="1:33" ht="17.25" customHeight="1">
      <c r="A342" s="861"/>
      <c r="B342" s="861"/>
      <c r="C342" s="861"/>
      <c r="D342" s="861"/>
      <c r="E342" s="861"/>
      <c r="F342" s="861"/>
      <c r="G342" s="861"/>
      <c r="H342" s="861"/>
      <c r="I342" s="861"/>
      <c r="J342" s="861"/>
      <c r="K342" s="861"/>
      <c r="L342" s="861"/>
      <c r="M342" s="861"/>
      <c r="N342" s="861"/>
      <c r="O342" s="861"/>
      <c r="P342" s="861"/>
      <c r="Q342" s="861"/>
      <c r="R342" s="861"/>
      <c r="S342" s="861"/>
      <c r="T342" s="861"/>
      <c r="U342" s="861"/>
      <c r="V342" s="861"/>
      <c r="W342" s="861"/>
      <c r="X342" s="861"/>
      <c r="Y342" s="861"/>
      <c r="Z342" s="861"/>
      <c r="AA342" s="861"/>
      <c r="AB342" s="861"/>
      <c r="AC342" s="861"/>
      <c r="AD342" s="861"/>
      <c r="AE342" s="861"/>
      <c r="AF342" s="861"/>
      <c r="AG342" s="861"/>
    </row>
    <row r="343" spans="1:33" ht="17.25" customHeight="1">
      <c r="A343" s="861"/>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c r="AA343" s="861"/>
      <c r="AB343" s="861"/>
      <c r="AC343" s="861"/>
      <c r="AD343" s="861"/>
      <c r="AE343" s="861"/>
      <c r="AF343" s="861"/>
      <c r="AG343" s="861"/>
    </row>
    <row r="344" spans="1:33" ht="17.25" customHeight="1">
      <c r="A344" s="861"/>
      <c r="B344" s="861"/>
      <c r="C344" s="861"/>
      <c r="D344" s="861"/>
      <c r="E344" s="861"/>
      <c r="F344" s="861"/>
      <c r="G344" s="861"/>
      <c r="H344" s="861"/>
      <c r="I344" s="861"/>
      <c r="J344" s="861"/>
      <c r="K344" s="861"/>
      <c r="L344" s="861"/>
      <c r="M344" s="861"/>
      <c r="N344" s="861"/>
      <c r="O344" s="861"/>
      <c r="P344" s="861"/>
      <c r="Q344" s="861"/>
      <c r="R344" s="861"/>
      <c r="S344" s="861"/>
      <c r="T344" s="861"/>
      <c r="U344" s="861"/>
      <c r="V344" s="861"/>
      <c r="W344" s="861"/>
      <c r="X344" s="861"/>
      <c r="Y344" s="861"/>
      <c r="Z344" s="861"/>
      <c r="AA344" s="861"/>
      <c r="AB344" s="861"/>
      <c r="AC344" s="861"/>
      <c r="AD344" s="861"/>
      <c r="AE344" s="861"/>
      <c r="AF344" s="861"/>
      <c r="AG344" s="861"/>
    </row>
    <row r="345" spans="1:33" ht="17.25" customHeight="1">
      <c r="A345" s="861"/>
      <c r="B345" s="861"/>
      <c r="C345" s="861"/>
      <c r="D345" s="861"/>
      <c r="E345" s="861"/>
      <c r="F345" s="861"/>
      <c r="G345" s="861"/>
      <c r="H345" s="861"/>
      <c r="I345" s="861"/>
      <c r="J345" s="861"/>
      <c r="K345" s="861"/>
      <c r="L345" s="861"/>
      <c r="M345" s="861"/>
      <c r="N345" s="861"/>
      <c r="O345" s="861"/>
      <c r="P345" s="861"/>
      <c r="Q345" s="861"/>
      <c r="R345" s="861"/>
      <c r="S345" s="861"/>
      <c r="T345" s="861"/>
      <c r="U345" s="861"/>
      <c r="V345" s="861"/>
      <c r="W345" s="861"/>
      <c r="X345" s="861"/>
      <c r="Y345" s="861"/>
      <c r="Z345" s="861"/>
      <c r="AA345" s="861"/>
      <c r="AB345" s="861"/>
      <c r="AC345" s="861"/>
      <c r="AD345" s="861"/>
      <c r="AE345" s="861"/>
      <c r="AF345" s="861"/>
      <c r="AG345" s="861"/>
    </row>
    <row r="346" spans="1:33" ht="17.25" customHeight="1">
      <c r="A346" s="861"/>
      <c r="B346" s="861"/>
      <c r="C346" s="861"/>
      <c r="D346" s="861"/>
      <c r="E346" s="861"/>
      <c r="F346" s="861"/>
      <c r="G346" s="861"/>
      <c r="H346" s="861"/>
      <c r="I346" s="861"/>
      <c r="J346" s="861"/>
      <c r="K346" s="861"/>
      <c r="L346" s="861"/>
      <c r="M346" s="861"/>
      <c r="N346" s="861"/>
      <c r="O346" s="861"/>
      <c r="P346" s="861"/>
      <c r="Q346" s="861"/>
      <c r="R346" s="861"/>
      <c r="S346" s="861"/>
      <c r="T346" s="861"/>
      <c r="U346" s="861"/>
      <c r="V346" s="861"/>
      <c r="W346" s="861"/>
      <c r="X346" s="861"/>
      <c r="Y346" s="861"/>
      <c r="Z346" s="861"/>
      <c r="AA346" s="861"/>
      <c r="AB346" s="861"/>
      <c r="AC346" s="861"/>
      <c r="AD346" s="861"/>
      <c r="AE346" s="861"/>
      <c r="AF346" s="861"/>
      <c r="AG346" s="861"/>
    </row>
    <row r="347" spans="1:33" ht="17.25" customHeight="1">
      <c r="A347" s="861"/>
      <c r="B347" s="861"/>
      <c r="C347" s="861"/>
      <c r="D347" s="861"/>
      <c r="E347" s="861"/>
      <c r="F347" s="861"/>
      <c r="G347" s="861"/>
      <c r="H347" s="861"/>
      <c r="I347" s="861"/>
      <c r="J347" s="861"/>
      <c r="K347" s="861"/>
      <c r="L347" s="861"/>
      <c r="M347" s="861"/>
      <c r="N347" s="861"/>
      <c r="O347" s="861"/>
      <c r="P347" s="861"/>
      <c r="Q347" s="861"/>
      <c r="R347" s="861"/>
      <c r="S347" s="861"/>
      <c r="T347" s="861"/>
      <c r="U347" s="861"/>
      <c r="V347" s="861"/>
      <c r="W347" s="861"/>
      <c r="X347" s="861"/>
      <c r="Y347" s="861"/>
      <c r="Z347" s="861"/>
      <c r="AA347" s="861"/>
      <c r="AB347" s="861"/>
      <c r="AC347" s="861"/>
      <c r="AD347" s="861"/>
      <c r="AE347" s="861"/>
      <c r="AF347" s="861"/>
      <c r="AG347" s="861"/>
    </row>
    <row r="348" spans="1:33" ht="17.25" customHeight="1">
      <c r="A348" s="861"/>
      <c r="B348" s="861"/>
      <c r="C348" s="861"/>
      <c r="D348" s="861"/>
      <c r="E348" s="861"/>
      <c r="F348" s="861"/>
      <c r="G348" s="861"/>
      <c r="H348" s="861"/>
      <c r="I348" s="861"/>
      <c r="J348" s="861"/>
      <c r="K348" s="861"/>
      <c r="L348" s="861"/>
      <c r="M348" s="861"/>
      <c r="N348" s="861"/>
      <c r="O348" s="861"/>
      <c r="P348" s="861"/>
      <c r="Q348" s="861"/>
      <c r="R348" s="861"/>
      <c r="S348" s="861"/>
      <c r="T348" s="861"/>
      <c r="U348" s="861"/>
      <c r="V348" s="861"/>
      <c r="W348" s="861"/>
      <c r="X348" s="861"/>
      <c r="Y348" s="861"/>
      <c r="Z348" s="861"/>
      <c r="AA348" s="861"/>
      <c r="AB348" s="861"/>
      <c r="AC348" s="861"/>
      <c r="AD348" s="861"/>
      <c r="AE348" s="861"/>
      <c r="AF348" s="861"/>
      <c r="AG348" s="861"/>
    </row>
    <row r="349" spans="1:33" ht="17.25" customHeight="1">
      <c r="A349" s="861"/>
      <c r="B349" s="861"/>
      <c r="C349" s="861"/>
      <c r="D349" s="861"/>
      <c r="E349" s="861"/>
      <c r="F349" s="861"/>
      <c r="G349" s="861"/>
      <c r="H349" s="861"/>
      <c r="I349" s="861"/>
      <c r="J349" s="861"/>
      <c r="K349" s="861"/>
      <c r="L349" s="861"/>
      <c r="M349" s="861"/>
      <c r="N349" s="861"/>
      <c r="O349" s="861"/>
      <c r="P349" s="861"/>
      <c r="Q349" s="861"/>
      <c r="R349" s="861"/>
      <c r="S349" s="861"/>
      <c r="T349" s="861"/>
      <c r="U349" s="861"/>
      <c r="V349" s="861"/>
      <c r="W349" s="861"/>
      <c r="X349" s="861"/>
      <c r="Y349" s="861"/>
      <c r="Z349" s="861"/>
      <c r="AA349" s="861"/>
      <c r="AB349" s="861"/>
      <c r="AC349" s="861"/>
      <c r="AD349" s="861"/>
      <c r="AE349" s="861"/>
      <c r="AF349" s="861"/>
      <c r="AG349" s="861"/>
    </row>
    <row r="350" spans="1:33" ht="17.25" customHeight="1">
      <c r="A350" s="861"/>
      <c r="B350" s="861"/>
      <c r="C350" s="861"/>
      <c r="D350" s="861"/>
      <c r="E350" s="861"/>
      <c r="F350" s="861"/>
      <c r="G350" s="861"/>
      <c r="H350" s="861"/>
      <c r="I350" s="861"/>
      <c r="J350" s="861"/>
      <c r="K350" s="861"/>
      <c r="L350" s="861"/>
      <c r="M350" s="861"/>
      <c r="N350" s="861"/>
      <c r="O350" s="861"/>
      <c r="P350" s="861"/>
      <c r="Q350" s="861"/>
      <c r="R350" s="861"/>
      <c r="S350" s="861"/>
      <c r="T350" s="861"/>
      <c r="U350" s="861"/>
      <c r="V350" s="861"/>
      <c r="W350" s="861"/>
      <c r="X350" s="861"/>
      <c r="Y350" s="861"/>
      <c r="Z350" s="861"/>
      <c r="AA350" s="861"/>
      <c r="AB350" s="861"/>
      <c r="AC350" s="861"/>
      <c r="AD350" s="861"/>
      <c r="AE350" s="861"/>
      <c r="AF350" s="861"/>
      <c r="AG350" s="861"/>
    </row>
    <row r="351" spans="1:33" ht="17.25" customHeight="1">
      <c r="A351" s="861"/>
      <c r="B351" s="861"/>
      <c r="C351" s="861"/>
      <c r="D351" s="861"/>
      <c r="E351" s="861"/>
      <c r="F351" s="861"/>
      <c r="G351" s="861"/>
      <c r="H351" s="861"/>
      <c r="I351" s="861"/>
      <c r="J351" s="861"/>
      <c r="K351" s="861"/>
      <c r="L351" s="861"/>
      <c r="M351" s="861"/>
      <c r="N351" s="861"/>
      <c r="O351" s="861"/>
      <c r="P351" s="861"/>
      <c r="Q351" s="861"/>
      <c r="R351" s="861"/>
      <c r="S351" s="861"/>
      <c r="T351" s="861"/>
      <c r="U351" s="861"/>
      <c r="V351" s="861"/>
      <c r="W351" s="861"/>
      <c r="X351" s="861"/>
      <c r="Y351" s="861"/>
      <c r="Z351" s="861"/>
      <c r="AA351" s="861"/>
      <c r="AB351" s="861"/>
      <c r="AC351" s="861"/>
      <c r="AD351" s="861"/>
      <c r="AE351" s="861"/>
      <c r="AF351" s="861"/>
      <c r="AG351" s="861"/>
    </row>
    <row r="352" spans="1:33" ht="17.25" customHeight="1">
      <c r="A352" s="861"/>
      <c r="B352" s="861"/>
      <c r="C352" s="861"/>
      <c r="D352" s="861"/>
      <c r="E352" s="861"/>
      <c r="F352" s="861"/>
      <c r="G352" s="861"/>
      <c r="H352" s="861"/>
      <c r="I352" s="861"/>
      <c r="J352" s="861"/>
      <c r="K352" s="861"/>
      <c r="L352" s="861"/>
      <c r="M352" s="861"/>
      <c r="N352" s="861"/>
      <c r="O352" s="861"/>
      <c r="P352" s="861"/>
      <c r="Q352" s="861"/>
      <c r="R352" s="861"/>
      <c r="S352" s="861"/>
      <c r="T352" s="861"/>
      <c r="U352" s="861"/>
      <c r="V352" s="861"/>
      <c r="W352" s="861"/>
      <c r="X352" s="861"/>
      <c r="Y352" s="861"/>
      <c r="Z352" s="861"/>
      <c r="AA352" s="861"/>
      <c r="AB352" s="861"/>
      <c r="AC352" s="861"/>
      <c r="AD352" s="861"/>
      <c r="AE352" s="861"/>
      <c r="AF352" s="861"/>
      <c r="AG352" s="861"/>
    </row>
    <row r="353" spans="1:33" ht="17.25" customHeight="1">
      <c r="A353" s="861"/>
      <c r="B353" s="861"/>
      <c r="C353" s="861"/>
      <c r="D353" s="861"/>
      <c r="E353" s="861"/>
      <c r="F353" s="861"/>
      <c r="G353" s="861"/>
      <c r="H353" s="861"/>
      <c r="I353" s="861"/>
      <c r="J353" s="861"/>
      <c r="K353" s="861"/>
      <c r="L353" s="861"/>
      <c r="M353" s="861"/>
      <c r="N353" s="861"/>
      <c r="O353" s="861"/>
      <c r="P353" s="861"/>
      <c r="Q353" s="861"/>
      <c r="R353" s="861"/>
      <c r="S353" s="861"/>
      <c r="T353" s="861"/>
      <c r="U353" s="861"/>
      <c r="V353" s="861"/>
      <c r="W353" s="861"/>
      <c r="X353" s="861"/>
      <c r="Y353" s="861"/>
      <c r="Z353" s="861"/>
      <c r="AA353" s="861"/>
      <c r="AB353" s="861"/>
      <c r="AC353" s="861"/>
      <c r="AD353" s="861"/>
      <c r="AE353" s="861"/>
      <c r="AF353" s="861"/>
      <c r="AG353" s="861"/>
    </row>
    <row r="354" spans="1:33" ht="17.25" customHeight="1">
      <c r="A354" s="861"/>
      <c r="B354" s="861"/>
      <c r="C354" s="861"/>
      <c r="D354" s="861"/>
      <c r="E354" s="861"/>
      <c r="F354" s="861"/>
      <c r="G354" s="861"/>
      <c r="H354" s="861"/>
      <c r="I354" s="861"/>
      <c r="J354" s="861"/>
      <c r="K354" s="861"/>
      <c r="L354" s="861"/>
      <c r="M354" s="861"/>
      <c r="N354" s="861"/>
      <c r="O354" s="861"/>
      <c r="P354" s="861"/>
      <c r="Q354" s="861"/>
      <c r="R354" s="861"/>
      <c r="S354" s="861"/>
      <c r="T354" s="861"/>
      <c r="U354" s="861"/>
      <c r="V354" s="861"/>
      <c r="W354" s="861"/>
      <c r="X354" s="861"/>
      <c r="Y354" s="861"/>
      <c r="Z354" s="861"/>
      <c r="AA354" s="861"/>
      <c r="AB354" s="861"/>
      <c r="AC354" s="861"/>
      <c r="AD354" s="861"/>
      <c r="AE354" s="861"/>
      <c r="AF354" s="861"/>
      <c r="AG354" s="861"/>
    </row>
    <row r="355" spans="1:33" ht="17.25" customHeight="1">
      <c r="A355" s="861"/>
      <c r="B355" s="861"/>
      <c r="C355" s="861"/>
      <c r="D355" s="861"/>
      <c r="E355" s="861"/>
      <c r="F355" s="861"/>
      <c r="G355" s="861"/>
      <c r="H355" s="861"/>
      <c r="I355" s="861"/>
      <c r="J355" s="861"/>
      <c r="K355" s="861"/>
      <c r="L355" s="861"/>
      <c r="M355" s="861"/>
      <c r="N355" s="861"/>
      <c r="O355" s="861"/>
      <c r="P355" s="861"/>
      <c r="Q355" s="861"/>
      <c r="R355" s="861"/>
      <c r="S355" s="861"/>
      <c r="T355" s="861"/>
      <c r="U355" s="861"/>
      <c r="V355" s="861"/>
      <c r="W355" s="861"/>
      <c r="X355" s="861"/>
      <c r="Y355" s="861"/>
      <c r="Z355" s="861"/>
      <c r="AA355" s="861"/>
      <c r="AB355" s="861"/>
      <c r="AC355" s="861"/>
      <c r="AD355" s="861"/>
      <c r="AE355" s="861"/>
      <c r="AF355" s="861"/>
      <c r="AG355" s="861"/>
    </row>
    <row r="356" spans="1:33" ht="17.25" customHeight="1">
      <c r="A356" s="861"/>
      <c r="B356" s="861"/>
      <c r="C356" s="861"/>
      <c r="D356" s="861"/>
      <c r="E356" s="861"/>
      <c r="F356" s="861"/>
      <c r="G356" s="861"/>
      <c r="H356" s="861"/>
      <c r="I356" s="861"/>
      <c r="J356" s="861"/>
      <c r="K356" s="861"/>
      <c r="L356" s="861"/>
      <c r="M356" s="861"/>
      <c r="N356" s="861"/>
      <c r="O356" s="861"/>
      <c r="P356" s="861"/>
      <c r="Q356" s="861"/>
      <c r="R356" s="861"/>
      <c r="S356" s="861"/>
      <c r="T356" s="861"/>
      <c r="U356" s="861"/>
      <c r="V356" s="861"/>
      <c r="W356" s="861"/>
      <c r="X356" s="861"/>
      <c r="Y356" s="861"/>
      <c r="Z356" s="861"/>
      <c r="AA356" s="861"/>
      <c r="AB356" s="861"/>
      <c r="AC356" s="861"/>
      <c r="AD356" s="861"/>
      <c r="AE356" s="861"/>
      <c r="AF356" s="861"/>
      <c r="AG356" s="861"/>
    </row>
    <row r="357" spans="1:33" ht="17.25" customHeight="1">
      <c r="A357" s="861"/>
      <c r="B357" s="861"/>
      <c r="C357" s="861"/>
      <c r="D357" s="861"/>
      <c r="E357" s="861"/>
      <c r="F357" s="861"/>
      <c r="G357" s="861"/>
      <c r="H357" s="861"/>
      <c r="I357" s="861"/>
      <c r="J357" s="861"/>
      <c r="K357" s="861"/>
      <c r="L357" s="861"/>
      <c r="M357" s="861"/>
      <c r="N357" s="861"/>
      <c r="O357" s="861"/>
      <c r="P357" s="861"/>
      <c r="Q357" s="861"/>
      <c r="R357" s="861"/>
      <c r="S357" s="861"/>
      <c r="T357" s="861"/>
      <c r="U357" s="861"/>
      <c r="V357" s="861"/>
      <c r="W357" s="861"/>
      <c r="X357" s="861"/>
      <c r="Y357" s="861"/>
      <c r="Z357" s="861"/>
      <c r="AA357" s="861"/>
      <c r="AB357" s="861"/>
      <c r="AC357" s="861"/>
      <c r="AD357" s="861"/>
      <c r="AE357" s="861"/>
      <c r="AF357" s="861"/>
      <c r="AG357" s="861"/>
    </row>
    <row r="358" spans="1:33" ht="17.25" customHeight="1">
      <c r="A358" s="861"/>
      <c r="B358" s="861"/>
      <c r="C358" s="861"/>
      <c r="D358" s="861"/>
      <c r="E358" s="861"/>
      <c r="F358" s="861"/>
      <c r="G358" s="861"/>
      <c r="H358" s="861"/>
      <c r="I358" s="861"/>
      <c r="J358" s="861"/>
      <c r="K358" s="861"/>
      <c r="L358" s="861"/>
      <c r="M358" s="861"/>
      <c r="N358" s="861"/>
      <c r="O358" s="861"/>
      <c r="P358" s="861"/>
      <c r="Q358" s="861"/>
      <c r="R358" s="861"/>
      <c r="S358" s="861"/>
      <c r="T358" s="861"/>
      <c r="U358" s="861"/>
      <c r="V358" s="861"/>
      <c r="W358" s="861"/>
      <c r="X358" s="861"/>
      <c r="Y358" s="861"/>
      <c r="Z358" s="861"/>
      <c r="AA358" s="861"/>
      <c r="AB358" s="861"/>
      <c r="AC358" s="861"/>
      <c r="AD358" s="861"/>
      <c r="AE358" s="861"/>
      <c r="AF358" s="861"/>
      <c r="AG358" s="861"/>
    </row>
    <row r="359" spans="1:33" ht="17.25" customHeight="1">
      <c r="A359" s="861"/>
      <c r="B359" s="861"/>
      <c r="C359" s="861"/>
      <c r="D359" s="861"/>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c r="AA359" s="861"/>
      <c r="AB359" s="861"/>
      <c r="AC359" s="861"/>
      <c r="AD359" s="861"/>
      <c r="AE359" s="861"/>
      <c r="AF359" s="861"/>
      <c r="AG359" s="861"/>
    </row>
    <row r="360" spans="1:33" ht="17.25" customHeight="1">
      <c r="A360" s="861"/>
      <c r="B360" s="861"/>
      <c r="C360" s="861"/>
      <c r="D360" s="861"/>
      <c r="E360" s="861"/>
      <c r="F360" s="861"/>
      <c r="G360" s="861"/>
      <c r="H360" s="861"/>
      <c r="I360" s="861"/>
      <c r="J360" s="861"/>
      <c r="K360" s="861"/>
      <c r="L360" s="861"/>
      <c r="M360" s="861"/>
      <c r="N360" s="861"/>
      <c r="O360" s="861"/>
      <c r="P360" s="861"/>
      <c r="Q360" s="861"/>
      <c r="R360" s="861"/>
      <c r="S360" s="861"/>
      <c r="T360" s="861"/>
      <c r="U360" s="861"/>
      <c r="V360" s="861"/>
      <c r="W360" s="861"/>
      <c r="X360" s="861"/>
      <c r="Y360" s="861"/>
      <c r="Z360" s="861"/>
      <c r="AA360" s="861"/>
      <c r="AB360" s="861"/>
      <c r="AC360" s="861"/>
      <c r="AD360" s="861"/>
      <c r="AE360" s="861"/>
      <c r="AF360" s="861"/>
      <c r="AG360" s="861"/>
    </row>
    <row r="361" spans="1:33" ht="17.25" customHeight="1">
      <c r="A361" s="861"/>
      <c r="B361" s="861"/>
      <c r="C361" s="861"/>
      <c r="D361" s="861"/>
      <c r="E361" s="861"/>
      <c r="F361" s="861"/>
      <c r="G361" s="861"/>
      <c r="H361" s="861"/>
      <c r="I361" s="861"/>
      <c r="J361" s="861"/>
      <c r="K361" s="861"/>
      <c r="L361" s="861"/>
      <c r="M361" s="861"/>
      <c r="N361" s="861"/>
      <c r="O361" s="861"/>
      <c r="P361" s="861"/>
      <c r="Q361" s="861"/>
      <c r="R361" s="861"/>
      <c r="S361" s="861"/>
      <c r="T361" s="861"/>
      <c r="U361" s="861"/>
      <c r="V361" s="861"/>
      <c r="W361" s="861"/>
      <c r="X361" s="861"/>
      <c r="Y361" s="861"/>
      <c r="Z361" s="861"/>
      <c r="AA361" s="861"/>
      <c r="AB361" s="861"/>
      <c r="AC361" s="861"/>
      <c r="AD361" s="861"/>
      <c r="AE361" s="861"/>
      <c r="AF361" s="861"/>
      <c r="AG361" s="861"/>
    </row>
    <row r="362" spans="1:33" ht="17.25" customHeight="1">
      <c r="A362" s="861"/>
      <c r="B362" s="861"/>
      <c r="C362" s="861"/>
      <c r="D362" s="861"/>
      <c r="E362" s="861"/>
      <c r="F362" s="861"/>
      <c r="G362" s="861"/>
      <c r="H362" s="861"/>
      <c r="I362" s="861"/>
      <c r="J362" s="861"/>
      <c r="K362" s="861"/>
      <c r="L362" s="861"/>
      <c r="M362" s="861"/>
      <c r="N362" s="861"/>
      <c r="O362" s="861"/>
      <c r="P362" s="861"/>
      <c r="Q362" s="861"/>
      <c r="R362" s="861"/>
      <c r="S362" s="861"/>
      <c r="T362" s="861"/>
      <c r="U362" s="861"/>
      <c r="V362" s="861"/>
      <c r="W362" s="861"/>
      <c r="X362" s="861"/>
      <c r="Y362" s="861"/>
      <c r="Z362" s="861"/>
      <c r="AA362" s="861"/>
      <c r="AB362" s="861"/>
      <c r="AC362" s="861"/>
      <c r="AD362" s="861"/>
      <c r="AE362" s="861"/>
      <c r="AF362" s="861"/>
      <c r="AG362" s="861"/>
    </row>
    <row r="363" spans="1:33" ht="17.25" customHeight="1">
      <c r="A363" s="861"/>
      <c r="B363" s="861"/>
      <c r="C363" s="861"/>
      <c r="D363" s="861"/>
      <c r="E363" s="861"/>
      <c r="F363" s="861"/>
      <c r="G363" s="861"/>
      <c r="H363" s="861"/>
      <c r="I363" s="861"/>
      <c r="J363" s="861"/>
      <c r="K363" s="861"/>
      <c r="L363" s="861"/>
      <c r="M363" s="861"/>
      <c r="N363" s="861"/>
      <c r="O363" s="861"/>
      <c r="P363" s="861"/>
      <c r="Q363" s="861"/>
      <c r="R363" s="861"/>
      <c r="S363" s="861"/>
      <c r="T363" s="861"/>
      <c r="U363" s="861"/>
      <c r="V363" s="861"/>
      <c r="W363" s="861"/>
      <c r="X363" s="861"/>
      <c r="Y363" s="861"/>
      <c r="Z363" s="861"/>
      <c r="AA363" s="861"/>
      <c r="AB363" s="861"/>
      <c r="AC363" s="861"/>
      <c r="AD363" s="861"/>
      <c r="AE363" s="861"/>
      <c r="AF363" s="861"/>
      <c r="AG363" s="861"/>
    </row>
    <row r="364" spans="1:33" ht="17.25" customHeight="1">
      <c r="A364" s="861"/>
      <c r="B364" s="861"/>
      <c r="C364" s="861"/>
      <c r="D364" s="861"/>
      <c r="E364" s="861"/>
      <c r="F364" s="861"/>
      <c r="G364" s="861"/>
      <c r="H364" s="861"/>
      <c r="I364" s="861"/>
      <c r="J364" s="861"/>
      <c r="K364" s="861"/>
      <c r="L364" s="861"/>
      <c r="M364" s="861"/>
      <c r="N364" s="861"/>
      <c r="O364" s="861"/>
      <c r="P364" s="861"/>
      <c r="Q364" s="861"/>
      <c r="R364" s="861"/>
      <c r="S364" s="861"/>
      <c r="T364" s="861"/>
      <c r="U364" s="861"/>
      <c r="V364" s="861"/>
      <c r="W364" s="861"/>
      <c r="X364" s="861"/>
      <c r="Y364" s="861"/>
      <c r="Z364" s="861"/>
      <c r="AA364" s="861"/>
      <c r="AB364" s="861"/>
      <c r="AC364" s="861"/>
      <c r="AD364" s="861"/>
      <c r="AE364" s="861"/>
      <c r="AF364" s="861"/>
      <c r="AG364" s="861"/>
    </row>
    <row r="365" spans="1:33" ht="17.25" customHeight="1">
      <c r="A365" s="861"/>
      <c r="B365" s="861"/>
      <c r="C365" s="861"/>
      <c r="D365" s="861"/>
      <c r="E365" s="861"/>
      <c r="F365" s="861"/>
      <c r="G365" s="861"/>
      <c r="H365" s="861"/>
      <c r="I365" s="861"/>
      <c r="J365" s="861"/>
      <c r="K365" s="861"/>
      <c r="L365" s="861"/>
      <c r="M365" s="861"/>
      <c r="N365" s="861"/>
      <c r="O365" s="861"/>
      <c r="P365" s="861"/>
      <c r="Q365" s="861"/>
      <c r="R365" s="861"/>
      <c r="S365" s="861"/>
      <c r="T365" s="861"/>
      <c r="U365" s="861"/>
      <c r="V365" s="861"/>
      <c r="W365" s="861"/>
      <c r="X365" s="861"/>
      <c r="Y365" s="861"/>
      <c r="Z365" s="861"/>
      <c r="AA365" s="861"/>
      <c r="AB365" s="861"/>
      <c r="AC365" s="861"/>
      <c r="AD365" s="861"/>
      <c r="AE365" s="861"/>
      <c r="AF365" s="861"/>
      <c r="AG365" s="861"/>
    </row>
    <row r="366" spans="1:33" ht="17.25" customHeight="1">
      <c r="A366" s="861"/>
      <c r="B366" s="861"/>
      <c r="C366" s="861"/>
      <c r="D366" s="861"/>
      <c r="E366" s="861"/>
      <c r="F366" s="861"/>
      <c r="G366" s="861"/>
      <c r="H366" s="861"/>
      <c r="I366" s="861"/>
      <c r="J366" s="861"/>
      <c r="K366" s="861"/>
      <c r="L366" s="861"/>
      <c r="M366" s="861"/>
      <c r="N366" s="861"/>
      <c r="O366" s="861"/>
      <c r="P366" s="861"/>
      <c r="Q366" s="861"/>
      <c r="R366" s="861"/>
      <c r="S366" s="861"/>
      <c r="T366" s="861"/>
      <c r="U366" s="861"/>
      <c r="V366" s="861"/>
      <c r="W366" s="861"/>
      <c r="X366" s="861"/>
      <c r="Y366" s="861"/>
      <c r="Z366" s="861"/>
      <c r="AA366" s="861"/>
      <c r="AB366" s="861"/>
      <c r="AC366" s="861"/>
      <c r="AD366" s="861"/>
      <c r="AE366" s="861"/>
      <c r="AF366" s="861"/>
      <c r="AG366" s="861"/>
    </row>
    <row r="367" spans="1:33" ht="17.25" customHeight="1">
      <c r="A367" s="861"/>
      <c r="B367" s="861"/>
      <c r="C367" s="861"/>
      <c r="D367" s="861"/>
      <c r="E367" s="861"/>
      <c r="F367" s="861"/>
      <c r="G367" s="861"/>
      <c r="H367" s="861"/>
      <c r="I367" s="861"/>
      <c r="J367" s="861"/>
      <c r="K367" s="861"/>
      <c r="L367" s="861"/>
      <c r="M367" s="861"/>
      <c r="N367" s="861"/>
      <c r="O367" s="861"/>
      <c r="P367" s="861"/>
      <c r="Q367" s="861"/>
      <c r="R367" s="861"/>
      <c r="S367" s="861"/>
      <c r="T367" s="861"/>
      <c r="U367" s="861"/>
      <c r="V367" s="861"/>
      <c r="W367" s="861"/>
      <c r="X367" s="861"/>
      <c r="Y367" s="861"/>
      <c r="Z367" s="861"/>
      <c r="AA367" s="861"/>
      <c r="AB367" s="861"/>
      <c r="AC367" s="861"/>
      <c r="AD367" s="861"/>
      <c r="AE367" s="861"/>
      <c r="AF367" s="861"/>
      <c r="AG367" s="861"/>
    </row>
    <row r="368" spans="1:33" ht="17.25" customHeight="1">
      <c r="A368" s="861"/>
      <c r="B368" s="861"/>
      <c r="C368" s="861"/>
      <c r="D368" s="861"/>
      <c r="E368" s="861"/>
      <c r="F368" s="861"/>
      <c r="G368" s="861"/>
      <c r="H368" s="861"/>
      <c r="I368" s="861"/>
      <c r="J368" s="861"/>
      <c r="K368" s="861"/>
      <c r="L368" s="861"/>
      <c r="M368" s="861"/>
      <c r="N368" s="861"/>
      <c r="O368" s="861"/>
      <c r="P368" s="861"/>
      <c r="Q368" s="861"/>
      <c r="R368" s="861"/>
      <c r="S368" s="861"/>
      <c r="T368" s="861"/>
      <c r="U368" s="861"/>
      <c r="V368" s="861"/>
      <c r="W368" s="861"/>
      <c r="X368" s="861"/>
      <c r="Y368" s="861"/>
      <c r="Z368" s="861"/>
      <c r="AA368" s="861"/>
      <c r="AB368" s="861"/>
      <c r="AC368" s="861"/>
      <c r="AD368" s="861"/>
      <c r="AE368" s="861"/>
      <c r="AF368" s="861"/>
      <c r="AG368" s="861"/>
    </row>
    <row r="369" spans="1:33" ht="17.25" customHeight="1">
      <c r="A369" s="861"/>
      <c r="B369" s="861"/>
      <c r="C369" s="861"/>
      <c r="D369" s="861"/>
      <c r="E369" s="861"/>
      <c r="F369" s="861"/>
      <c r="G369" s="861"/>
      <c r="H369" s="861"/>
      <c r="I369" s="861"/>
      <c r="J369" s="861"/>
      <c r="K369" s="861"/>
      <c r="L369" s="861"/>
      <c r="M369" s="861"/>
      <c r="N369" s="861"/>
      <c r="O369" s="861"/>
      <c r="P369" s="861"/>
      <c r="Q369" s="861"/>
      <c r="R369" s="861"/>
      <c r="S369" s="861"/>
      <c r="T369" s="861"/>
      <c r="U369" s="861"/>
      <c r="V369" s="861"/>
      <c r="W369" s="861"/>
      <c r="X369" s="861"/>
      <c r="Y369" s="861"/>
      <c r="Z369" s="861"/>
      <c r="AA369" s="861"/>
      <c r="AB369" s="861"/>
      <c r="AC369" s="861"/>
      <c r="AD369" s="861"/>
      <c r="AE369" s="861"/>
      <c r="AF369" s="861"/>
      <c r="AG369" s="861"/>
    </row>
    <row r="370" spans="1:33" ht="17.25" customHeight="1">
      <c r="A370" s="861"/>
      <c r="B370" s="861"/>
      <c r="C370" s="861"/>
      <c r="D370" s="861"/>
      <c r="E370" s="861"/>
      <c r="F370" s="861"/>
      <c r="G370" s="861"/>
      <c r="H370" s="861"/>
      <c r="I370" s="861"/>
      <c r="J370" s="861"/>
      <c r="K370" s="861"/>
      <c r="L370" s="861"/>
      <c r="M370" s="861"/>
      <c r="N370" s="861"/>
      <c r="O370" s="861"/>
      <c r="P370" s="861"/>
      <c r="Q370" s="861"/>
      <c r="R370" s="861"/>
      <c r="S370" s="861"/>
      <c r="T370" s="861"/>
      <c r="U370" s="861"/>
      <c r="V370" s="861"/>
      <c r="W370" s="861"/>
      <c r="X370" s="861"/>
      <c r="Y370" s="861"/>
      <c r="Z370" s="861"/>
      <c r="AA370" s="861"/>
      <c r="AB370" s="861"/>
      <c r="AC370" s="861"/>
      <c r="AD370" s="861"/>
      <c r="AE370" s="861"/>
      <c r="AF370" s="861"/>
      <c r="AG370" s="861"/>
    </row>
    <row r="371" spans="1:33" ht="17.25" customHeight="1">
      <c r="A371" s="861"/>
      <c r="B371" s="861"/>
      <c r="C371" s="861"/>
      <c r="D371" s="861"/>
      <c r="E371" s="861"/>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row>
    <row r="372" spans="1:33" ht="17.25" customHeight="1">
      <c r="A372" s="861"/>
      <c r="B372" s="861"/>
      <c r="C372" s="861"/>
      <c r="D372" s="861"/>
      <c r="E372" s="861"/>
      <c r="F372" s="861"/>
      <c r="G372" s="861"/>
      <c r="H372" s="861"/>
      <c r="I372" s="861"/>
      <c r="J372" s="861"/>
      <c r="K372" s="861"/>
      <c r="L372" s="861"/>
      <c r="M372" s="861"/>
      <c r="N372" s="861"/>
      <c r="O372" s="861"/>
      <c r="P372" s="861"/>
      <c r="Q372" s="861"/>
      <c r="R372" s="861"/>
      <c r="S372" s="861"/>
      <c r="T372" s="861"/>
      <c r="U372" s="861"/>
      <c r="V372" s="861"/>
      <c r="W372" s="861"/>
      <c r="X372" s="861"/>
      <c r="Y372" s="861"/>
      <c r="Z372" s="861"/>
      <c r="AA372" s="861"/>
      <c r="AB372" s="861"/>
      <c r="AC372" s="861"/>
      <c r="AD372" s="861"/>
      <c r="AE372" s="861"/>
      <c r="AF372" s="861"/>
      <c r="AG372" s="861"/>
    </row>
    <row r="373" spans="1:33" ht="17.25" customHeight="1">
      <c r="A373" s="861"/>
      <c r="B373" s="861"/>
      <c r="C373" s="861"/>
      <c r="D373" s="861"/>
      <c r="E373" s="861"/>
      <c r="F373" s="861"/>
      <c r="G373" s="861"/>
      <c r="H373" s="861"/>
      <c r="I373" s="861"/>
      <c r="J373" s="861"/>
      <c r="K373" s="861"/>
      <c r="L373" s="861"/>
      <c r="M373" s="861"/>
      <c r="N373" s="861"/>
      <c r="O373" s="861"/>
      <c r="P373" s="861"/>
      <c r="Q373" s="861"/>
      <c r="R373" s="861"/>
      <c r="S373" s="861"/>
      <c r="T373" s="861"/>
      <c r="U373" s="861"/>
      <c r="V373" s="861"/>
      <c r="W373" s="861"/>
      <c r="X373" s="861"/>
      <c r="Y373" s="861"/>
      <c r="Z373" s="861"/>
      <c r="AA373" s="861"/>
      <c r="AB373" s="861"/>
      <c r="AC373" s="861"/>
      <c r="AD373" s="861"/>
      <c r="AE373" s="861"/>
      <c r="AF373" s="861"/>
      <c r="AG373" s="861"/>
    </row>
    <row r="374" spans="1:33" ht="17.25" customHeight="1">
      <c r="A374" s="861"/>
      <c r="B374" s="861"/>
      <c r="C374" s="861"/>
      <c r="D374" s="861"/>
      <c r="E374" s="861"/>
      <c r="F374" s="861"/>
      <c r="G374" s="861"/>
      <c r="H374" s="861"/>
      <c r="I374" s="861"/>
      <c r="J374" s="861"/>
      <c r="K374" s="861"/>
      <c r="L374" s="861"/>
      <c r="M374" s="861"/>
      <c r="N374" s="861"/>
      <c r="O374" s="861"/>
      <c r="P374" s="861"/>
      <c r="Q374" s="861"/>
      <c r="R374" s="861"/>
      <c r="S374" s="861"/>
      <c r="T374" s="861"/>
      <c r="U374" s="861"/>
      <c r="V374" s="861"/>
      <c r="W374" s="861"/>
      <c r="X374" s="861"/>
      <c r="Y374" s="861"/>
      <c r="Z374" s="861"/>
      <c r="AA374" s="861"/>
      <c r="AB374" s="861"/>
      <c r="AC374" s="861"/>
      <c r="AD374" s="861"/>
      <c r="AE374" s="861"/>
      <c r="AF374" s="861"/>
      <c r="AG374" s="861"/>
    </row>
    <row r="375" spans="1:33" ht="17.25" customHeight="1">
      <c r="A375" s="861"/>
      <c r="B375" s="861"/>
      <c r="C375" s="861"/>
      <c r="D375" s="861"/>
      <c r="E375" s="861"/>
      <c r="F375" s="861"/>
      <c r="G375" s="861"/>
      <c r="H375" s="861"/>
      <c r="I375" s="861"/>
      <c r="J375" s="861"/>
      <c r="K375" s="861"/>
      <c r="L375" s="861"/>
      <c r="M375" s="861"/>
      <c r="N375" s="861"/>
      <c r="O375" s="861"/>
      <c r="P375" s="861"/>
      <c r="Q375" s="861"/>
      <c r="R375" s="861"/>
      <c r="S375" s="861"/>
      <c r="T375" s="861"/>
      <c r="U375" s="861"/>
      <c r="V375" s="861"/>
      <c r="W375" s="861"/>
      <c r="X375" s="861"/>
      <c r="Y375" s="861"/>
      <c r="Z375" s="861"/>
      <c r="AA375" s="861"/>
      <c r="AB375" s="861"/>
      <c r="AC375" s="861"/>
      <c r="AD375" s="861"/>
      <c r="AE375" s="861"/>
      <c r="AF375" s="861"/>
      <c r="AG375" s="861"/>
    </row>
    <row r="376" spans="1:33" ht="17.25" customHeight="1">
      <c r="A376" s="861"/>
      <c r="B376" s="861"/>
      <c r="C376" s="861"/>
      <c r="D376" s="861"/>
      <c r="E376" s="861"/>
      <c r="F376" s="861"/>
      <c r="G376" s="861"/>
      <c r="H376" s="861"/>
      <c r="I376" s="861"/>
      <c r="J376" s="861"/>
      <c r="K376" s="861"/>
      <c r="L376" s="861"/>
      <c r="M376" s="861"/>
      <c r="N376" s="861"/>
      <c r="O376" s="861"/>
      <c r="P376" s="861"/>
      <c r="Q376" s="861"/>
      <c r="R376" s="861"/>
      <c r="S376" s="861"/>
      <c r="T376" s="861"/>
      <c r="U376" s="861"/>
      <c r="V376" s="861"/>
      <c r="W376" s="861"/>
      <c r="X376" s="861"/>
      <c r="Y376" s="861"/>
      <c r="Z376" s="861"/>
      <c r="AA376" s="861"/>
      <c r="AB376" s="861"/>
      <c r="AC376" s="861"/>
      <c r="AD376" s="861"/>
      <c r="AE376" s="861"/>
      <c r="AF376" s="861"/>
      <c r="AG376" s="861"/>
    </row>
    <row r="377" spans="1:33" ht="17.25" customHeight="1">
      <c r="A377" s="861"/>
      <c r="B377" s="861"/>
      <c r="C377" s="861"/>
      <c r="D377" s="861"/>
      <c r="E377" s="861"/>
      <c r="F377" s="861"/>
      <c r="G377" s="861"/>
      <c r="H377" s="861"/>
      <c r="I377" s="861"/>
      <c r="J377" s="861"/>
      <c r="K377" s="861"/>
      <c r="L377" s="861"/>
      <c r="M377" s="861"/>
      <c r="N377" s="861"/>
      <c r="O377" s="861"/>
      <c r="P377" s="861"/>
      <c r="Q377" s="861"/>
      <c r="R377" s="861"/>
      <c r="S377" s="861"/>
      <c r="T377" s="861"/>
      <c r="U377" s="861"/>
      <c r="V377" s="861"/>
      <c r="W377" s="861"/>
      <c r="X377" s="861"/>
      <c r="Y377" s="861"/>
      <c r="Z377" s="861"/>
      <c r="AA377" s="861"/>
      <c r="AB377" s="861"/>
      <c r="AC377" s="861"/>
      <c r="AD377" s="861"/>
      <c r="AE377" s="861"/>
      <c r="AF377" s="861"/>
      <c r="AG377" s="861"/>
    </row>
    <row r="378" spans="1:33" ht="17.25" customHeight="1">
      <c r="A378" s="861"/>
      <c r="B378" s="861"/>
      <c r="C378" s="861"/>
      <c r="D378" s="861"/>
      <c r="E378" s="861"/>
      <c r="F378" s="861"/>
      <c r="G378" s="861"/>
      <c r="H378" s="861"/>
      <c r="I378" s="861"/>
      <c r="J378" s="861"/>
      <c r="K378" s="861"/>
      <c r="L378" s="861"/>
      <c r="M378" s="861"/>
      <c r="N378" s="861"/>
      <c r="O378" s="861"/>
      <c r="P378" s="861"/>
      <c r="Q378" s="861"/>
      <c r="R378" s="861"/>
      <c r="S378" s="861"/>
      <c r="T378" s="861"/>
      <c r="U378" s="861"/>
      <c r="V378" s="861"/>
      <c r="W378" s="861"/>
      <c r="X378" s="861"/>
      <c r="Y378" s="861"/>
      <c r="Z378" s="861"/>
      <c r="AA378" s="861"/>
      <c r="AB378" s="861"/>
      <c r="AC378" s="861"/>
      <c r="AD378" s="861"/>
      <c r="AE378" s="861"/>
      <c r="AF378" s="861"/>
      <c r="AG378" s="861"/>
    </row>
    <row r="379" spans="1:33" ht="17.25" customHeight="1">
      <c r="A379" s="861"/>
      <c r="B379" s="861"/>
      <c r="C379" s="861"/>
      <c r="D379" s="861"/>
      <c r="E379" s="861"/>
      <c r="F379" s="861"/>
      <c r="G379" s="861"/>
      <c r="H379" s="861"/>
      <c r="I379" s="861"/>
      <c r="J379" s="861"/>
      <c r="K379" s="861"/>
      <c r="L379" s="861"/>
      <c r="M379" s="861"/>
      <c r="N379" s="861"/>
      <c r="O379" s="861"/>
      <c r="P379" s="861"/>
      <c r="Q379" s="861"/>
      <c r="R379" s="861"/>
      <c r="S379" s="861"/>
      <c r="T379" s="861"/>
      <c r="U379" s="861"/>
      <c r="V379" s="861"/>
      <c r="W379" s="861"/>
      <c r="X379" s="861"/>
      <c r="Y379" s="861"/>
      <c r="Z379" s="861"/>
      <c r="AA379" s="861"/>
      <c r="AB379" s="861"/>
      <c r="AC379" s="861"/>
      <c r="AD379" s="861"/>
      <c r="AE379" s="861"/>
      <c r="AF379" s="861"/>
      <c r="AG379" s="861"/>
    </row>
    <row r="380" spans="1:33" ht="17.25" customHeight="1">
      <c r="A380" s="861"/>
      <c r="B380" s="861"/>
      <c r="C380" s="861"/>
      <c r="D380" s="861"/>
      <c r="E380" s="861"/>
      <c r="F380" s="861"/>
      <c r="G380" s="861"/>
      <c r="H380" s="861"/>
      <c r="I380" s="861"/>
      <c r="J380" s="861"/>
      <c r="K380" s="861"/>
      <c r="L380" s="861"/>
      <c r="M380" s="861"/>
      <c r="N380" s="861"/>
      <c r="O380" s="861"/>
      <c r="P380" s="861"/>
      <c r="Q380" s="861"/>
      <c r="R380" s="861"/>
      <c r="S380" s="861"/>
      <c r="T380" s="861"/>
      <c r="U380" s="861"/>
      <c r="V380" s="861"/>
      <c r="W380" s="861"/>
      <c r="X380" s="861"/>
      <c r="Y380" s="861"/>
      <c r="Z380" s="861"/>
      <c r="AA380" s="861"/>
      <c r="AB380" s="861"/>
      <c r="AC380" s="861"/>
      <c r="AD380" s="861"/>
      <c r="AE380" s="861"/>
      <c r="AF380" s="861"/>
      <c r="AG380" s="861"/>
    </row>
    <row r="381" spans="1:33" ht="17.25" customHeight="1">
      <c r="A381" s="861"/>
      <c r="B381" s="861"/>
      <c r="C381" s="861"/>
      <c r="D381" s="861"/>
      <c r="E381" s="861"/>
      <c r="F381" s="861"/>
      <c r="G381" s="861"/>
      <c r="H381" s="861"/>
      <c r="I381" s="861"/>
      <c r="J381" s="861"/>
      <c r="K381" s="861"/>
      <c r="L381" s="861"/>
      <c r="M381" s="861"/>
      <c r="N381" s="861"/>
      <c r="O381" s="861"/>
      <c r="P381" s="861"/>
      <c r="Q381" s="861"/>
      <c r="R381" s="861"/>
      <c r="S381" s="861"/>
      <c r="T381" s="861"/>
      <c r="U381" s="861"/>
      <c r="V381" s="861"/>
      <c r="W381" s="861"/>
      <c r="X381" s="861"/>
      <c r="Y381" s="861"/>
      <c r="Z381" s="861"/>
      <c r="AA381" s="861"/>
      <c r="AB381" s="861"/>
      <c r="AC381" s="861"/>
      <c r="AD381" s="861"/>
      <c r="AE381" s="861"/>
      <c r="AF381" s="861"/>
      <c r="AG381" s="861"/>
    </row>
    <row r="382" spans="1:33" ht="17.25" customHeight="1">
      <c r="A382" s="861"/>
      <c r="B382" s="861"/>
      <c r="C382" s="861"/>
      <c r="D382" s="861"/>
      <c r="E382" s="861"/>
      <c r="F382" s="861"/>
      <c r="G382" s="861"/>
      <c r="H382" s="861"/>
      <c r="I382" s="861"/>
      <c r="J382" s="861"/>
      <c r="K382" s="861"/>
      <c r="L382" s="861"/>
      <c r="M382" s="861"/>
      <c r="N382" s="861"/>
      <c r="O382" s="861"/>
      <c r="P382" s="861"/>
      <c r="Q382" s="861"/>
      <c r="R382" s="861"/>
      <c r="S382" s="861"/>
      <c r="T382" s="861"/>
      <c r="U382" s="861"/>
      <c r="V382" s="861"/>
      <c r="W382" s="861"/>
      <c r="X382" s="861"/>
      <c r="Y382" s="861"/>
      <c r="Z382" s="861"/>
      <c r="AA382" s="861"/>
      <c r="AB382" s="861"/>
      <c r="AC382" s="861"/>
      <c r="AD382" s="861"/>
      <c r="AE382" s="861"/>
      <c r="AF382" s="861"/>
      <c r="AG382" s="861"/>
    </row>
    <row r="383" spans="1:33" ht="17.25" customHeight="1">
      <c r="A383" s="861"/>
      <c r="B383" s="861"/>
      <c r="C383" s="861"/>
      <c r="D383" s="861"/>
      <c r="E383" s="861"/>
      <c r="F383" s="861"/>
      <c r="G383" s="861"/>
      <c r="H383" s="861"/>
      <c r="I383" s="861"/>
      <c r="J383" s="861"/>
      <c r="K383" s="861"/>
      <c r="L383" s="861"/>
      <c r="M383" s="861"/>
      <c r="N383" s="861"/>
      <c r="O383" s="861"/>
      <c r="P383" s="861"/>
      <c r="Q383" s="861"/>
      <c r="R383" s="861"/>
      <c r="S383" s="861"/>
      <c r="T383" s="861"/>
      <c r="U383" s="861"/>
      <c r="V383" s="861"/>
      <c r="W383" s="861"/>
      <c r="X383" s="861"/>
      <c r="Y383" s="861"/>
      <c r="Z383" s="861"/>
      <c r="AA383" s="861"/>
      <c r="AB383" s="861"/>
      <c r="AC383" s="861"/>
      <c r="AD383" s="861"/>
      <c r="AE383" s="861"/>
      <c r="AF383" s="861"/>
      <c r="AG383" s="861"/>
    </row>
    <row r="384" spans="1:33" ht="17.25" customHeight="1">
      <c r="A384" s="861"/>
      <c r="B384" s="861"/>
      <c r="C384" s="861"/>
      <c r="D384" s="861"/>
      <c r="E384" s="861"/>
      <c r="F384" s="861"/>
      <c r="G384" s="861"/>
      <c r="H384" s="861"/>
      <c r="I384" s="861"/>
      <c r="J384" s="861"/>
      <c r="K384" s="861"/>
      <c r="L384" s="861"/>
      <c r="M384" s="861"/>
      <c r="N384" s="861"/>
      <c r="O384" s="861"/>
      <c r="P384" s="861"/>
      <c r="Q384" s="861"/>
      <c r="R384" s="861"/>
      <c r="S384" s="861"/>
      <c r="T384" s="861"/>
      <c r="U384" s="861"/>
      <c r="V384" s="861"/>
      <c r="W384" s="861"/>
      <c r="X384" s="861"/>
      <c r="Y384" s="861"/>
      <c r="Z384" s="861"/>
      <c r="AA384" s="861"/>
      <c r="AB384" s="861"/>
      <c r="AC384" s="861"/>
      <c r="AD384" s="861"/>
      <c r="AE384" s="861"/>
      <c r="AF384" s="861"/>
      <c r="AG384" s="861"/>
    </row>
    <row r="385" spans="1:33" ht="17.25" customHeight="1">
      <c r="A385" s="861"/>
      <c r="B385" s="861"/>
      <c r="C385" s="861"/>
      <c r="D385" s="861"/>
      <c r="E385" s="861"/>
      <c r="F385" s="861"/>
      <c r="G385" s="861"/>
      <c r="H385" s="861"/>
      <c r="I385" s="861"/>
      <c r="J385" s="861"/>
      <c r="K385" s="861"/>
      <c r="L385" s="861"/>
      <c r="M385" s="861"/>
      <c r="N385" s="861"/>
      <c r="O385" s="861"/>
      <c r="P385" s="861"/>
      <c r="Q385" s="861"/>
      <c r="R385" s="861"/>
      <c r="S385" s="861"/>
      <c r="T385" s="861"/>
      <c r="U385" s="861"/>
      <c r="V385" s="861"/>
      <c r="W385" s="861"/>
      <c r="X385" s="861"/>
      <c r="Y385" s="861"/>
      <c r="Z385" s="861"/>
      <c r="AA385" s="861"/>
      <c r="AB385" s="861"/>
      <c r="AC385" s="861"/>
      <c r="AD385" s="861"/>
      <c r="AE385" s="861"/>
      <c r="AF385" s="861"/>
      <c r="AG385" s="861"/>
    </row>
    <row r="386" spans="1:33" ht="17.25" customHeight="1">
      <c r="A386" s="861"/>
      <c r="B386" s="861"/>
      <c r="C386" s="861"/>
      <c r="D386" s="861"/>
      <c r="E386" s="861"/>
      <c r="F386" s="861"/>
      <c r="G386" s="861"/>
      <c r="H386" s="861"/>
      <c r="I386" s="861"/>
      <c r="J386" s="861"/>
      <c r="K386" s="861"/>
      <c r="L386" s="861"/>
      <c r="M386" s="861"/>
      <c r="N386" s="861"/>
      <c r="O386" s="861"/>
      <c r="P386" s="861"/>
      <c r="Q386" s="861"/>
      <c r="R386" s="861"/>
      <c r="S386" s="861"/>
      <c r="T386" s="861"/>
      <c r="U386" s="861"/>
      <c r="V386" s="861"/>
      <c r="W386" s="861"/>
      <c r="X386" s="861"/>
      <c r="Y386" s="861"/>
      <c r="Z386" s="861"/>
      <c r="AA386" s="861"/>
      <c r="AB386" s="861"/>
      <c r="AC386" s="861"/>
      <c r="AD386" s="861"/>
      <c r="AE386" s="861"/>
      <c r="AF386" s="861"/>
      <c r="AG386" s="861"/>
    </row>
    <row r="387" spans="1:33" ht="17.25" customHeight="1">
      <c r="A387" s="861"/>
      <c r="B387" s="861"/>
      <c r="C387" s="861"/>
      <c r="D387" s="861"/>
      <c r="E387" s="861"/>
      <c r="F387" s="861"/>
      <c r="G387" s="861"/>
      <c r="H387" s="861"/>
      <c r="I387" s="861"/>
      <c r="J387" s="861"/>
      <c r="K387" s="861"/>
      <c r="L387" s="861"/>
      <c r="M387" s="861"/>
      <c r="N387" s="861"/>
      <c r="O387" s="861"/>
      <c r="P387" s="861"/>
      <c r="Q387" s="861"/>
      <c r="R387" s="861"/>
      <c r="S387" s="861"/>
      <c r="T387" s="861"/>
      <c r="U387" s="861"/>
      <c r="V387" s="861"/>
      <c r="W387" s="861"/>
      <c r="X387" s="861"/>
      <c r="Y387" s="861"/>
      <c r="Z387" s="861"/>
      <c r="AA387" s="861"/>
      <c r="AB387" s="861"/>
      <c r="AC387" s="861"/>
      <c r="AD387" s="861"/>
      <c r="AE387" s="861"/>
      <c r="AF387" s="861"/>
      <c r="AG387" s="861"/>
    </row>
    <row r="388" spans="1:33" ht="17.25" customHeight="1">
      <c r="A388" s="861"/>
      <c r="B388" s="861"/>
      <c r="C388" s="861"/>
      <c r="D388" s="861"/>
      <c r="E388" s="861"/>
      <c r="F388" s="861"/>
      <c r="G388" s="861"/>
      <c r="H388" s="861"/>
      <c r="I388" s="861"/>
      <c r="J388" s="861"/>
      <c r="K388" s="861"/>
      <c r="L388" s="861"/>
      <c r="M388" s="861"/>
      <c r="N388" s="861"/>
      <c r="O388" s="861"/>
      <c r="P388" s="861"/>
      <c r="Q388" s="861"/>
      <c r="R388" s="861"/>
      <c r="S388" s="861"/>
      <c r="T388" s="861"/>
      <c r="U388" s="861"/>
      <c r="V388" s="861"/>
      <c r="W388" s="861"/>
      <c r="X388" s="861"/>
      <c r="Y388" s="861"/>
      <c r="Z388" s="861"/>
      <c r="AA388" s="861"/>
      <c r="AB388" s="861"/>
      <c r="AC388" s="861"/>
      <c r="AD388" s="861"/>
      <c r="AE388" s="861"/>
      <c r="AF388" s="861"/>
      <c r="AG388" s="861"/>
    </row>
    <row r="389" spans="1:33" ht="17.25" customHeight="1">
      <c r="A389" s="861"/>
      <c r="B389" s="861"/>
      <c r="C389" s="861"/>
      <c r="D389" s="861"/>
      <c r="E389" s="861"/>
      <c r="F389" s="861"/>
      <c r="G389" s="861"/>
      <c r="H389" s="861"/>
      <c r="I389" s="861"/>
      <c r="J389" s="861"/>
      <c r="K389" s="861"/>
      <c r="L389" s="861"/>
      <c r="M389" s="861"/>
      <c r="N389" s="861"/>
      <c r="O389" s="861"/>
      <c r="P389" s="861"/>
      <c r="Q389" s="861"/>
      <c r="R389" s="861"/>
      <c r="S389" s="861"/>
      <c r="T389" s="861"/>
      <c r="U389" s="861"/>
      <c r="V389" s="861"/>
      <c r="W389" s="861"/>
      <c r="X389" s="861"/>
      <c r="Y389" s="861"/>
      <c r="Z389" s="861"/>
      <c r="AA389" s="861"/>
      <c r="AB389" s="861"/>
      <c r="AC389" s="861"/>
      <c r="AD389" s="861"/>
      <c r="AE389" s="861"/>
      <c r="AF389" s="861"/>
      <c r="AG389" s="861"/>
    </row>
    <row r="390" spans="1:33" ht="17.25" customHeight="1">
      <c r="A390" s="861"/>
      <c r="B390" s="861"/>
      <c r="C390" s="861"/>
      <c r="D390" s="861"/>
      <c r="E390" s="861"/>
      <c r="F390" s="861"/>
      <c r="G390" s="861"/>
      <c r="H390" s="861"/>
      <c r="I390" s="861"/>
      <c r="J390" s="861"/>
      <c r="K390" s="861"/>
      <c r="L390" s="861"/>
      <c r="M390" s="861"/>
      <c r="N390" s="861"/>
      <c r="O390" s="861"/>
      <c r="P390" s="861"/>
      <c r="Q390" s="861"/>
      <c r="R390" s="861"/>
      <c r="S390" s="861"/>
      <c r="T390" s="861"/>
      <c r="U390" s="861"/>
      <c r="V390" s="861"/>
      <c r="W390" s="861"/>
      <c r="X390" s="861"/>
      <c r="Y390" s="861"/>
      <c r="Z390" s="861"/>
      <c r="AA390" s="861"/>
      <c r="AB390" s="861"/>
      <c r="AC390" s="861"/>
      <c r="AD390" s="861"/>
      <c r="AE390" s="861"/>
      <c r="AF390" s="861"/>
      <c r="AG390" s="861"/>
    </row>
    <row r="391" spans="1:33" ht="17.25" customHeight="1">
      <c r="A391" s="861"/>
      <c r="B391" s="861"/>
      <c r="C391" s="861"/>
      <c r="D391" s="861"/>
      <c r="E391" s="861"/>
      <c r="F391" s="861"/>
      <c r="G391" s="861"/>
      <c r="H391" s="861"/>
      <c r="I391" s="861"/>
      <c r="J391" s="861"/>
      <c r="K391" s="861"/>
      <c r="L391" s="861"/>
      <c r="M391" s="861"/>
      <c r="N391" s="861"/>
      <c r="O391" s="861"/>
      <c r="P391" s="861"/>
      <c r="Q391" s="861"/>
      <c r="R391" s="861"/>
      <c r="S391" s="861"/>
      <c r="T391" s="861"/>
      <c r="U391" s="861"/>
      <c r="V391" s="861"/>
      <c r="W391" s="861"/>
      <c r="X391" s="861"/>
      <c r="Y391" s="861"/>
      <c r="Z391" s="861"/>
      <c r="AA391" s="861"/>
      <c r="AB391" s="861"/>
      <c r="AC391" s="861"/>
      <c r="AD391" s="861"/>
      <c r="AE391" s="861"/>
      <c r="AF391" s="861"/>
      <c r="AG391" s="861"/>
    </row>
    <row r="392" spans="1:33" ht="17.25" customHeight="1">
      <c r="A392" s="861"/>
      <c r="B392" s="861"/>
      <c r="C392" s="861"/>
      <c r="D392" s="861"/>
      <c r="E392" s="861"/>
      <c r="F392" s="861"/>
      <c r="G392" s="861"/>
      <c r="H392" s="861"/>
      <c r="I392" s="861"/>
      <c r="J392" s="861"/>
      <c r="K392" s="861"/>
      <c r="L392" s="861"/>
      <c r="M392" s="861"/>
      <c r="N392" s="861"/>
      <c r="O392" s="861"/>
      <c r="P392" s="861"/>
      <c r="Q392" s="861"/>
      <c r="R392" s="861"/>
      <c r="S392" s="861"/>
      <c r="T392" s="861"/>
      <c r="U392" s="861"/>
      <c r="V392" s="861"/>
      <c r="W392" s="861"/>
      <c r="X392" s="861"/>
      <c r="Y392" s="861"/>
      <c r="Z392" s="861"/>
      <c r="AA392" s="861"/>
      <c r="AB392" s="861"/>
      <c r="AC392" s="861"/>
      <c r="AD392" s="861"/>
      <c r="AE392" s="861"/>
      <c r="AF392" s="861"/>
      <c r="AG392" s="861"/>
    </row>
    <row r="393" spans="1:33" ht="17.25" customHeight="1">
      <c r="A393" s="861"/>
      <c r="B393" s="861"/>
      <c r="C393" s="861"/>
      <c r="D393" s="861"/>
      <c r="E393" s="861"/>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row>
    <row r="394" spans="1:33" ht="17.25" customHeight="1">
      <c r="A394" s="861"/>
      <c r="B394" s="861"/>
      <c r="C394" s="861"/>
      <c r="D394" s="861"/>
      <c r="E394" s="861"/>
      <c r="F394" s="861"/>
      <c r="G394" s="861"/>
      <c r="H394" s="861"/>
      <c r="I394" s="861"/>
      <c r="J394" s="861"/>
      <c r="K394" s="861"/>
      <c r="L394" s="861"/>
      <c r="M394" s="861"/>
      <c r="N394" s="861"/>
      <c r="O394" s="861"/>
      <c r="P394" s="861"/>
      <c r="Q394" s="861"/>
      <c r="R394" s="861"/>
      <c r="S394" s="861"/>
      <c r="T394" s="861"/>
      <c r="U394" s="861"/>
      <c r="V394" s="861"/>
      <c r="W394" s="861"/>
      <c r="X394" s="861"/>
      <c r="Y394" s="861"/>
      <c r="Z394" s="861"/>
      <c r="AA394" s="861"/>
      <c r="AB394" s="861"/>
      <c r="AC394" s="861"/>
      <c r="AD394" s="861"/>
      <c r="AE394" s="861"/>
      <c r="AF394" s="861"/>
      <c r="AG394" s="861"/>
    </row>
    <row r="395" spans="1:33" ht="17.25" customHeight="1">
      <c r="A395" s="861"/>
      <c r="B395" s="861"/>
      <c r="C395" s="861"/>
      <c r="D395" s="861"/>
      <c r="E395" s="861"/>
      <c r="F395" s="861"/>
      <c r="G395" s="861"/>
      <c r="H395" s="861"/>
      <c r="I395" s="861"/>
      <c r="J395" s="861"/>
      <c r="K395" s="861"/>
      <c r="L395" s="861"/>
      <c r="M395" s="861"/>
      <c r="N395" s="861"/>
      <c r="O395" s="861"/>
      <c r="P395" s="861"/>
      <c r="Q395" s="861"/>
      <c r="R395" s="861"/>
      <c r="S395" s="861"/>
      <c r="T395" s="861"/>
      <c r="U395" s="861"/>
      <c r="V395" s="861"/>
      <c r="W395" s="861"/>
      <c r="X395" s="861"/>
      <c r="Y395" s="861"/>
      <c r="Z395" s="861"/>
      <c r="AA395" s="861"/>
      <c r="AB395" s="861"/>
      <c r="AC395" s="861"/>
      <c r="AD395" s="861"/>
      <c r="AE395" s="861"/>
      <c r="AF395" s="861"/>
      <c r="AG395" s="861"/>
    </row>
    <row r="396" spans="1:33" ht="17.25" customHeight="1">
      <c r="A396" s="861"/>
      <c r="B396" s="861"/>
      <c r="C396" s="861"/>
      <c r="D396" s="861"/>
      <c r="E396" s="861"/>
      <c r="F396" s="861"/>
      <c r="G396" s="861"/>
      <c r="H396" s="861"/>
      <c r="I396" s="861"/>
      <c r="J396" s="861"/>
      <c r="K396" s="861"/>
      <c r="L396" s="861"/>
      <c r="M396" s="861"/>
      <c r="N396" s="861"/>
      <c r="O396" s="861"/>
      <c r="P396" s="861"/>
      <c r="Q396" s="861"/>
      <c r="R396" s="861"/>
      <c r="S396" s="861"/>
      <c r="T396" s="861"/>
      <c r="U396" s="861"/>
      <c r="V396" s="861"/>
      <c r="W396" s="861"/>
      <c r="X396" s="861"/>
      <c r="Y396" s="861"/>
      <c r="Z396" s="861"/>
      <c r="AA396" s="861"/>
      <c r="AB396" s="861"/>
      <c r="AC396" s="861"/>
      <c r="AD396" s="861"/>
      <c r="AE396" s="861"/>
      <c r="AF396" s="861"/>
      <c r="AG396" s="861"/>
    </row>
    <row r="397" spans="1:33" ht="17.25" customHeight="1">
      <c r="A397" s="861"/>
      <c r="B397" s="861"/>
      <c r="C397" s="861"/>
      <c r="D397" s="861"/>
      <c r="E397" s="861"/>
      <c r="F397" s="861"/>
      <c r="G397" s="861"/>
      <c r="H397" s="861"/>
      <c r="I397" s="861"/>
      <c r="J397" s="861"/>
      <c r="K397" s="861"/>
      <c r="L397" s="861"/>
      <c r="M397" s="861"/>
      <c r="N397" s="861"/>
      <c r="O397" s="861"/>
      <c r="P397" s="861"/>
      <c r="Q397" s="861"/>
      <c r="R397" s="861"/>
      <c r="S397" s="861"/>
      <c r="T397" s="861"/>
      <c r="U397" s="861"/>
      <c r="V397" s="861"/>
      <c r="W397" s="861"/>
      <c r="X397" s="861"/>
      <c r="Y397" s="861"/>
      <c r="Z397" s="861"/>
      <c r="AA397" s="861"/>
      <c r="AB397" s="861"/>
      <c r="AC397" s="861"/>
      <c r="AD397" s="861"/>
      <c r="AE397" s="861"/>
      <c r="AF397" s="861"/>
      <c r="AG397" s="861"/>
    </row>
    <row r="398" spans="1:33" ht="17.25" customHeight="1">
      <c r="A398" s="861"/>
      <c r="B398" s="861"/>
      <c r="C398" s="861"/>
      <c r="D398" s="861"/>
      <c r="E398" s="861"/>
      <c r="F398" s="861"/>
      <c r="G398" s="861"/>
      <c r="H398" s="861"/>
      <c r="I398" s="861"/>
      <c r="J398" s="861"/>
      <c r="K398" s="861"/>
      <c r="L398" s="861"/>
      <c r="M398" s="861"/>
      <c r="N398" s="861"/>
      <c r="O398" s="861"/>
      <c r="P398" s="861"/>
      <c r="Q398" s="861"/>
      <c r="R398" s="861"/>
      <c r="S398" s="861"/>
      <c r="T398" s="861"/>
      <c r="U398" s="861"/>
      <c r="V398" s="861"/>
      <c r="W398" s="861"/>
      <c r="X398" s="861"/>
      <c r="Y398" s="861"/>
      <c r="Z398" s="861"/>
      <c r="AA398" s="861"/>
      <c r="AB398" s="861"/>
      <c r="AC398" s="861"/>
      <c r="AD398" s="861"/>
      <c r="AE398" s="861"/>
      <c r="AF398" s="861"/>
      <c r="AG398" s="861"/>
    </row>
    <row r="399" spans="1:33" ht="17.25" customHeight="1">
      <c r="A399" s="861"/>
      <c r="B399" s="861"/>
      <c r="C399" s="861"/>
      <c r="D399" s="861"/>
      <c r="E399" s="861"/>
      <c r="F399" s="861"/>
      <c r="G399" s="861"/>
      <c r="H399" s="861"/>
      <c r="I399" s="861"/>
      <c r="J399" s="861"/>
      <c r="K399" s="861"/>
      <c r="L399" s="861"/>
      <c r="M399" s="861"/>
      <c r="N399" s="861"/>
      <c r="O399" s="861"/>
      <c r="P399" s="861"/>
      <c r="Q399" s="861"/>
      <c r="R399" s="861"/>
      <c r="S399" s="861"/>
      <c r="T399" s="861"/>
      <c r="U399" s="861"/>
      <c r="V399" s="861"/>
      <c r="W399" s="861"/>
      <c r="X399" s="861"/>
      <c r="Y399" s="861"/>
      <c r="Z399" s="861"/>
      <c r="AA399" s="861"/>
      <c r="AB399" s="861"/>
      <c r="AC399" s="861"/>
      <c r="AD399" s="861"/>
      <c r="AE399" s="861"/>
      <c r="AF399" s="861"/>
      <c r="AG399" s="861"/>
    </row>
    <row r="400" spans="1:33" ht="17.25" customHeight="1">
      <c r="A400" s="861"/>
      <c r="B400" s="861"/>
      <c r="C400" s="861"/>
      <c r="D400" s="861"/>
      <c r="E400" s="861"/>
      <c r="F400" s="861"/>
      <c r="G400" s="861"/>
      <c r="H400" s="861"/>
      <c r="I400" s="861"/>
      <c r="J400" s="861"/>
      <c r="K400" s="861"/>
      <c r="L400" s="861"/>
      <c r="M400" s="861"/>
      <c r="N400" s="861"/>
      <c r="O400" s="861"/>
      <c r="P400" s="861"/>
      <c r="Q400" s="861"/>
      <c r="R400" s="861"/>
      <c r="S400" s="861"/>
      <c r="T400" s="861"/>
      <c r="U400" s="861"/>
      <c r="V400" s="861"/>
      <c r="W400" s="861"/>
      <c r="X400" s="861"/>
      <c r="Y400" s="861"/>
      <c r="Z400" s="861"/>
      <c r="AA400" s="861"/>
      <c r="AB400" s="861"/>
      <c r="AC400" s="861"/>
      <c r="AD400" s="861"/>
      <c r="AE400" s="861"/>
      <c r="AF400" s="861"/>
      <c r="AG400" s="861"/>
    </row>
    <row r="401" spans="1:33" ht="17.25" customHeight="1">
      <c r="A401" s="861"/>
      <c r="B401" s="861"/>
      <c r="C401" s="861"/>
      <c r="D401" s="861"/>
      <c r="E401" s="861"/>
      <c r="F401" s="861"/>
      <c r="G401" s="861"/>
      <c r="H401" s="861"/>
      <c r="I401" s="861"/>
      <c r="J401" s="861"/>
      <c r="K401" s="861"/>
      <c r="L401" s="861"/>
      <c r="M401" s="861"/>
      <c r="N401" s="861"/>
      <c r="O401" s="861"/>
      <c r="P401" s="861"/>
      <c r="Q401" s="861"/>
      <c r="R401" s="861"/>
      <c r="S401" s="861"/>
      <c r="T401" s="861"/>
      <c r="U401" s="861"/>
      <c r="V401" s="861"/>
      <c r="W401" s="861"/>
      <c r="X401" s="861"/>
      <c r="Y401" s="861"/>
      <c r="Z401" s="861"/>
      <c r="AA401" s="861"/>
      <c r="AB401" s="861"/>
      <c r="AC401" s="861"/>
      <c r="AD401" s="861"/>
      <c r="AE401" s="861"/>
      <c r="AF401" s="861"/>
      <c r="AG401" s="861"/>
    </row>
    <row r="402" spans="1:33" ht="17.25" customHeight="1">
      <c r="A402" s="861"/>
      <c r="B402" s="861"/>
      <c r="C402" s="861"/>
      <c r="D402" s="861"/>
      <c r="E402" s="861"/>
      <c r="F402" s="861"/>
      <c r="G402" s="861"/>
      <c r="H402" s="861"/>
      <c r="I402" s="861"/>
      <c r="J402" s="861"/>
      <c r="K402" s="861"/>
      <c r="L402" s="861"/>
      <c r="M402" s="861"/>
      <c r="N402" s="861"/>
      <c r="O402" s="861"/>
      <c r="P402" s="861"/>
      <c r="Q402" s="861"/>
      <c r="R402" s="861"/>
      <c r="S402" s="861"/>
      <c r="T402" s="861"/>
      <c r="U402" s="861"/>
      <c r="V402" s="861"/>
      <c r="W402" s="861"/>
      <c r="X402" s="861"/>
      <c r="Y402" s="861"/>
      <c r="Z402" s="861"/>
      <c r="AA402" s="861"/>
      <c r="AB402" s="861"/>
      <c r="AC402" s="861"/>
      <c r="AD402" s="861"/>
      <c r="AE402" s="861"/>
      <c r="AF402" s="861"/>
      <c r="AG402" s="861"/>
    </row>
    <row r="403" spans="1:33" ht="17.25" customHeight="1">
      <c r="A403" s="861"/>
      <c r="B403" s="861"/>
      <c r="C403" s="861"/>
      <c r="D403" s="861"/>
      <c r="E403" s="861"/>
      <c r="F403" s="861"/>
      <c r="G403" s="861"/>
      <c r="H403" s="861"/>
      <c r="I403" s="861"/>
      <c r="J403" s="861"/>
      <c r="K403" s="861"/>
      <c r="L403" s="861"/>
      <c r="M403" s="861"/>
      <c r="N403" s="861"/>
      <c r="O403" s="861"/>
      <c r="P403" s="861"/>
      <c r="Q403" s="861"/>
      <c r="R403" s="861"/>
      <c r="S403" s="861"/>
      <c r="T403" s="861"/>
      <c r="U403" s="861"/>
      <c r="V403" s="861"/>
      <c r="W403" s="861"/>
      <c r="X403" s="861"/>
      <c r="Y403" s="861"/>
      <c r="Z403" s="861"/>
      <c r="AA403" s="861"/>
      <c r="AB403" s="861"/>
      <c r="AC403" s="861"/>
      <c r="AD403" s="861"/>
      <c r="AE403" s="861"/>
      <c r="AF403" s="861"/>
      <c r="AG403" s="861"/>
    </row>
    <row r="404" spans="1:33" ht="17.25" customHeight="1">
      <c r="A404" s="861"/>
      <c r="B404" s="861"/>
      <c r="C404" s="861"/>
      <c r="D404" s="861"/>
      <c r="E404" s="861"/>
      <c r="F404" s="861"/>
      <c r="G404" s="861"/>
      <c r="H404" s="861"/>
      <c r="I404" s="861"/>
      <c r="J404" s="861"/>
      <c r="K404" s="861"/>
      <c r="L404" s="861"/>
      <c r="M404" s="861"/>
      <c r="N404" s="861"/>
      <c r="O404" s="861"/>
      <c r="P404" s="861"/>
      <c r="Q404" s="861"/>
      <c r="R404" s="861"/>
      <c r="S404" s="861"/>
      <c r="T404" s="861"/>
      <c r="U404" s="861"/>
      <c r="V404" s="861"/>
      <c r="W404" s="861"/>
      <c r="X404" s="861"/>
      <c r="Y404" s="861"/>
      <c r="Z404" s="861"/>
      <c r="AA404" s="861"/>
      <c r="AB404" s="861"/>
      <c r="AC404" s="861"/>
      <c r="AD404" s="861"/>
      <c r="AE404" s="861"/>
      <c r="AF404" s="861"/>
      <c r="AG404" s="861"/>
    </row>
    <row r="405" spans="1:33" ht="17.25" customHeight="1">
      <c r="A405" s="861"/>
      <c r="B405" s="861"/>
      <c r="C405" s="861"/>
      <c r="D405" s="861"/>
      <c r="E405" s="861"/>
      <c r="F405" s="861"/>
      <c r="G405" s="861"/>
      <c r="H405" s="861"/>
      <c r="I405" s="861"/>
      <c r="J405" s="861"/>
      <c r="K405" s="861"/>
      <c r="L405" s="861"/>
      <c r="M405" s="861"/>
      <c r="N405" s="861"/>
      <c r="O405" s="861"/>
      <c r="P405" s="861"/>
      <c r="Q405" s="861"/>
      <c r="R405" s="861"/>
      <c r="S405" s="861"/>
      <c r="T405" s="861"/>
      <c r="U405" s="861"/>
      <c r="V405" s="861"/>
      <c r="W405" s="861"/>
      <c r="X405" s="861"/>
      <c r="Y405" s="861"/>
      <c r="Z405" s="861"/>
      <c r="AA405" s="861"/>
      <c r="AB405" s="861"/>
      <c r="AC405" s="861"/>
      <c r="AD405" s="861"/>
      <c r="AE405" s="861"/>
      <c r="AF405" s="861"/>
      <c r="AG405" s="861"/>
    </row>
    <row r="406" spans="1:33" ht="17.25" customHeight="1">
      <c r="A406" s="861"/>
      <c r="B406" s="861"/>
      <c r="C406" s="861"/>
      <c r="D406" s="861"/>
      <c r="E406" s="861"/>
      <c r="F406" s="861"/>
      <c r="G406" s="861"/>
      <c r="H406" s="861"/>
      <c r="I406" s="861"/>
      <c r="J406" s="861"/>
      <c r="K406" s="861"/>
      <c r="L406" s="861"/>
      <c r="M406" s="861"/>
      <c r="N406" s="861"/>
      <c r="O406" s="861"/>
      <c r="P406" s="861"/>
      <c r="Q406" s="861"/>
      <c r="R406" s="861"/>
      <c r="S406" s="861"/>
      <c r="T406" s="861"/>
      <c r="U406" s="861"/>
      <c r="V406" s="861"/>
      <c r="W406" s="861"/>
      <c r="X406" s="861"/>
      <c r="Y406" s="861"/>
      <c r="Z406" s="861"/>
      <c r="AA406" s="861"/>
      <c r="AB406" s="861"/>
      <c r="AC406" s="861"/>
      <c r="AD406" s="861"/>
      <c r="AE406" s="861"/>
      <c r="AF406" s="861"/>
      <c r="AG406" s="861"/>
    </row>
    <row r="407" spans="1:33" ht="17.25" customHeight="1">
      <c r="A407" s="861"/>
      <c r="B407" s="861"/>
      <c r="C407" s="861"/>
      <c r="D407" s="861"/>
      <c r="E407" s="861"/>
      <c r="F407" s="861"/>
      <c r="G407" s="861"/>
      <c r="H407" s="861"/>
      <c r="I407" s="861"/>
      <c r="J407" s="861"/>
      <c r="K407" s="861"/>
      <c r="L407" s="861"/>
      <c r="M407" s="861"/>
      <c r="N407" s="861"/>
      <c r="O407" s="861"/>
      <c r="P407" s="861"/>
      <c r="Q407" s="861"/>
      <c r="R407" s="861"/>
      <c r="S407" s="861"/>
      <c r="T407" s="861"/>
      <c r="U407" s="861"/>
      <c r="V407" s="861"/>
      <c r="W407" s="861"/>
      <c r="X407" s="861"/>
      <c r="Y407" s="861"/>
      <c r="Z407" s="861"/>
      <c r="AA407" s="861"/>
      <c r="AB407" s="861"/>
      <c r="AC407" s="861"/>
      <c r="AD407" s="861"/>
      <c r="AE407" s="861"/>
      <c r="AF407" s="861"/>
      <c r="AG407" s="861"/>
    </row>
    <row r="408" spans="1:33" ht="17.25" customHeight="1">
      <c r="A408" s="861"/>
      <c r="B408" s="861"/>
      <c r="C408" s="861"/>
      <c r="D408" s="861"/>
      <c r="E408" s="861"/>
      <c r="F408" s="861"/>
      <c r="G408" s="861"/>
      <c r="H408" s="861"/>
      <c r="I408" s="861"/>
      <c r="J408" s="861"/>
      <c r="K408" s="861"/>
      <c r="L408" s="861"/>
      <c r="M408" s="861"/>
      <c r="N408" s="861"/>
      <c r="O408" s="861"/>
      <c r="P408" s="861"/>
      <c r="Q408" s="861"/>
      <c r="R408" s="861"/>
      <c r="S408" s="861"/>
      <c r="T408" s="861"/>
      <c r="U408" s="861"/>
      <c r="V408" s="861"/>
      <c r="W408" s="861"/>
      <c r="X408" s="861"/>
      <c r="Y408" s="861"/>
      <c r="Z408" s="861"/>
      <c r="AA408" s="861"/>
      <c r="AB408" s="861"/>
      <c r="AC408" s="861"/>
      <c r="AD408" s="861"/>
      <c r="AE408" s="861"/>
      <c r="AF408" s="861"/>
      <c r="AG408" s="861"/>
    </row>
    <row r="409" spans="1:33" ht="17.25" customHeight="1">
      <c r="A409" s="861"/>
      <c r="B409" s="861"/>
      <c r="C409" s="861"/>
      <c r="D409" s="861"/>
      <c r="E409" s="861"/>
      <c r="F409" s="861"/>
      <c r="G409" s="861"/>
      <c r="H409" s="861"/>
      <c r="I409" s="861"/>
      <c r="J409" s="861"/>
      <c r="K409" s="861"/>
      <c r="L409" s="861"/>
      <c r="M409" s="861"/>
      <c r="N409" s="861"/>
      <c r="O409" s="861"/>
      <c r="P409" s="861"/>
      <c r="Q409" s="861"/>
      <c r="R409" s="861"/>
      <c r="S409" s="861"/>
      <c r="T409" s="861"/>
      <c r="U409" s="861"/>
      <c r="V409" s="861"/>
      <c r="W409" s="861"/>
      <c r="X409" s="861"/>
      <c r="Y409" s="861"/>
      <c r="Z409" s="861"/>
      <c r="AA409" s="861"/>
      <c r="AB409" s="861"/>
      <c r="AC409" s="861"/>
      <c r="AD409" s="861"/>
      <c r="AE409" s="861"/>
      <c r="AF409" s="861"/>
      <c r="AG409" s="861"/>
    </row>
    <row r="410" spans="1:33" ht="17.25" customHeight="1">
      <c r="A410" s="861"/>
      <c r="B410" s="861"/>
      <c r="C410" s="861"/>
      <c r="D410" s="861"/>
      <c r="E410" s="861"/>
      <c r="F410" s="861"/>
      <c r="G410" s="861"/>
      <c r="H410" s="861"/>
      <c r="I410" s="861"/>
      <c r="J410" s="861"/>
      <c r="K410" s="861"/>
      <c r="L410" s="861"/>
      <c r="M410" s="861"/>
      <c r="N410" s="861"/>
      <c r="O410" s="861"/>
      <c r="P410" s="861"/>
      <c r="Q410" s="861"/>
      <c r="R410" s="861"/>
      <c r="S410" s="861"/>
      <c r="T410" s="861"/>
      <c r="U410" s="861"/>
      <c r="V410" s="861"/>
      <c r="W410" s="861"/>
      <c r="X410" s="861"/>
      <c r="Y410" s="861"/>
      <c r="Z410" s="861"/>
      <c r="AA410" s="861"/>
      <c r="AB410" s="861"/>
      <c r="AC410" s="861"/>
      <c r="AD410" s="861"/>
      <c r="AE410" s="861"/>
      <c r="AF410" s="861"/>
      <c r="AG410" s="861"/>
    </row>
    <row r="411" spans="1:33" ht="17.25" customHeight="1">
      <c r="A411" s="861"/>
      <c r="B411" s="861"/>
      <c r="C411" s="861"/>
      <c r="D411" s="861"/>
      <c r="E411" s="861"/>
      <c r="F411" s="861"/>
      <c r="G411" s="861"/>
      <c r="H411" s="861"/>
      <c r="I411" s="861"/>
      <c r="J411" s="861"/>
      <c r="K411" s="861"/>
      <c r="L411" s="861"/>
      <c r="M411" s="861"/>
      <c r="N411" s="861"/>
      <c r="O411" s="861"/>
      <c r="P411" s="861"/>
      <c r="Q411" s="861"/>
      <c r="R411" s="861"/>
      <c r="S411" s="861"/>
      <c r="T411" s="861"/>
      <c r="U411" s="861"/>
      <c r="V411" s="861"/>
      <c r="W411" s="861"/>
      <c r="X411" s="861"/>
      <c r="Y411" s="861"/>
      <c r="Z411" s="861"/>
      <c r="AA411" s="861"/>
      <c r="AB411" s="861"/>
      <c r="AC411" s="861"/>
      <c r="AD411" s="861"/>
      <c r="AE411" s="861"/>
      <c r="AF411" s="861"/>
      <c r="AG411" s="861"/>
    </row>
    <row r="412" spans="1:33" ht="17.25" customHeight="1">
      <c r="A412" s="861"/>
      <c r="B412" s="861"/>
      <c r="C412" s="861"/>
      <c r="D412" s="861"/>
      <c r="E412" s="861"/>
      <c r="F412" s="861"/>
      <c r="G412" s="861"/>
      <c r="H412" s="861"/>
      <c r="I412" s="861"/>
      <c r="J412" s="861"/>
      <c r="K412" s="861"/>
      <c r="L412" s="861"/>
      <c r="M412" s="861"/>
      <c r="N412" s="861"/>
      <c r="O412" s="861"/>
      <c r="P412" s="861"/>
      <c r="Q412" s="861"/>
      <c r="R412" s="861"/>
      <c r="S412" s="861"/>
      <c r="T412" s="861"/>
      <c r="U412" s="861"/>
      <c r="V412" s="861"/>
      <c r="W412" s="861"/>
      <c r="X412" s="861"/>
      <c r="Y412" s="861"/>
      <c r="Z412" s="861"/>
      <c r="AA412" s="861"/>
      <c r="AB412" s="861"/>
      <c r="AC412" s="861"/>
      <c r="AD412" s="861"/>
      <c r="AE412" s="861"/>
      <c r="AF412" s="861"/>
      <c r="AG412" s="861"/>
    </row>
    <row r="413" spans="1:33" ht="17.25" customHeight="1">
      <c r="A413" s="861"/>
      <c r="B413" s="861"/>
      <c r="C413" s="861"/>
      <c r="D413" s="861"/>
      <c r="E413" s="861"/>
      <c r="F413" s="861"/>
      <c r="G413" s="861"/>
      <c r="H413" s="861"/>
      <c r="I413" s="861"/>
      <c r="J413" s="861"/>
      <c r="K413" s="861"/>
      <c r="L413" s="861"/>
      <c r="M413" s="861"/>
      <c r="N413" s="861"/>
      <c r="O413" s="861"/>
      <c r="P413" s="861"/>
      <c r="Q413" s="861"/>
      <c r="R413" s="861"/>
      <c r="S413" s="861"/>
      <c r="T413" s="861"/>
      <c r="U413" s="861"/>
      <c r="V413" s="861"/>
      <c r="W413" s="861"/>
      <c r="X413" s="861"/>
      <c r="Y413" s="861"/>
      <c r="Z413" s="861"/>
      <c r="AA413" s="861"/>
      <c r="AB413" s="861"/>
      <c r="AC413" s="861"/>
      <c r="AD413" s="861"/>
      <c r="AE413" s="861"/>
      <c r="AF413" s="861"/>
      <c r="AG413" s="861"/>
    </row>
    <row r="414" spans="1:33" ht="17.25" customHeight="1">
      <c r="A414" s="861"/>
      <c r="B414" s="861"/>
      <c r="C414" s="861"/>
      <c r="D414" s="861"/>
      <c r="E414" s="861"/>
      <c r="F414" s="861"/>
      <c r="G414" s="861"/>
      <c r="H414" s="861"/>
      <c r="I414" s="861"/>
      <c r="J414" s="861"/>
      <c r="K414" s="861"/>
      <c r="L414" s="861"/>
      <c r="M414" s="861"/>
      <c r="N414" s="861"/>
      <c r="O414" s="861"/>
      <c r="P414" s="861"/>
      <c r="Q414" s="861"/>
      <c r="R414" s="861"/>
      <c r="S414" s="861"/>
      <c r="T414" s="861"/>
      <c r="U414" s="861"/>
      <c r="V414" s="861"/>
      <c r="W414" s="861"/>
      <c r="X414" s="861"/>
      <c r="Y414" s="861"/>
      <c r="Z414" s="861"/>
      <c r="AA414" s="861"/>
      <c r="AB414" s="861"/>
      <c r="AC414" s="861"/>
      <c r="AD414" s="861"/>
      <c r="AE414" s="861"/>
      <c r="AF414" s="861"/>
      <c r="AG414" s="861"/>
    </row>
    <row r="415" spans="1:33" ht="17.25" customHeight="1">
      <c r="A415" s="861"/>
      <c r="B415" s="861"/>
      <c r="C415" s="861"/>
      <c r="D415" s="861"/>
      <c r="E415" s="861"/>
      <c r="F415" s="861"/>
      <c r="G415" s="861"/>
      <c r="H415" s="861"/>
      <c r="I415" s="861"/>
      <c r="J415" s="861"/>
      <c r="K415" s="861"/>
      <c r="L415" s="861"/>
      <c r="M415" s="861"/>
      <c r="N415" s="861"/>
      <c r="O415" s="861"/>
      <c r="P415" s="861"/>
      <c r="Q415" s="861"/>
      <c r="R415" s="861"/>
      <c r="S415" s="861"/>
      <c r="T415" s="861"/>
      <c r="U415" s="861"/>
      <c r="V415" s="861"/>
      <c r="W415" s="861"/>
      <c r="X415" s="861"/>
      <c r="Y415" s="861"/>
      <c r="Z415" s="861"/>
      <c r="AA415" s="861"/>
      <c r="AB415" s="861"/>
      <c r="AC415" s="861"/>
      <c r="AD415" s="861"/>
      <c r="AE415" s="861"/>
      <c r="AF415" s="861"/>
      <c r="AG415" s="861"/>
    </row>
    <row r="416" spans="1:33" ht="17.25" customHeight="1">
      <c r="A416" s="861"/>
      <c r="B416" s="861"/>
      <c r="C416" s="861"/>
      <c r="D416" s="861"/>
      <c r="E416" s="861"/>
      <c r="F416" s="861"/>
      <c r="G416" s="861"/>
      <c r="H416" s="861"/>
      <c r="I416" s="861"/>
      <c r="J416" s="861"/>
      <c r="K416" s="861"/>
      <c r="L416" s="861"/>
      <c r="M416" s="861"/>
      <c r="N416" s="861"/>
      <c r="O416" s="861"/>
      <c r="P416" s="861"/>
      <c r="Q416" s="861"/>
      <c r="R416" s="861"/>
      <c r="S416" s="861"/>
      <c r="T416" s="861"/>
      <c r="U416" s="861"/>
      <c r="V416" s="861"/>
      <c r="W416" s="861"/>
      <c r="X416" s="861"/>
      <c r="Y416" s="861"/>
      <c r="Z416" s="861"/>
      <c r="AA416" s="861"/>
      <c r="AB416" s="861"/>
      <c r="AC416" s="861"/>
      <c r="AD416" s="861"/>
      <c r="AE416" s="861"/>
      <c r="AF416" s="861"/>
      <c r="AG416" s="861"/>
    </row>
    <row r="417" spans="1:33" ht="17.25" customHeight="1">
      <c r="A417" s="861"/>
      <c r="B417" s="861"/>
      <c r="C417" s="861"/>
      <c r="D417" s="861"/>
      <c r="E417" s="861"/>
      <c r="F417" s="861"/>
      <c r="G417" s="861"/>
      <c r="H417" s="861"/>
      <c r="I417" s="861"/>
      <c r="J417" s="861"/>
      <c r="K417" s="861"/>
      <c r="L417" s="861"/>
      <c r="M417" s="861"/>
      <c r="N417" s="861"/>
      <c r="O417" s="861"/>
      <c r="P417" s="861"/>
      <c r="Q417" s="861"/>
      <c r="R417" s="861"/>
      <c r="S417" s="861"/>
      <c r="T417" s="861"/>
      <c r="U417" s="861"/>
      <c r="V417" s="861"/>
      <c r="W417" s="861"/>
      <c r="X417" s="861"/>
      <c r="Y417" s="861"/>
      <c r="Z417" s="861"/>
      <c r="AA417" s="861"/>
      <c r="AB417" s="861"/>
      <c r="AC417" s="861"/>
      <c r="AD417" s="861"/>
      <c r="AE417" s="861"/>
      <c r="AF417" s="861"/>
      <c r="AG417" s="861"/>
    </row>
    <row r="418" spans="1:33" ht="17.25" customHeight="1">
      <c r="A418" s="861"/>
      <c r="B418" s="861"/>
      <c r="C418" s="861"/>
      <c r="D418" s="861"/>
      <c r="E418" s="861"/>
      <c r="F418" s="861"/>
      <c r="G418" s="861"/>
      <c r="H418" s="861"/>
      <c r="I418" s="861"/>
      <c r="J418" s="861"/>
      <c r="K418" s="861"/>
      <c r="L418" s="861"/>
      <c r="M418" s="861"/>
      <c r="N418" s="861"/>
      <c r="O418" s="861"/>
      <c r="P418" s="861"/>
      <c r="Q418" s="861"/>
      <c r="R418" s="861"/>
      <c r="S418" s="861"/>
      <c r="T418" s="861"/>
      <c r="U418" s="861"/>
      <c r="V418" s="861"/>
      <c r="W418" s="861"/>
      <c r="X418" s="861"/>
      <c r="Y418" s="861"/>
      <c r="Z418" s="861"/>
      <c r="AA418" s="861"/>
      <c r="AB418" s="861"/>
      <c r="AC418" s="861"/>
      <c r="AD418" s="861"/>
      <c r="AE418" s="861"/>
      <c r="AF418" s="861"/>
      <c r="AG418" s="861"/>
    </row>
    <row r="419" spans="1:33" ht="17.25" customHeight="1">
      <c r="A419" s="861"/>
      <c r="B419" s="861"/>
      <c r="C419" s="861"/>
      <c r="D419" s="861"/>
      <c r="E419" s="861"/>
      <c r="F419" s="861"/>
      <c r="G419" s="861"/>
      <c r="H419" s="861"/>
      <c r="I419" s="861"/>
      <c r="J419" s="861"/>
      <c r="K419" s="861"/>
      <c r="L419" s="861"/>
      <c r="M419" s="861"/>
      <c r="N419" s="861"/>
      <c r="O419" s="861"/>
      <c r="P419" s="861"/>
      <c r="Q419" s="861"/>
      <c r="R419" s="861"/>
      <c r="S419" s="861"/>
      <c r="T419" s="861"/>
      <c r="U419" s="861"/>
      <c r="V419" s="861"/>
      <c r="W419" s="861"/>
      <c r="X419" s="861"/>
      <c r="Y419" s="861"/>
      <c r="Z419" s="861"/>
      <c r="AA419" s="861"/>
      <c r="AB419" s="861"/>
      <c r="AC419" s="861"/>
      <c r="AD419" s="861"/>
      <c r="AE419" s="861"/>
      <c r="AF419" s="861"/>
      <c r="AG419" s="861"/>
    </row>
    <row r="420" spans="1:33" ht="17.25" customHeight="1">
      <c r="A420" s="861"/>
      <c r="B420" s="861"/>
      <c r="C420" s="861"/>
      <c r="D420" s="861"/>
      <c r="E420" s="861"/>
      <c r="F420" s="861"/>
      <c r="G420" s="861"/>
      <c r="H420" s="861"/>
      <c r="I420" s="861"/>
      <c r="J420" s="861"/>
      <c r="K420" s="861"/>
      <c r="L420" s="861"/>
      <c r="M420" s="861"/>
      <c r="N420" s="861"/>
      <c r="O420" s="861"/>
      <c r="P420" s="861"/>
      <c r="Q420" s="861"/>
      <c r="R420" s="861"/>
      <c r="S420" s="861"/>
      <c r="T420" s="861"/>
      <c r="U420" s="861"/>
      <c r="V420" s="861"/>
      <c r="W420" s="861"/>
      <c r="X420" s="861"/>
      <c r="Y420" s="861"/>
      <c r="Z420" s="861"/>
      <c r="AA420" s="861"/>
      <c r="AB420" s="861"/>
      <c r="AC420" s="861"/>
      <c r="AD420" s="861"/>
      <c r="AE420" s="861"/>
      <c r="AF420" s="861"/>
      <c r="AG420" s="861"/>
    </row>
    <row r="421" spans="1:33" ht="17.25" customHeight="1">
      <c r="A421" s="861"/>
      <c r="B421" s="861"/>
      <c r="C421" s="861"/>
      <c r="D421" s="861"/>
      <c r="E421" s="861"/>
      <c r="F421" s="861"/>
      <c r="G421" s="861"/>
      <c r="H421" s="861"/>
      <c r="I421" s="861"/>
      <c r="J421" s="861"/>
      <c r="K421" s="861"/>
      <c r="L421" s="861"/>
      <c r="M421" s="861"/>
      <c r="N421" s="861"/>
      <c r="O421" s="861"/>
      <c r="P421" s="861"/>
      <c r="Q421" s="861"/>
      <c r="R421" s="861"/>
      <c r="S421" s="861"/>
      <c r="T421" s="861"/>
      <c r="U421" s="861"/>
      <c r="V421" s="861"/>
      <c r="W421" s="861"/>
      <c r="X421" s="861"/>
      <c r="Y421" s="861"/>
      <c r="Z421" s="861"/>
      <c r="AA421" s="861"/>
      <c r="AB421" s="861"/>
      <c r="AC421" s="861"/>
      <c r="AD421" s="861"/>
      <c r="AE421" s="861"/>
      <c r="AF421" s="861"/>
      <c r="AG421" s="861"/>
    </row>
    <row r="422" spans="1:33" ht="17.25" customHeight="1">
      <c r="A422" s="861"/>
      <c r="B422" s="861"/>
      <c r="C422" s="861"/>
      <c r="D422" s="861"/>
      <c r="E422" s="861"/>
      <c r="F422" s="861"/>
      <c r="G422" s="861"/>
      <c r="H422" s="861"/>
      <c r="I422" s="861"/>
      <c r="J422" s="861"/>
      <c r="K422" s="861"/>
      <c r="L422" s="861"/>
      <c r="M422" s="861"/>
      <c r="N422" s="861"/>
      <c r="O422" s="861"/>
      <c r="P422" s="861"/>
      <c r="Q422" s="861"/>
      <c r="R422" s="861"/>
      <c r="S422" s="861"/>
      <c r="T422" s="861"/>
      <c r="U422" s="861"/>
      <c r="V422" s="861"/>
      <c r="W422" s="861"/>
      <c r="X422" s="861"/>
      <c r="Y422" s="861"/>
      <c r="Z422" s="861"/>
      <c r="AA422" s="861"/>
      <c r="AB422" s="861"/>
      <c r="AC422" s="861"/>
      <c r="AD422" s="861"/>
      <c r="AE422" s="861"/>
      <c r="AF422" s="861"/>
      <c r="AG422" s="861"/>
    </row>
    <row r="423" spans="1:33" ht="17.25" customHeight="1">
      <c r="A423" s="861"/>
      <c r="B423" s="861"/>
      <c r="C423" s="861"/>
      <c r="D423" s="861"/>
      <c r="E423" s="861"/>
      <c r="F423" s="861"/>
      <c r="G423" s="861"/>
      <c r="H423" s="861"/>
      <c r="I423" s="861"/>
      <c r="J423" s="861"/>
      <c r="K423" s="861"/>
      <c r="L423" s="861"/>
      <c r="M423" s="861"/>
      <c r="N423" s="861"/>
      <c r="O423" s="861"/>
      <c r="P423" s="861"/>
      <c r="Q423" s="861"/>
      <c r="R423" s="861"/>
      <c r="S423" s="861"/>
      <c r="T423" s="861"/>
      <c r="U423" s="861"/>
      <c r="V423" s="861"/>
      <c r="W423" s="861"/>
      <c r="X423" s="861"/>
      <c r="Y423" s="861"/>
      <c r="Z423" s="861"/>
      <c r="AA423" s="861"/>
      <c r="AB423" s="861"/>
      <c r="AC423" s="861"/>
      <c r="AD423" s="861"/>
      <c r="AE423" s="861"/>
      <c r="AF423" s="861"/>
      <c r="AG423" s="861"/>
    </row>
    <row r="424" spans="1:33" ht="17.25" customHeight="1">
      <c r="A424" s="861"/>
      <c r="B424" s="861"/>
      <c r="C424" s="861"/>
      <c r="D424" s="861"/>
      <c r="E424" s="861"/>
      <c r="F424" s="861"/>
      <c r="G424" s="861"/>
      <c r="H424" s="861"/>
      <c r="I424" s="861"/>
      <c r="J424" s="861"/>
      <c r="K424" s="861"/>
      <c r="L424" s="861"/>
      <c r="M424" s="861"/>
      <c r="N424" s="861"/>
      <c r="O424" s="861"/>
      <c r="P424" s="861"/>
      <c r="Q424" s="861"/>
      <c r="R424" s="861"/>
      <c r="S424" s="861"/>
      <c r="T424" s="861"/>
      <c r="U424" s="861"/>
      <c r="V424" s="861"/>
      <c r="W424" s="861"/>
      <c r="X424" s="861"/>
      <c r="Y424" s="861"/>
      <c r="Z424" s="861"/>
      <c r="AA424" s="861"/>
      <c r="AB424" s="861"/>
      <c r="AC424" s="861"/>
      <c r="AD424" s="861"/>
      <c r="AE424" s="861"/>
      <c r="AF424" s="861"/>
      <c r="AG424" s="861"/>
    </row>
    <row r="425" spans="1:33" ht="17.25" customHeight="1">
      <c r="A425" s="861"/>
      <c r="B425" s="861"/>
      <c r="C425" s="861"/>
      <c r="D425" s="861"/>
      <c r="E425" s="861"/>
      <c r="F425" s="861"/>
      <c r="G425" s="861"/>
      <c r="H425" s="861"/>
      <c r="I425" s="861"/>
      <c r="J425" s="861"/>
      <c r="K425" s="861"/>
      <c r="L425" s="861"/>
      <c r="M425" s="861"/>
      <c r="N425" s="861"/>
      <c r="O425" s="861"/>
      <c r="P425" s="861"/>
      <c r="Q425" s="861"/>
      <c r="R425" s="861"/>
      <c r="S425" s="861"/>
      <c r="T425" s="861"/>
      <c r="U425" s="861"/>
      <c r="V425" s="861"/>
      <c r="W425" s="861"/>
      <c r="X425" s="861"/>
      <c r="Y425" s="861"/>
      <c r="Z425" s="861"/>
      <c r="AA425" s="861"/>
      <c r="AB425" s="861"/>
      <c r="AC425" s="861"/>
      <c r="AD425" s="861"/>
      <c r="AE425" s="861"/>
      <c r="AF425" s="861"/>
      <c r="AG425" s="861"/>
    </row>
    <row r="426" spans="1:33" ht="17.25" customHeight="1">
      <c r="A426" s="861"/>
      <c r="B426" s="861"/>
      <c r="C426" s="861"/>
      <c r="D426" s="861"/>
      <c r="E426" s="861"/>
      <c r="F426" s="861"/>
      <c r="G426" s="861"/>
      <c r="H426" s="861"/>
      <c r="I426" s="861"/>
      <c r="J426" s="861"/>
      <c r="K426" s="861"/>
      <c r="L426" s="861"/>
      <c r="M426" s="861"/>
      <c r="N426" s="861"/>
      <c r="O426" s="861"/>
      <c r="P426" s="861"/>
      <c r="Q426" s="861"/>
      <c r="R426" s="861"/>
      <c r="S426" s="861"/>
      <c r="T426" s="861"/>
      <c r="U426" s="861"/>
      <c r="V426" s="861"/>
      <c r="W426" s="861"/>
      <c r="X426" s="861"/>
      <c r="Y426" s="861"/>
      <c r="Z426" s="861"/>
      <c r="AA426" s="861"/>
      <c r="AB426" s="861"/>
      <c r="AC426" s="861"/>
      <c r="AD426" s="861"/>
      <c r="AE426" s="861"/>
      <c r="AF426" s="861"/>
      <c r="AG426" s="861"/>
    </row>
    <row r="427" spans="1:33" ht="17.25" customHeight="1">
      <c r="A427" s="861"/>
      <c r="B427" s="861"/>
      <c r="C427" s="861"/>
      <c r="D427" s="861"/>
      <c r="E427" s="861"/>
      <c r="F427" s="861"/>
      <c r="G427" s="861"/>
      <c r="H427" s="861"/>
      <c r="I427" s="861"/>
      <c r="J427" s="861"/>
      <c r="K427" s="861"/>
      <c r="L427" s="861"/>
      <c r="M427" s="861"/>
      <c r="N427" s="861"/>
      <c r="O427" s="861"/>
      <c r="P427" s="861"/>
      <c r="Q427" s="861"/>
      <c r="R427" s="861"/>
      <c r="S427" s="861"/>
      <c r="T427" s="861"/>
      <c r="U427" s="861"/>
      <c r="V427" s="861"/>
      <c r="W427" s="861"/>
      <c r="X427" s="861"/>
      <c r="Y427" s="861"/>
      <c r="Z427" s="861"/>
      <c r="AA427" s="861"/>
      <c r="AB427" s="861"/>
      <c r="AC427" s="861"/>
      <c r="AD427" s="861"/>
      <c r="AE427" s="861"/>
      <c r="AF427" s="861"/>
      <c r="AG427" s="861"/>
    </row>
    <row r="428" spans="1:33" ht="17.25" customHeight="1">
      <c r="A428" s="861"/>
      <c r="B428" s="861"/>
      <c r="C428" s="861"/>
      <c r="D428" s="861"/>
      <c r="E428" s="861"/>
      <c r="F428" s="861"/>
      <c r="G428" s="861"/>
      <c r="H428" s="861"/>
      <c r="I428" s="861"/>
      <c r="J428" s="861"/>
      <c r="K428" s="861"/>
      <c r="L428" s="861"/>
      <c r="M428" s="861"/>
      <c r="N428" s="861"/>
      <c r="O428" s="861"/>
      <c r="P428" s="861"/>
      <c r="Q428" s="861"/>
      <c r="R428" s="861"/>
      <c r="S428" s="861"/>
      <c r="T428" s="861"/>
      <c r="U428" s="861"/>
      <c r="V428" s="861"/>
      <c r="W428" s="861"/>
      <c r="X428" s="861"/>
      <c r="Y428" s="861"/>
      <c r="Z428" s="861"/>
      <c r="AA428" s="861"/>
      <c r="AB428" s="861"/>
      <c r="AC428" s="861"/>
      <c r="AD428" s="861"/>
      <c r="AE428" s="861"/>
      <c r="AF428" s="861"/>
      <c r="AG428" s="861"/>
    </row>
    <row r="429" spans="1:33" ht="17.25" customHeight="1">
      <c r="A429" s="861"/>
      <c r="B429" s="861"/>
      <c r="C429" s="861"/>
      <c r="D429" s="861"/>
      <c r="E429" s="861"/>
      <c r="F429" s="861"/>
      <c r="G429" s="861"/>
      <c r="H429" s="861"/>
      <c r="I429" s="861"/>
      <c r="J429" s="861"/>
      <c r="K429" s="861"/>
      <c r="L429" s="861"/>
      <c r="M429" s="861"/>
      <c r="N429" s="861"/>
      <c r="O429" s="861"/>
      <c r="P429" s="861"/>
      <c r="Q429" s="861"/>
      <c r="R429" s="861"/>
      <c r="S429" s="861"/>
      <c r="T429" s="861"/>
      <c r="U429" s="861"/>
      <c r="V429" s="861"/>
      <c r="W429" s="861"/>
      <c r="X429" s="861"/>
      <c r="Y429" s="861"/>
      <c r="Z429" s="861"/>
      <c r="AA429" s="861"/>
      <c r="AB429" s="861"/>
      <c r="AC429" s="861"/>
      <c r="AD429" s="861"/>
      <c r="AE429" s="861"/>
      <c r="AF429" s="861"/>
      <c r="AG429" s="861"/>
    </row>
    <row r="430" spans="1:33" ht="17.25" customHeight="1">
      <c r="A430" s="861"/>
      <c r="B430" s="861"/>
      <c r="C430" s="861"/>
      <c r="D430" s="861"/>
      <c r="E430" s="861"/>
      <c r="F430" s="861"/>
      <c r="G430" s="861"/>
      <c r="H430" s="861"/>
      <c r="I430" s="861"/>
      <c r="J430" s="861"/>
      <c r="K430" s="861"/>
      <c r="L430" s="861"/>
      <c r="M430" s="861"/>
      <c r="N430" s="861"/>
      <c r="O430" s="861"/>
      <c r="P430" s="861"/>
      <c r="Q430" s="861"/>
      <c r="R430" s="861"/>
      <c r="S430" s="861"/>
      <c r="T430" s="861"/>
      <c r="U430" s="861"/>
      <c r="V430" s="861"/>
      <c r="W430" s="861"/>
      <c r="X430" s="861"/>
      <c r="Y430" s="861"/>
      <c r="Z430" s="861"/>
      <c r="AA430" s="861"/>
      <c r="AB430" s="861"/>
      <c r="AC430" s="861"/>
      <c r="AD430" s="861"/>
      <c r="AE430" s="861"/>
      <c r="AF430" s="861"/>
      <c r="AG430" s="861"/>
    </row>
    <row r="431" spans="1:33" ht="17.25" customHeight="1">
      <c r="A431" s="861"/>
      <c r="B431" s="861"/>
      <c r="C431" s="861"/>
      <c r="D431" s="861"/>
      <c r="E431" s="861"/>
      <c r="F431" s="861"/>
      <c r="G431" s="861"/>
      <c r="H431" s="861"/>
      <c r="I431" s="861"/>
      <c r="J431" s="861"/>
      <c r="K431" s="861"/>
      <c r="L431" s="861"/>
      <c r="M431" s="861"/>
      <c r="N431" s="861"/>
      <c r="O431" s="861"/>
      <c r="P431" s="861"/>
      <c r="Q431" s="861"/>
      <c r="R431" s="861"/>
      <c r="S431" s="861"/>
      <c r="T431" s="861"/>
      <c r="U431" s="861"/>
      <c r="V431" s="861"/>
      <c r="W431" s="861"/>
      <c r="X431" s="861"/>
      <c r="Y431" s="861"/>
      <c r="Z431" s="861"/>
      <c r="AA431" s="861"/>
      <c r="AB431" s="861"/>
      <c r="AC431" s="861"/>
      <c r="AD431" s="861"/>
      <c r="AE431" s="861"/>
      <c r="AF431" s="861"/>
      <c r="AG431" s="861"/>
    </row>
    <row r="432" spans="1:33" ht="17.25" customHeight="1">
      <c r="A432" s="861"/>
      <c r="B432" s="861"/>
      <c r="C432" s="861"/>
      <c r="D432" s="861"/>
      <c r="E432" s="861"/>
      <c r="F432" s="861"/>
      <c r="G432" s="861"/>
      <c r="H432" s="861"/>
      <c r="I432" s="861"/>
      <c r="J432" s="861"/>
      <c r="K432" s="861"/>
      <c r="L432" s="861"/>
      <c r="M432" s="861"/>
      <c r="N432" s="861"/>
      <c r="O432" s="861"/>
      <c r="P432" s="861"/>
      <c r="Q432" s="861"/>
      <c r="R432" s="861"/>
      <c r="S432" s="861"/>
      <c r="T432" s="861"/>
      <c r="U432" s="861"/>
      <c r="V432" s="861"/>
      <c r="W432" s="861"/>
      <c r="X432" s="861"/>
      <c r="Y432" s="861"/>
      <c r="Z432" s="861"/>
      <c r="AA432" s="861"/>
      <c r="AB432" s="861"/>
      <c r="AC432" s="861"/>
      <c r="AD432" s="861"/>
      <c r="AE432" s="861"/>
      <c r="AF432" s="861"/>
      <c r="AG432" s="861"/>
    </row>
    <row r="433" spans="1:33" ht="17.25" customHeight="1">
      <c r="A433" s="861"/>
      <c r="B433" s="861"/>
      <c r="C433" s="861"/>
      <c r="D433" s="861"/>
      <c r="E433" s="861"/>
      <c r="F433" s="861"/>
      <c r="G433" s="861"/>
      <c r="H433" s="861"/>
      <c r="I433" s="861"/>
      <c r="J433" s="861"/>
      <c r="K433" s="861"/>
      <c r="L433" s="861"/>
      <c r="M433" s="861"/>
      <c r="N433" s="861"/>
      <c r="O433" s="861"/>
      <c r="P433" s="861"/>
      <c r="Q433" s="861"/>
      <c r="R433" s="861"/>
      <c r="S433" s="861"/>
      <c r="T433" s="861"/>
      <c r="U433" s="861"/>
      <c r="V433" s="861"/>
      <c r="W433" s="861"/>
      <c r="X433" s="861"/>
      <c r="Y433" s="861"/>
      <c r="Z433" s="861"/>
      <c r="AA433" s="861"/>
      <c r="AB433" s="861"/>
      <c r="AC433" s="861"/>
      <c r="AD433" s="861"/>
      <c r="AE433" s="861"/>
      <c r="AF433" s="861"/>
      <c r="AG433" s="861"/>
    </row>
    <row r="434" spans="1:33" ht="17.25" customHeight="1">
      <c r="A434" s="861"/>
      <c r="B434" s="861"/>
      <c r="C434" s="861"/>
      <c r="D434" s="861"/>
      <c r="E434" s="861"/>
      <c r="F434" s="861"/>
      <c r="G434" s="861"/>
      <c r="H434" s="861"/>
      <c r="I434" s="861"/>
      <c r="J434" s="861"/>
      <c r="K434" s="861"/>
      <c r="L434" s="861"/>
      <c r="M434" s="861"/>
      <c r="N434" s="861"/>
      <c r="O434" s="861"/>
      <c r="P434" s="861"/>
      <c r="Q434" s="861"/>
      <c r="R434" s="861"/>
      <c r="S434" s="861"/>
      <c r="T434" s="861"/>
      <c r="U434" s="861"/>
      <c r="V434" s="861"/>
      <c r="W434" s="861"/>
      <c r="X434" s="861"/>
      <c r="Y434" s="861"/>
      <c r="Z434" s="861"/>
      <c r="AA434" s="861"/>
      <c r="AB434" s="861"/>
      <c r="AC434" s="861"/>
      <c r="AD434" s="861"/>
      <c r="AE434" s="861"/>
      <c r="AF434" s="861"/>
      <c r="AG434" s="861"/>
    </row>
    <row r="435" spans="1:33" ht="17.25" customHeight="1">
      <c r="A435" s="861"/>
      <c r="B435" s="861"/>
      <c r="C435" s="861"/>
      <c r="D435" s="861"/>
      <c r="E435" s="861"/>
      <c r="F435" s="861"/>
      <c r="G435" s="861"/>
      <c r="H435" s="861"/>
      <c r="I435" s="861"/>
      <c r="J435" s="861"/>
      <c r="K435" s="861"/>
      <c r="L435" s="861"/>
      <c r="M435" s="861"/>
      <c r="N435" s="861"/>
      <c r="O435" s="861"/>
      <c r="P435" s="861"/>
      <c r="Q435" s="861"/>
      <c r="R435" s="861"/>
      <c r="S435" s="861"/>
      <c r="T435" s="861"/>
      <c r="U435" s="861"/>
      <c r="V435" s="861"/>
      <c r="W435" s="861"/>
      <c r="X435" s="861"/>
      <c r="Y435" s="861"/>
      <c r="Z435" s="861"/>
      <c r="AA435" s="861"/>
      <c r="AB435" s="861"/>
      <c r="AC435" s="861"/>
      <c r="AD435" s="861"/>
      <c r="AE435" s="861"/>
      <c r="AF435" s="861"/>
      <c r="AG435" s="861"/>
    </row>
    <row r="436" spans="1:33" ht="17.25" customHeight="1">
      <c r="A436" s="861"/>
      <c r="B436" s="861"/>
      <c r="C436" s="861"/>
      <c r="D436" s="861"/>
      <c r="E436" s="861"/>
      <c r="F436" s="861"/>
      <c r="G436" s="861"/>
      <c r="H436" s="861"/>
      <c r="I436" s="861"/>
      <c r="J436" s="861"/>
      <c r="K436" s="861"/>
      <c r="L436" s="861"/>
      <c r="M436" s="861"/>
      <c r="N436" s="861"/>
      <c r="O436" s="861"/>
      <c r="P436" s="861"/>
      <c r="Q436" s="861"/>
      <c r="R436" s="861"/>
      <c r="S436" s="861"/>
      <c r="T436" s="861"/>
      <c r="U436" s="861"/>
      <c r="V436" s="861"/>
      <c r="W436" s="861"/>
      <c r="X436" s="861"/>
      <c r="Y436" s="861"/>
      <c r="Z436" s="861"/>
      <c r="AA436" s="861"/>
      <c r="AB436" s="861"/>
      <c r="AC436" s="861"/>
      <c r="AD436" s="861"/>
      <c r="AE436" s="861"/>
      <c r="AF436" s="861"/>
      <c r="AG436" s="861"/>
    </row>
    <row r="437" spans="1:33" ht="17.25" customHeight="1">
      <c r="A437" s="861"/>
      <c r="B437" s="861"/>
      <c r="C437" s="861"/>
      <c r="D437" s="861"/>
      <c r="E437" s="861"/>
      <c r="F437" s="861"/>
      <c r="G437" s="861"/>
      <c r="H437" s="861"/>
      <c r="I437" s="861"/>
      <c r="J437" s="861"/>
      <c r="K437" s="861"/>
      <c r="L437" s="861"/>
      <c r="M437" s="861"/>
      <c r="N437" s="861"/>
      <c r="O437" s="861"/>
      <c r="P437" s="861"/>
      <c r="Q437" s="861"/>
      <c r="R437" s="861"/>
      <c r="S437" s="861"/>
      <c r="T437" s="861"/>
      <c r="U437" s="861"/>
      <c r="V437" s="861"/>
      <c r="W437" s="861"/>
      <c r="X437" s="861"/>
      <c r="Y437" s="861"/>
      <c r="Z437" s="861"/>
      <c r="AA437" s="861"/>
      <c r="AB437" s="861"/>
      <c r="AC437" s="861"/>
      <c r="AD437" s="861"/>
      <c r="AE437" s="861"/>
      <c r="AF437" s="861"/>
      <c r="AG437" s="861"/>
    </row>
    <row r="438" spans="1:33" ht="17.25" customHeight="1">
      <c r="A438" s="861"/>
      <c r="B438" s="861"/>
      <c r="C438" s="861"/>
      <c r="D438" s="861"/>
      <c r="E438" s="861"/>
      <c r="F438" s="861"/>
      <c r="G438" s="861"/>
      <c r="H438" s="861"/>
      <c r="I438" s="861"/>
      <c r="J438" s="861"/>
      <c r="K438" s="861"/>
      <c r="L438" s="861"/>
      <c r="M438" s="861"/>
      <c r="N438" s="861"/>
      <c r="O438" s="861"/>
      <c r="P438" s="861"/>
      <c r="Q438" s="861"/>
      <c r="R438" s="861"/>
      <c r="S438" s="861"/>
      <c r="T438" s="861"/>
      <c r="U438" s="861"/>
      <c r="V438" s="861"/>
      <c r="W438" s="861"/>
      <c r="X438" s="861"/>
      <c r="Y438" s="861"/>
      <c r="Z438" s="861"/>
      <c r="AA438" s="861"/>
      <c r="AB438" s="861"/>
      <c r="AC438" s="861"/>
      <c r="AD438" s="861"/>
      <c r="AE438" s="861"/>
      <c r="AF438" s="861"/>
      <c r="AG438" s="861"/>
    </row>
    <row r="439" spans="1:33" ht="17.25" customHeight="1">
      <c r="A439" s="861"/>
      <c r="B439" s="861"/>
      <c r="C439" s="861"/>
      <c r="D439" s="861"/>
      <c r="E439" s="861"/>
      <c r="F439" s="861"/>
      <c r="G439" s="861"/>
      <c r="H439" s="861"/>
      <c r="I439" s="861"/>
      <c r="J439" s="861"/>
      <c r="K439" s="861"/>
      <c r="L439" s="861"/>
      <c r="M439" s="861"/>
      <c r="N439" s="861"/>
      <c r="O439" s="861"/>
      <c r="P439" s="861"/>
      <c r="Q439" s="861"/>
      <c r="R439" s="861"/>
      <c r="S439" s="861"/>
      <c r="T439" s="861"/>
      <c r="U439" s="861"/>
      <c r="V439" s="861"/>
      <c r="W439" s="861"/>
      <c r="X439" s="861"/>
      <c r="Y439" s="861"/>
      <c r="Z439" s="861"/>
      <c r="AA439" s="861"/>
      <c r="AB439" s="861"/>
      <c r="AC439" s="861"/>
      <c r="AD439" s="861"/>
      <c r="AE439" s="861"/>
      <c r="AF439" s="861"/>
      <c r="AG439" s="861"/>
    </row>
    <row r="440" spans="1:33" ht="17.25" customHeight="1">
      <c r="A440" s="861"/>
      <c r="B440" s="861"/>
      <c r="C440" s="861"/>
      <c r="D440" s="861"/>
      <c r="E440" s="861"/>
      <c r="F440" s="861"/>
      <c r="G440" s="861"/>
      <c r="H440" s="861"/>
      <c r="I440" s="861"/>
      <c r="J440" s="861"/>
      <c r="K440" s="861"/>
      <c r="L440" s="861"/>
      <c r="M440" s="861"/>
      <c r="N440" s="861"/>
      <c r="O440" s="861"/>
      <c r="P440" s="861"/>
      <c r="Q440" s="861"/>
      <c r="R440" s="861"/>
      <c r="S440" s="861"/>
      <c r="T440" s="861"/>
      <c r="U440" s="861"/>
      <c r="V440" s="861"/>
      <c r="W440" s="861"/>
      <c r="X440" s="861"/>
      <c r="Y440" s="861"/>
      <c r="Z440" s="861"/>
      <c r="AA440" s="861"/>
      <c r="AB440" s="861"/>
      <c r="AC440" s="861"/>
      <c r="AD440" s="861"/>
      <c r="AE440" s="861"/>
      <c r="AF440" s="861"/>
      <c r="AG440" s="861"/>
    </row>
    <row r="441" spans="1:33" ht="17.25" customHeight="1">
      <c r="A441" s="861"/>
      <c r="B441" s="861"/>
      <c r="C441" s="861"/>
      <c r="D441" s="861"/>
      <c r="E441" s="861"/>
      <c r="F441" s="861"/>
      <c r="G441" s="861"/>
      <c r="H441" s="861"/>
      <c r="I441" s="861"/>
      <c r="J441" s="861"/>
      <c r="K441" s="861"/>
      <c r="L441" s="861"/>
      <c r="M441" s="861"/>
      <c r="N441" s="861"/>
      <c r="O441" s="861"/>
      <c r="P441" s="861"/>
      <c r="Q441" s="861"/>
      <c r="R441" s="861"/>
      <c r="S441" s="861"/>
      <c r="T441" s="861"/>
      <c r="U441" s="861"/>
      <c r="V441" s="861"/>
      <c r="W441" s="861"/>
      <c r="X441" s="861"/>
      <c r="Y441" s="861"/>
      <c r="Z441" s="861"/>
      <c r="AA441" s="861"/>
      <c r="AB441" s="861"/>
      <c r="AC441" s="861"/>
      <c r="AD441" s="861"/>
      <c r="AE441" s="861"/>
      <c r="AF441" s="861"/>
      <c r="AG441" s="861"/>
    </row>
    <row r="442" spans="1:33" ht="17.25" customHeight="1">
      <c r="A442" s="861"/>
      <c r="B442" s="861"/>
      <c r="C442" s="861"/>
      <c r="D442" s="861"/>
      <c r="E442" s="861"/>
      <c r="F442" s="861"/>
      <c r="G442" s="861"/>
      <c r="H442" s="861"/>
      <c r="I442" s="861"/>
      <c r="J442" s="861"/>
      <c r="K442" s="861"/>
      <c r="L442" s="861"/>
      <c r="M442" s="861"/>
      <c r="N442" s="861"/>
      <c r="O442" s="861"/>
      <c r="P442" s="861"/>
      <c r="Q442" s="861"/>
      <c r="R442" s="861"/>
      <c r="S442" s="861"/>
      <c r="T442" s="861"/>
      <c r="U442" s="861"/>
      <c r="V442" s="861"/>
      <c r="W442" s="861"/>
      <c r="X442" s="861"/>
      <c r="Y442" s="861"/>
      <c r="Z442" s="861"/>
      <c r="AA442" s="861"/>
      <c r="AB442" s="861"/>
      <c r="AC442" s="861"/>
      <c r="AD442" s="861"/>
      <c r="AE442" s="861"/>
      <c r="AF442" s="861"/>
      <c r="AG442" s="861"/>
    </row>
    <row r="443" spans="1:33" ht="17.25" customHeight="1">
      <c r="A443" s="861"/>
      <c r="B443" s="861"/>
      <c r="C443" s="861"/>
      <c r="D443" s="861"/>
      <c r="E443" s="861"/>
      <c r="F443" s="861"/>
      <c r="G443" s="861"/>
      <c r="H443" s="861"/>
      <c r="I443" s="861"/>
      <c r="J443" s="861"/>
      <c r="K443" s="861"/>
      <c r="L443" s="861"/>
      <c r="M443" s="861"/>
      <c r="N443" s="861"/>
      <c r="O443" s="861"/>
      <c r="P443" s="861"/>
      <c r="Q443" s="861"/>
      <c r="R443" s="861"/>
      <c r="S443" s="861"/>
      <c r="T443" s="861"/>
      <c r="U443" s="861"/>
      <c r="V443" s="861"/>
      <c r="W443" s="861"/>
      <c r="X443" s="861"/>
      <c r="Y443" s="861"/>
      <c r="Z443" s="861"/>
      <c r="AA443" s="861"/>
      <c r="AB443" s="861"/>
      <c r="AC443" s="861"/>
      <c r="AD443" s="861"/>
      <c r="AE443" s="861"/>
      <c r="AF443" s="861"/>
      <c r="AG443" s="861"/>
    </row>
    <row r="444" spans="1:33" ht="17.25" customHeight="1">
      <c r="A444" s="861"/>
      <c r="B444" s="861"/>
      <c r="C444" s="861"/>
      <c r="D444" s="861"/>
      <c r="E444" s="861"/>
      <c r="F444" s="861"/>
      <c r="G444" s="861"/>
      <c r="H444" s="861"/>
      <c r="I444" s="861"/>
      <c r="J444" s="861"/>
      <c r="K444" s="861"/>
      <c r="L444" s="861"/>
      <c r="M444" s="861"/>
      <c r="N444" s="861"/>
      <c r="O444" s="861"/>
      <c r="P444" s="861"/>
      <c r="Q444" s="861"/>
      <c r="R444" s="861"/>
      <c r="S444" s="861"/>
      <c r="T444" s="861"/>
      <c r="U444" s="861"/>
      <c r="V444" s="861"/>
      <c r="W444" s="861"/>
      <c r="X444" s="861"/>
      <c r="Y444" s="861"/>
      <c r="Z444" s="861"/>
      <c r="AA444" s="861"/>
      <c r="AB444" s="861"/>
      <c r="AC444" s="861"/>
      <c r="AD444" s="861"/>
      <c r="AE444" s="861"/>
      <c r="AF444" s="861"/>
      <c r="AG444" s="861"/>
    </row>
    <row r="445" spans="1:33" ht="17.25" customHeight="1">
      <c r="A445" s="861"/>
      <c r="B445" s="861"/>
      <c r="C445" s="861"/>
      <c r="D445" s="861"/>
      <c r="E445" s="861"/>
      <c r="F445" s="861"/>
      <c r="G445" s="861"/>
      <c r="H445" s="861"/>
      <c r="I445" s="861"/>
      <c r="J445" s="861"/>
      <c r="K445" s="861"/>
      <c r="L445" s="861"/>
      <c r="M445" s="861"/>
      <c r="N445" s="861"/>
      <c r="O445" s="861"/>
      <c r="P445" s="861"/>
      <c r="Q445" s="861"/>
      <c r="R445" s="861"/>
      <c r="S445" s="861"/>
      <c r="T445" s="861"/>
      <c r="U445" s="861"/>
      <c r="V445" s="861"/>
      <c r="W445" s="861"/>
      <c r="X445" s="861"/>
      <c r="Y445" s="861"/>
      <c r="Z445" s="861"/>
      <c r="AA445" s="861"/>
      <c r="AB445" s="861"/>
      <c r="AC445" s="861"/>
      <c r="AD445" s="861"/>
      <c r="AE445" s="861"/>
      <c r="AF445" s="861"/>
      <c r="AG445" s="861"/>
    </row>
    <row r="446" spans="1:33" ht="17.25" customHeight="1">
      <c r="A446" s="861"/>
      <c r="B446" s="861"/>
      <c r="C446" s="861"/>
      <c r="D446" s="861"/>
      <c r="E446" s="861"/>
      <c r="F446" s="861"/>
      <c r="G446" s="861"/>
      <c r="H446" s="861"/>
      <c r="I446" s="861"/>
      <c r="J446" s="861"/>
      <c r="K446" s="861"/>
      <c r="L446" s="861"/>
      <c r="M446" s="861"/>
      <c r="N446" s="861"/>
      <c r="O446" s="861"/>
      <c r="P446" s="861"/>
      <c r="Q446" s="861"/>
      <c r="R446" s="861"/>
      <c r="S446" s="861"/>
      <c r="T446" s="861"/>
      <c r="U446" s="861"/>
      <c r="V446" s="861"/>
      <c r="W446" s="861"/>
      <c r="X446" s="861"/>
      <c r="Y446" s="861"/>
      <c r="Z446" s="861"/>
      <c r="AA446" s="861"/>
      <c r="AB446" s="861"/>
      <c r="AC446" s="861"/>
      <c r="AD446" s="861"/>
      <c r="AE446" s="861"/>
      <c r="AF446" s="861"/>
      <c r="AG446" s="861"/>
    </row>
    <row r="447" spans="1:33" ht="17.25" customHeight="1">
      <c r="A447" s="861"/>
      <c r="B447" s="861"/>
      <c r="C447" s="861"/>
      <c r="D447" s="861"/>
      <c r="E447" s="861"/>
      <c r="F447" s="861"/>
      <c r="G447" s="861"/>
      <c r="H447" s="861"/>
      <c r="I447" s="861"/>
      <c r="J447" s="861"/>
      <c r="K447" s="861"/>
      <c r="L447" s="861"/>
      <c r="M447" s="861"/>
      <c r="N447" s="861"/>
      <c r="O447" s="861"/>
      <c r="P447" s="861"/>
      <c r="Q447" s="861"/>
      <c r="R447" s="861"/>
      <c r="S447" s="861"/>
      <c r="T447" s="861"/>
      <c r="U447" s="861"/>
      <c r="V447" s="861"/>
      <c r="W447" s="861"/>
      <c r="X447" s="861"/>
      <c r="Y447" s="861"/>
      <c r="Z447" s="861"/>
      <c r="AA447" s="861"/>
      <c r="AB447" s="861"/>
      <c r="AC447" s="861"/>
      <c r="AD447" s="861"/>
      <c r="AE447" s="861"/>
      <c r="AF447" s="861"/>
      <c r="AG447" s="861"/>
    </row>
    <row r="448" spans="1:33" ht="17.25" customHeight="1">
      <c r="A448" s="861"/>
      <c r="B448" s="861"/>
      <c r="C448" s="861"/>
      <c r="D448" s="861"/>
      <c r="E448" s="861"/>
      <c r="F448" s="861"/>
      <c r="G448" s="861"/>
      <c r="H448" s="861"/>
      <c r="I448" s="861"/>
      <c r="J448" s="861"/>
      <c r="K448" s="861"/>
      <c r="L448" s="861"/>
      <c r="M448" s="861"/>
      <c r="N448" s="861"/>
      <c r="O448" s="861"/>
      <c r="P448" s="861"/>
      <c r="Q448" s="861"/>
      <c r="R448" s="861"/>
      <c r="S448" s="861"/>
      <c r="T448" s="861"/>
      <c r="U448" s="861"/>
      <c r="V448" s="861"/>
      <c r="W448" s="861"/>
      <c r="X448" s="861"/>
      <c r="Y448" s="861"/>
      <c r="Z448" s="861"/>
      <c r="AA448" s="861"/>
      <c r="AB448" s="861"/>
      <c r="AC448" s="861"/>
      <c r="AD448" s="861"/>
      <c r="AE448" s="861"/>
      <c r="AF448" s="861"/>
      <c r="AG448" s="861"/>
    </row>
    <row r="449" spans="1:33" ht="17.25" customHeight="1">
      <c r="A449" s="861"/>
      <c r="B449" s="861"/>
      <c r="C449" s="861"/>
      <c r="D449" s="861"/>
      <c r="E449" s="861"/>
      <c r="F449" s="861"/>
      <c r="G449" s="861"/>
      <c r="H449" s="861"/>
      <c r="I449" s="861"/>
      <c r="J449" s="861"/>
      <c r="K449" s="861"/>
      <c r="L449" s="861"/>
      <c r="M449" s="861"/>
      <c r="N449" s="861"/>
      <c r="O449" s="861"/>
      <c r="P449" s="861"/>
      <c r="Q449" s="861"/>
      <c r="R449" s="861"/>
      <c r="S449" s="861"/>
      <c r="T449" s="861"/>
      <c r="U449" s="861"/>
      <c r="V449" s="861"/>
      <c r="W449" s="861"/>
      <c r="X449" s="861"/>
      <c r="Y449" s="861"/>
      <c r="Z449" s="861"/>
      <c r="AA449" s="861"/>
      <c r="AB449" s="861"/>
      <c r="AC449" s="861"/>
      <c r="AD449" s="861"/>
      <c r="AE449" s="861"/>
      <c r="AF449" s="861"/>
      <c r="AG449" s="861"/>
    </row>
    <row r="450" spans="1:33" ht="17.25" customHeight="1">
      <c r="A450" s="861"/>
      <c r="B450" s="861"/>
      <c r="C450" s="861"/>
      <c r="D450" s="861"/>
      <c r="E450" s="861"/>
      <c r="F450" s="861"/>
      <c r="G450" s="861"/>
      <c r="H450" s="861"/>
      <c r="I450" s="861"/>
      <c r="J450" s="861"/>
      <c r="K450" s="861"/>
      <c r="L450" s="861"/>
      <c r="M450" s="861"/>
      <c r="N450" s="861"/>
      <c r="O450" s="861"/>
      <c r="P450" s="861"/>
      <c r="Q450" s="861"/>
      <c r="R450" s="861"/>
      <c r="S450" s="861"/>
      <c r="T450" s="861"/>
      <c r="U450" s="861"/>
      <c r="V450" s="861"/>
      <c r="W450" s="861"/>
      <c r="X450" s="861"/>
      <c r="Y450" s="861"/>
      <c r="Z450" s="861"/>
      <c r="AA450" s="861"/>
      <c r="AB450" s="861"/>
      <c r="AC450" s="861"/>
      <c r="AD450" s="861"/>
      <c r="AE450" s="861"/>
      <c r="AF450" s="861"/>
      <c r="AG450" s="861"/>
    </row>
    <row r="451" spans="1:33" ht="17.25" customHeight="1">
      <c r="A451" s="861"/>
      <c r="B451" s="861"/>
      <c r="C451" s="861"/>
      <c r="D451" s="861"/>
      <c r="E451" s="861"/>
      <c r="F451" s="861"/>
      <c r="G451" s="861"/>
      <c r="H451" s="861"/>
      <c r="I451" s="861"/>
      <c r="J451" s="861"/>
      <c r="K451" s="861"/>
      <c r="L451" s="861"/>
      <c r="M451" s="861"/>
      <c r="N451" s="861"/>
      <c r="O451" s="861"/>
      <c r="P451" s="861"/>
      <c r="Q451" s="861"/>
      <c r="R451" s="861"/>
      <c r="S451" s="861"/>
      <c r="T451" s="861"/>
      <c r="U451" s="861"/>
      <c r="V451" s="861"/>
      <c r="W451" s="861"/>
      <c r="X451" s="861"/>
      <c r="Y451" s="861"/>
      <c r="Z451" s="861"/>
      <c r="AA451" s="861"/>
      <c r="AB451" s="861"/>
      <c r="AC451" s="861"/>
      <c r="AD451" s="861"/>
      <c r="AE451" s="861"/>
      <c r="AF451" s="861"/>
      <c r="AG451" s="861"/>
    </row>
    <row r="452" spans="1:33" ht="17.25" customHeight="1">
      <c r="A452" s="861"/>
      <c r="B452" s="861"/>
      <c r="C452" s="861"/>
      <c r="D452" s="861"/>
      <c r="E452" s="861"/>
      <c r="F452" s="861"/>
      <c r="G452" s="861"/>
      <c r="H452" s="861"/>
      <c r="I452" s="861"/>
      <c r="J452" s="861"/>
      <c r="K452" s="861"/>
      <c r="L452" s="861"/>
      <c r="M452" s="861"/>
      <c r="N452" s="861"/>
      <c r="O452" s="861"/>
      <c r="P452" s="861"/>
      <c r="Q452" s="861"/>
      <c r="R452" s="861"/>
      <c r="S452" s="861"/>
      <c r="T452" s="861"/>
      <c r="U452" s="861"/>
      <c r="V452" s="861"/>
      <c r="W452" s="861"/>
      <c r="X452" s="861"/>
      <c r="Y452" s="861"/>
      <c r="Z452" s="861"/>
      <c r="AA452" s="861"/>
      <c r="AB452" s="861"/>
      <c r="AC452" s="861"/>
      <c r="AD452" s="861"/>
      <c r="AE452" s="861"/>
      <c r="AF452" s="861"/>
      <c r="AG452" s="861"/>
    </row>
    <row r="453" spans="1:33" ht="17.25" customHeight="1">
      <c r="A453" s="861"/>
      <c r="B453" s="861"/>
      <c r="C453" s="861"/>
      <c r="D453" s="861"/>
      <c r="E453" s="861"/>
      <c r="F453" s="861"/>
      <c r="G453" s="861"/>
      <c r="H453" s="861"/>
      <c r="I453" s="861"/>
      <c r="J453" s="861"/>
      <c r="K453" s="861"/>
      <c r="L453" s="861"/>
      <c r="M453" s="861"/>
      <c r="N453" s="861"/>
      <c r="O453" s="861"/>
      <c r="P453" s="861"/>
      <c r="Q453" s="861"/>
      <c r="R453" s="861"/>
      <c r="S453" s="861"/>
      <c r="T453" s="861"/>
      <c r="U453" s="861"/>
      <c r="V453" s="861"/>
      <c r="W453" s="861"/>
      <c r="X453" s="861"/>
      <c r="Y453" s="861"/>
      <c r="Z453" s="861"/>
      <c r="AA453" s="861"/>
      <c r="AB453" s="861"/>
      <c r="AC453" s="861"/>
      <c r="AD453" s="861"/>
      <c r="AE453" s="861"/>
      <c r="AF453" s="861"/>
      <c r="AG453" s="861"/>
    </row>
    <row r="454" spans="1:33" ht="17.25" customHeight="1">
      <c r="A454" s="861"/>
      <c r="B454" s="861"/>
      <c r="C454" s="861"/>
      <c r="D454" s="861"/>
      <c r="E454" s="861"/>
      <c r="F454" s="861"/>
      <c r="G454" s="861"/>
      <c r="H454" s="861"/>
      <c r="I454" s="861"/>
      <c r="J454" s="861"/>
      <c r="K454" s="861"/>
      <c r="L454" s="861"/>
      <c r="M454" s="861"/>
      <c r="N454" s="861"/>
      <c r="O454" s="861"/>
      <c r="P454" s="861"/>
      <c r="Q454" s="861"/>
      <c r="R454" s="861"/>
      <c r="S454" s="861"/>
      <c r="T454" s="861"/>
      <c r="U454" s="861"/>
      <c r="V454" s="861"/>
      <c r="W454" s="861"/>
      <c r="X454" s="861"/>
      <c r="Y454" s="861"/>
      <c r="Z454" s="861"/>
      <c r="AA454" s="861"/>
      <c r="AB454" s="861"/>
      <c r="AC454" s="861"/>
      <c r="AD454" s="861"/>
      <c r="AE454" s="861"/>
      <c r="AF454" s="861"/>
      <c r="AG454" s="861"/>
    </row>
    <row r="455" spans="1:33" ht="17.25" customHeight="1">
      <c r="A455" s="861"/>
      <c r="B455" s="861"/>
      <c r="C455" s="861"/>
      <c r="D455" s="861"/>
      <c r="E455" s="861"/>
      <c r="F455" s="861"/>
      <c r="G455" s="861"/>
      <c r="H455" s="861"/>
      <c r="I455" s="861"/>
      <c r="J455" s="861"/>
      <c r="K455" s="861"/>
      <c r="L455" s="861"/>
      <c r="M455" s="861"/>
      <c r="N455" s="861"/>
      <c r="O455" s="861"/>
      <c r="P455" s="861"/>
      <c r="Q455" s="861"/>
      <c r="R455" s="861"/>
      <c r="S455" s="861"/>
      <c r="T455" s="861"/>
      <c r="U455" s="861"/>
      <c r="V455" s="861"/>
      <c r="W455" s="861"/>
      <c r="X455" s="861"/>
      <c r="Y455" s="861"/>
      <c r="Z455" s="861"/>
      <c r="AA455" s="861"/>
      <c r="AB455" s="861"/>
      <c r="AC455" s="861"/>
      <c r="AD455" s="861"/>
      <c r="AE455" s="861"/>
      <c r="AF455" s="861"/>
      <c r="AG455" s="861"/>
    </row>
    <row r="456" spans="1:33" ht="17.25" customHeight="1">
      <c r="A456" s="861"/>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c r="AB456" s="861"/>
      <c r="AC456" s="861"/>
      <c r="AD456" s="861"/>
      <c r="AE456" s="861"/>
      <c r="AF456" s="861"/>
      <c r="AG456" s="861"/>
    </row>
    <row r="457" spans="1:33" ht="17.25" customHeight="1">
      <c r="A457" s="861"/>
      <c r="B457" s="861"/>
      <c r="C457" s="861"/>
      <c r="D457" s="861"/>
      <c r="E457" s="861"/>
      <c r="F457" s="861"/>
      <c r="G457" s="861"/>
      <c r="H457" s="861"/>
      <c r="I457" s="861"/>
      <c r="J457" s="861"/>
      <c r="K457" s="861"/>
      <c r="L457" s="861"/>
      <c r="M457" s="861"/>
      <c r="N457" s="861"/>
      <c r="O457" s="861"/>
      <c r="P457" s="861"/>
      <c r="Q457" s="861"/>
      <c r="R457" s="861"/>
      <c r="S457" s="861"/>
      <c r="T457" s="861"/>
      <c r="U457" s="861"/>
      <c r="V457" s="861"/>
      <c r="W457" s="861"/>
      <c r="X457" s="861"/>
      <c r="Y457" s="861"/>
      <c r="Z457" s="861"/>
      <c r="AA457" s="861"/>
      <c r="AB457" s="861"/>
      <c r="AC457" s="861"/>
      <c r="AD457" s="861"/>
      <c r="AE457" s="861"/>
      <c r="AF457" s="861"/>
      <c r="AG457" s="861"/>
    </row>
    <row r="458" spans="1:33" ht="17.25" customHeight="1">
      <c r="A458" s="861"/>
      <c r="B458" s="861"/>
      <c r="C458" s="861"/>
      <c r="D458" s="861"/>
      <c r="E458" s="861"/>
      <c r="F458" s="861"/>
      <c r="G458" s="861"/>
      <c r="H458" s="861"/>
      <c r="I458" s="861"/>
      <c r="J458" s="861"/>
      <c r="K458" s="861"/>
      <c r="L458" s="861"/>
      <c r="M458" s="861"/>
      <c r="N458" s="861"/>
      <c r="O458" s="861"/>
      <c r="P458" s="861"/>
      <c r="Q458" s="861"/>
      <c r="R458" s="861"/>
      <c r="S458" s="861"/>
      <c r="T458" s="861"/>
      <c r="U458" s="861"/>
      <c r="V458" s="861"/>
      <c r="W458" s="861"/>
      <c r="X458" s="861"/>
      <c r="Y458" s="861"/>
      <c r="Z458" s="861"/>
      <c r="AA458" s="861"/>
      <c r="AB458" s="861"/>
      <c r="AC458" s="861"/>
      <c r="AD458" s="861"/>
      <c r="AE458" s="861"/>
      <c r="AF458" s="861"/>
      <c r="AG458" s="861"/>
    </row>
    <row r="459" spans="1:33" ht="17.25" customHeight="1">
      <c r="A459" s="861"/>
      <c r="B459" s="861"/>
      <c r="C459" s="861"/>
      <c r="D459" s="861"/>
      <c r="E459" s="861"/>
      <c r="F459" s="861"/>
      <c r="G459" s="861"/>
      <c r="H459" s="861"/>
      <c r="I459" s="861"/>
      <c r="J459" s="861"/>
      <c r="K459" s="861"/>
      <c r="L459" s="861"/>
      <c r="M459" s="861"/>
      <c r="N459" s="861"/>
      <c r="O459" s="861"/>
      <c r="P459" s="861"/>
      <c r="Q459" s="861"/>
      <c r="R459" s="861"/>
      <c r="S459" s="861"/>
      <c r="T459" s="861"/>
      <c r="U459" s="861"/>
      <c r="V459" s="861"/>
      <c r="W459" s="861"/>
      <c r="X459" s="861"/>
      <c r="Y459" s="861"/>
      <c r="Z459" s="861"/>
      <c r="AA459" s="861"/>
      <c r="AB459" s="861"/>
      <c r="AC459" s="861"/>
      <c r="AD459" s="861"/>
      <c r="AE459" s="861"/>
      <c r="AF459" s="861"/>
      <c r="AG459" s="861"/>
    </row>
    <row r="460" spans="1:33" ht="17.25" customHeight="1">
      <c r="A460" s="861"/>
      <c r="B460" s="861"/>
      <c r="C460" s="861"/>
      <c r="D460" s="861"/>
      <c r="E460" s="861"/>
      <c r="F460" s="861"/>
      <c r="G460" s="861"/>
      <c r="H460" s="861"/>
      <c r="I460" s="861"/>
      <c r="J460" s="861"/>
      <c r="K460" s="861"/>
      <c r="L460" s="861"/>
      <c r="M460" s="861"/>
      <c r="N460" s="861"/>
      <c r="O460" s="861"/>
      <c r="P460" s="861"/>
      <c r="Q460" s="861"/>
      <c r="R460" s="861"/>
      <c r="S460" s="861"/>
      <c r="T460" s="861"/>
      <c r="U460" s="861"/>
      <c r="V460" s="861"/>
      <c r="W460" s="861"/>
      <c r="X460" s="861"/>
      <c r="Y460" s="861"/>
      <c r="Z460" s="861"/>
      <c r="AA460" s="861"/>
      <c r="AB460" s="861"/>
      <c r="AC460" s="861"/>
      <c r="AD460" s="861"/>
      <c r="AE460" s="861"/>
      <c r="AF460" s="861"/>
      <c r="AG460" s="861"/>
    </row>
    <row r="461" spans="1:33" ht="17.25" customHeight="1">
      <c r="A461" s="861"/>
      <c r="B461" s="861"/>
      <c r="C461" s="861"/>
      <c r="D461" s="861"/>
      <c r="E461" s="861"/>
      <c r="F461" s="861"/>
      <c r="G461" s="861"/>
      <c r="H461" s="861"/>
      <c r="I461" s="861"/>
      <c r="J461" s="861"/>
      <c r="K461" s="861"/>
      <c r="L461" s="861"/>
      <c r="M461" s="861"/>
      <c r="N461" s="861"/>
      <c r="O461" s="861"/>
      <c r="P461" s="861"/>
      <c r="Q461" s="861"/>
      <c r="R461" s="861"/>
      <c r="S461" s="861"/>
      <c r="T461" s="861"/>
      <c r="U461" s="861"/>
      <c r="V461" s="861"/>
      <c r="W461" s="861"/>
      <c r="X461" s="861"/>
      <c r="Y461" s="861"/>
      <c r="Z461" s="861"/>
      <c r="AA461" s="861"/>
      <c r="AB461" s="861"/>
      <c r="AC461" s="861"/>
      <c r="AD461" s="861"/>
      <c r="AE461" s="861"/>
      <c r="AF461" s="861"/>
      <c r="AG461" s="861"/>
    </row>
    <row r="462" spans="1:33" ht="17.25" customHeight="1">
      <c r="A462" s="861"/>
      <c r="B462" s="861"/>
      <c r="C462" s="861"/>
      <c r="D462" s="861"/>
      <c r="E462" s="861"/>
      <c r="F462" s="861"/>
      <c r="G462" s="861"/>
      <c r="H462" s="861"/>
      <c r="I462" s="861"/>
      <c r="J462" s="861"/>
      <c r="K462" s="861"/>
      <c r="L462" s="861"/>
      <c r="M462" s="861"/>
      <c r="N462" s="861"/>
      <c r="O462" s="861"/>
      <c r="P462" s="861"/>
      <c r="Q462" s="861"/>
      <c r="R462" s="861"/>
      <c r="S462" s="861"/>
      <c r="T462" s="861"/>
      <c r="U462" s="861"/>
      <c r="V462" s="861"/>
      <c r="W462" s="861"/>
      <c r="X462" s="861"/>
      <c r="Y462" s="861"/>
      <c r="Z462" s="861"/>
      <c r="AA462" s="861"/>
      <c r="AB462" s="861"/>
      <c r="AC462" s="861"/>
      <c r="AD462" s="861"/>
      <c r="AE462" s="861"/>
      <c r="AF462" s="861"/>
      <c r="AG462" s="861"/>
    </row>
    <row r="463" spans="1:33" ht="17.25" customHeight="1">
      <c r="A463" s="861"/>
      <c r="B463" s="861"/>
      <c r="C463" s="861"/>
      <c r="D463" s="861"/>
      <c r="E463" s="861"/>
      <c r="F463" s="861"/>
      <c r="G463" s="861"/>
      <c r="H463" s="861"/>
      <c r="I463" s="861"/>
      <c r="J463" s="861"/>
      <c r="K463" s="861"/>
      <c r="L463" s="861"/>
      <c r="M463" s="861"/>
      <c r="N463" s="861"/>
      <c r="O463" s="861"/>
      <c r="P463" s="861"/>
      <c r="Q463" s="861"/>
      <c r="R463" s="861"/>
      <c r="S463" s="861"/>
      <c r="T463" s="861"/>
      <c r="U463" s="861"/>
      <c r="V463" s="861"/>
      <c r="W463" s="861"/>
      <c r="X463" s="861"/>
      <c r="Y463" s="861"/>
      <c r="Z463" s="861"/>
      <c r="AA463" s="861"/>
      <c r="AB463" s="861"/>
      <c r="AC463" s="861"/>
      <c r="AD463" s="861"/>
      <c r="AE463" s="861"/>
      <c r="AF463" s="861"/>
      <c r="AG463" s="861"/>
    </row>
    <row r="464" spans="1:33" ht="17.25" customHeight="1">
      <c r="A464" s="861"/>
      <c r="B464" s="861"/>
      <c r="C464" s="861"/>
      <c r="D464" s="861"/>
      <c r="E464" s="861"/>
      <c r="F464" s="861"/>
      <c r="G464" s="861"/>
      <c r="H464" s="861"/>
      <c r="I464" s="861"/>
      <c r="J464" s="861"/>
      <c r="K464" s="861"/>
      <c r="L464" s="861"/>
      <c r="M464" s="861"/>
      <c r="N464" s="861"/>
      <c r="O464" s="861"/>
      <c r="P464" s="861"/>
      <c r="Q464" s="861"/>
      <c r="R464" s="861"/>
      <c r="S464" s="861"/>
      <c r="T464" s="861"/>
      <c r="U464" s="861"/>
      <c r="V464" s="861"/>
      <c r="W464" s="861"/>
      <c r="X464" s="861"/>
      <c r="Y464" s="861"/>
      <c r="Z464" s="861"/>
      <c r="AA464" s="861"/>
      <c r="AB464" s="861"/>
      <c r="AC464" s="861"/>
      <c r="AD464" s="861"/>
      <c r="AE464" s="861"/>
      <c r="AF464" s="861"/>
      <c r="AG464" s="861"/>
    </row>
    <row r="465" spans="1:33" ht="17.25" customHeight="1">
      <c r="A465" s="861"/>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c r="AA465" s="861"/>
      <c r="AB465" s="861"/>
      <c r="AC465" s="861"/>
      <c r="AD465" s="861"/>
      <c r="AE465" s="861"/>
      <c r="AF465" s="861"/>
      <c r="AG465" s="861"/>
    </row>
    <row r="466" spans="1:33" ht="17.25" customHeight="1">
      <c r="A466" s="861"/>
      <c r="B466" s="861"/>
      <c r="C466" s="861"/>
      <c r="D466" s="861"/>
      <c r="E466" s="861"/>
      <c r="F466" s="861"/>
      <c r="G466" s="861"/>
      <c r="H466" s="861"/>
      <c r="I466" s="861"/>
      <c r="J466" s="861"/>
      <c r="K466" s="861"/>
      <c r="L466" s="861"/>
      <c r="M466" s="861"/>
      <c r="N466" s="861"/>
      <c r="O466" s="861"/>
      <c r="P466" s="861"/>
      <c r="Q466" s="861"/>
      <c r="R466" s="861"/>
      <c r="S466" s="861"/>
      <c r="T466" s="861"/>
      <c r="U466" s="861"/>
      <c r="V466" s="861"/>
      <c r="W466" s="861"/>
      <c r="X466" s="861"/>
      <c r="Y466" s="861"/>
      <c r="Z466" s="861"/>
      <c r="AA466" s="861"/>
      <c r="AB466" s="861"/>
      <c r="AC466" s="861"/>
      <c r="AD466" s="861"/>
      <c r="AE466" s="861"/>
      <c r="AF466" s="861"/>
      <c r="AG466" s="861"/>
    </row>
    <row r="467" spans="1:33" ht="17.25" customHeight="1">
      <c r="A467" s="861"/>
      <c r="B467" s="861"/>
      <c r="C467" s="861"/>
      <c r="D467" s="861"/>
      <c r="E467" s="861"/>
      <c r="F467" s="861"/>
      <c r="G467" s="861"/>
      <c r="H467" s="861"/>
      <c r="I467" s="861"/>
      <c r="J467" s="861"/>
      <c r="K467" s="861"/>
      <c r="L467" s="861"/>
      <c r="M467" s="861"/>
      <c r="N467" s="861"/>
      <c r="O467" s="861"/>
      <c r="P467" s="861"/>
      <c r="Q467" s="861"/>
      <c r="R467" s="861"/>
      <c r="S467" s="861"/>
      <c r="T467" s="861"/>
      <c r="U467" s="861"/>
      <c r="V467" s="861"/>
      <c r="W467" s="861"/>
      <c r="X467" s="861"/>
      <c r="Y467" s="861"/>
      <c r="Z467" s="861"/>
      <c r="AA467" s="861"/>
      <c r="AB467" s="861"/>
      <c r="AC467" s="861"/>
      <c r="AD467" s="861"/>
      <c r="AE467" s="861"/>
      <c r="AF467" s="861"/>
      <c r="AG467" s="861"/>
    </row>
    <row r="468" spans="1:33" ht="17.25" customHeight="1">
      <c r="A468" s="861"/>
      <c r="B468" s="861"/>
      <c r="C468" s="861"/>
      <c r="D468" s="861"/>
      <c r="E468" s="861"/>
      <c r="F468" s="861"/>
      <c r="G468" s="861"/>
      <c r="H468" s="861"/>
      <c r="I468" s="861"/>
      <c r="J468" s="861"/>
      <c r="K468" s="861"/>
      <c r="L468" s="861"/>
      <c r="M468" s="861"/>
      <c r="N468" s="861"/>
      <c r="O468" s="861"/>
      <c r="P468" s="861"/>
      <c r="Q468" s="861"/>
      <c r="R468" s="861"/>
      <c r="S468" s="861"/>
      <c r="T468" s="861"/>
      <c r="U468" s="861"/>
      <c r="V468" s="861"/>
      <c r="W468" s="861"/>
      <c r="X468" s="861"/>
      <c r="Y468" s="861"/>
      <c r="Z468" s="861"/>
      <c r="AA468" s="861"/>
      <c r="AB468" s="861"/>
      <c r="AC468" s="861"/>
      <c r="AD468" s="861"/>
      <c r="AE468" s="861"/>
      <c r="AF468" s="861"/>
      <c r="AG468" s="861"/>
    </row>
    <row r="469" spans="1:33" ht="17.25" customHeight="1">
      <c r="A469" s="861"/>
      <c r="B469" s="861"/>
      <c r="C469" s="861"/>
      <c r="D469" s="861"/>
      <c r="E469" s="861"/>
      <c r="F469" s="861"/>
      <c r="G469" s="861"/>
      <c r="H469" s="861"/>
      <c r="I469" s="861"/>
      <c r="J469" s="861"/>
      <c r="K469" s="861"/>
      <c r="L469" s="861"/>
      <c r="M469" s="861"/>
      <c r="N469" s="861"/>
      <c r="O469" s="861"/>
      <c r="P469" s="861"/>
      <c r="Q469" s="861"/>
      <c r="R469" s="861"/>
      <c r="S469" s="861"/>
      <c r="T469" s="861"/>
      <c r="U469" s="861"/>
      <c r="V469" s="861"/>
      <c r="W469" s="861"/>
      <c r="X469" s="861"/>
      <c r="Y469" s="861"/>
      <c r="Z469" s="861"/>
      <c r="AA469" s="861"/>
      <c r="AB469" s="861"/>
      <c r="AC469" s="861"/>
      <c r="AD469" s="861"/>
      <c r="AE469" s="861"/>
      <c r="AF469" s="861"/>
      <c r="AG469" s="861"/>
    </row>
    <row r="470" spans="1:33">
      <c r="A470" s="861"/>
      <c r="B470" s="861"/>
      <c r="C470" s="861"/>
      <c r="D470" s="861"/>
      <c r="E470" s="861"/>
      <c r="F470" s="861"/>
      <c r="G470" s="861"/>
      <c r="H470" s="861"/>
      <c r="I470" s="861"/>
      <c r="J470" s="861"/>
      <c r="K470" s="861"/>
      <c r="L470" s="861"/>
      <c r="M470" s="861"/>
      <c r="N470" s="861"/>
      <c r="O470" s="861"/>
      <c r="P470" s="861"/>
      <c r="Q470" s="861"/>
      <c r="R470" s="861"/>
      <c r="S470" s="861"/>
      <c r="T470" s="861"/>
      <c r="U470" s="861"/>
      <c r="V470" s="861"/>
      <c r="W470" s="861"/>
      <c r="X470" s="861"/>
      <c r="Y470" s="861"/>
      <c r="Z470" s="861"/>
      <c r="AA470" s="861"/>
      <c r="AB470" s="861"/>
      <c r="AC470" s="861"/>
      <c r="AD470" s="861"/>
      <c r="AE470" s="861"/>
      <c r="AF470" s="861"/>
      <c r="AG470" s="861"/>
    </row>
  </sheetData>
  <sheetProtection password="F66A" sheet="1"/>
  <conditionalFormatting sqref="D3">
    <cfRule type="cellIs" dxfId="293" priority="126" operator="notEqual">
      <formula>0</formula>
    </cfRule>
  </conditionalFormatting>
  <conditionalFormatting sqref="F10">
    <cfRule type="cellIs" dxfId="292" priority="109" stopIfTrue="1" operator="equal">
      <formula>1</formula>
    </cfRule>
  </conditionalFormatting>
  <conditionalFormatting sqref="K6:L6 R6:AG6">
    <cfRule type="cellIs" dxfId="291" priority="5" stopIfTrue="1" operator="equal">
      <formula>1</formula>
    </cfRule>
  </conditionalFormatting>
  <conditionalFormatting sqref="J4 K4:AG5">
    <cfRule type="expression" dxfId="290" priority="4" stopIfTrue="1">
      <formula>J$6=1</formula>
    </cfRule>
  </conditionalFormatting>
  <conditionalFormatting sqref="M6:Q6">
    <cfRule type="cellIs" dxfId="289" priority="3" stopIfTrue="1" operator="equal">
      <formula>1</formula>
    </cfRule>
  </conditionalFormatting>
  <conditionalFormatting sqref="J5">
    <cfRule type="expression" dxfId="288" priority="2" stopIfTrue="1">
      <formula>J$6=1</formula>
    </cfRule>
  </conditionalFormatting>
  <conditionalFormatting sqref="J6:AG6">
    <cfRule type="cellIs" dxfId="287" priority="1" stopIfTrue="1" operator="equal">
      <formula>1</formula>
    </cfRule>
  </conditionalFormatting>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ffering4">
    <tabColor rgb="FFFFFF00"/>
    <pageSetUpPr autoPageBreaks="0"/>
  </sheetPr>
  <dimension ref="A1:BU470"/>
  <sheetViews>
    <sheetView showGridLines="0" zoomScale="85" zoomScaleNormal="85"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cols>
    <col min="1" max="1" width="2.85546875" style="878" customWidth="1"/>
    <col min="2" max="2" width="3.85546875" style="878" customWidth="1"/>
    <col min="3" max="3" width="58.7109375" style="878" customWidth="1"/>
    <col min="4" max="4" width="11.42578125" style="878" customWidth="1"/>
    <col min="5" max="5" width="20.28515625" style="878" customWidth="1"/>
    <col min="6" max="6" width="19.5703125" style="878" customWidth="1"/>
    <col min="7" max="7" width="15.42578125" style="878" customWidth="1"/>
    <col min="8" max="8" width="7.7109375" style="878" customWidth="1"/>
    <col min="9" max="33" width="11.42578125" style="878" customWidth="1"/>
    <col min="34" max="73" width="0" style="878" hidden="1" customWidth="1"/>
    <col min="74" max="16384" width="11.42578125" style="878" hidden="1"/>
  </cols>
  <sheetData>
    <row r="1" spans="1:33" ht="20.25">
      <c r="A1" s="41" t="s">
        <v>965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6.5" customHeight="1">
      <c r="A2" s="127"/>
      <c r="B2" s="127"/>
      <c r="C2" s="268" t="str">
        <f>Timing!C2</f>
        <v>Model: Fictitious 5 Year Forecast</v>
      </c>
      <c r="D2" s="268"/>
      <c r="E2" s="429" t="s">
        <v>148</v>
      </c>
      <c r="F2" s="127"/>
      <c r="G2" s="127"/>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row>
    <row r="3" spans="1:33" ht="16.5" customHeight="1">
      <c r="A3" s="127"/>
      <c r="B3" s="127"/>
      <c r="C3" s="268" t="str">
        <f>Timing!C3</f>
        <v>Model Integrity:</v>
      </c>
      <c r="D3" s="668">
        <f ca="1">Timing!D3</f>
        <v>0</v>
      </c>
      <c r="E3" s="429" t="s">
        <v>149</v>
      </c>
      <c r="F3" s="127"/>
      <c r="G3" s="280"/>
      <c r="H3" s="280"/>
      <c r="I3" s="277"/>
      <c r="J3" s="281"/>
      <c r="K3" s="861"/>
      <c r="L3" s="281"/>
      <c r="M3" s="861"/>
      <c r="N3" s="281"/>
      <c r="O3" s="861"/>
      <c r="P3" s="281"/>
      <c r="Q3" s="861"/>
      <c r="R3" s="281"/>
      <c r="S3" s="861"/>
      <c r="T3" s="281"/>
      <c r="U3" s="861"/>
      <c r="V3" s="281"/>
      <c r="W3" s="861"/>
      <c r="X3" s="281"/>
      <c r="Y3" s="861"/>
      <c r="Z3" s="281"/>
      <c r="AA3" s="861"/>
      <c r="AB3" s="281"/>
      <c r="AC3" s="861"/>
      <c r="AD3" s="281"/>
      <c r="AE3" s="861"/>
      <c r="AF3" s="281"/>
      <c r="AG3" s="861"/>
    </row>
    <row r="4" spans="1:33" ht="16.5" customHeight="1">
      <c r="A4" s="275"/>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6.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6.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16.5" customHeight="1">
      <c r="A7" s="861"/>
      <c r="B7" s="861"/>
      <c r="C7" s="861" t="str">
        <f>Timing!C17</f>
        <v>Month of model</v>
      </c>
      <c r="D7" s="270" t="str">
        <f>Timing!D17</f>
        <v>#</v>
      </c>
      <c r="E7" s="861"/>
      <c r="F7" s="861"/>
      <c r="G7" s="861"/>
      <c r="H7" s="861"/>
      <c r="I7" s="861"/>
      <c r="J7" s="861">
        <f>Timing!J17</f>
        <v>1</v>
      </c>
      <c r="K7" s="861">
        <f>Timing!K17</f>
        <v>2</v>
      </c>
      <c r="L7" s="861">
        <f>Timing!L17</f>
        <v>3</v>
      </c>
      <c r="M7" s="861">
        <f>Timing!M17</f>
        <v>4</v>
      </c>
      <c r="N7" s="861">
        <f>Timing!N17</f>
        <v>5</v>
      </c>
      <c r="O7" s="861">
        <f>Timing!O17</f>
        <v>6</v>
      </c>
      <c r="P7" s="861">
        <f>Timing!P17</f>
        <v>7</v>
      </c>
      <c r="Q7" s="861">
        <f>Timing!Q17</f>
        <v>8</v>
      </c>
      <c r="R7" s="861">
        <f>Timing!R17</f>
        <v>9</v>
      </c>
      <c r="S7" s="861">
        <f>Timing!S17</f>
        <v>10</v>
      </c>
      <c r="T7" s="861">
        <f>Timing!T17</f>
        <v>11</v>
      </c>
      <c r="U7" s="861">
        <f>Timing!U17</f>
        <v>12</v>
      </c>
      <c r="V7" s="861">
        <f>Timing!V17</f>
        <v>13</v>
      </c>
      <c r="W7" s="861">
        <f>Timing!W17</f>
        <v>14</v>
      </c>
      <c r="X7" s="861">
        <f>Timing!X17</f>
        <v>15</v>
      </c>
      <c r="Y7" s="861">
        <f>Timing!Y17</f>
        <v>16</v>
      </c>
      <c r="Z7" s="861">
        <f>Timing!Z17</f>
        <v>17</v>
      </c>
      <c r="AA7" s="861">
        <f>Timing!AA17</f>
        <v>18</v>
      </c>
      <c r="AB7" s="861">
        <f>Timing!AB17</f>
        <v>19</v>
      </c>
      <c r="AC7" s="861">
        <f>Timing!AC17</f>
        <v>20</v>
      </c>
      <c r="AD7" s="861">
        <f>Timing!AD17</f>
        <v>21</v>
      </c>
      <c r="AE7" s="861">
        <f>Timing!AE17</f>
        <v>22</v>
      </c>
      <c r="AF7" s="861">
        <f>Timing!AF17</f>
        <v>23</v>
      </c>
      <c r="AG7" s="861">
        <f>Timing!AG17</f>
        <v>24</v>
      </c>
    </row>
    <row r="8" spans="1:33" ht="16.5" customHeight="1">
      <c r="A8" s="861"/>
      <c r="B8" s="861"/>
      <c r="C8" s="861" t="str">
        <f>Timing!C11</f>
        <v>Calendar Year (Counter)</v>
      </c>
      <c r="D8" s="270" t="str">
        <f>Timing!D11</f>
        <v>#</v>
      </c>
      <c r="E8" s="861"/>
      <c r="F8" s="861"/>
      <c r="G8" s="861"/>
      <c r="H8" s="861"/>
      <c r="I8" s="861"/>
      <c r="J8" s="861">
        <f>Timing!J11</f>
        <v>1</v>
      </c>
      <c r="K8" s="861">
        <f>Timing!K11</f>
        <v>1</v>
      </c>
      <c r="L8" s="861">
        <f>Timing!L11</f>
        <v>1</v>
      </c>
      <c r="M8" s="861">
        <f>Timing!M11</f>
        <v>1</v>
      </c>
      <c r="N8" s="861">
        <f>Timing!N11</f>
        <v>1</v>
      </c>
      <c r="O8" s="861">
        <f>Timing!O11</f>
        <v>1</v>
      </c>
      <c r="P8" s="861">
        <f>Timing!P11</f>
        <v>1</v>
      </c>
      <c r="Q8" s="861">
        <f>Timing!Q11</f>
        <v>1</v>
      </c>
      <c r="R8" s="861">
        <f>Timing!R11</f>
        <v>1</v>
      </c>
      <c r="S8" s="861">
        <f>Timing!S11</f>
        <v>1</v>
      </c>
      <c r="T8" s="861">
        <f>Timing!T11</f>
        <v>1</v>
      </c>
      <c r="U8" s="861">
        <f>Timing!U11</f>
        <v>2</v>
      </c>
      <c r="V8" s="861">
        <f>Timing!V11</f>
        <v>2</v>
      </c>
      <c r="W8" s="861">
        <f>Timing!W11</f>
        <v>2</v>
      </c>
      <c r="X8" s="861">
        <f>Timing!X11</f>
        <v>2</v>
      </c>
      <c r="Y8" s="861">
        <f>Timing!Y11</f>
        <v>2</v>
      </c>
      <c r="Z8" s="861">
        <f>Timing!Z11</f>
        <v>2</v>
      </c>
      <c r="AA8" s="861">
        <f>Timing!AA11</f>
        <v>2</v>
      </c>
      <c r="AB8" s="861">
        <f>Timing!AB11</f>
        <v>2</v>
      </c>
      <c r="AC8" s="861">
        <f>Timing!AC11</f>
        <v>2</v>
      </c>
      <c r="AD8" s="861">
        <f>Timing!AD11</f>
        <v>2</v>
      </c>
      <c r="AE8" s="861">
        <f>Timing!AE11</f>
        <v>2</v>
      </c>
      <c r="AF8" s="861">
        <f>Timing!AF11</f>
        <v>2</v>
      </c>
      <c r="AG8" s="861">
        <f>Timing!AG11</f>
        <v>3</v>
      </c>
    </row>
    <row r="9" spans="1:33" s="737" customFormat="1" ht="17.25" customHeight="1">
      <c r="A9" s="786"/>
      <c r="B9" s="786"/>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row>
    <row r="10" spans="1:33" ht="29.25" customHeight="1" thickBot="1">
      <c r="A10" s="427"/>
      <c r="B10" s="427"/>
      <c r="C10" s="427" t="str">
        <f>"Product/Service 4: "&amp;Inputs!$F$103</f>
        <v>Product/Service 4: FutureApp</v>
      </c>
      <c r="D10" s="427"/>
      <c r="E10" s="1043" t="s">
        <v>1011</v>
      </c>
      <c r="F10" s="1019">
        <f>OnOff_PS4</f>
        <v>0</v>
      </c>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row>
    <row r="11" spans="1:33" ht="9.75" customHeight="1">
      <c r="A11" s="861"/>
      <c r="B11" s="861"/>
      <c r="C11" s="861"/>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row>
    <row r="12" spans="1:33" ht="21.75" customHeight="1">
      <c r="A12" s="861"/>
      <c r="B12" s="861"/>
      <c r="C12" s="861"/>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61"/>
      <c r="AC12" s="861"/>
      <c r="AD12" s="861"/>
      <c r="AE12" s="861"/>
      <c r="AF12" s="861"/>
      <c r="AG12" s="861"/>
    </row>
    <row r="13" spans="1:33" ht="17.25" customHeight="1">
      <c r="A13" s="861"/>
      <c r="B13" s="861"/>
      <c r="C13" s="861"/>
      <c r="D13" s="861"/>
      <c r="E13" s="861"/>
      <c r="F13" s="861"/>
      <c r="G13" s="861"/>
      <c r="H13" s="861"/>
      <c r="I13" s="861"/>
      <c r="J13" s="861"/>
      <c r="K13" s="861"/>
      <c r="L13" s="861"/>
      <c r="M13" s="861"/>
      <c r="N13" s="861"/>
      <c r="O13" s="861"/>
      <c r="P13" s="861"/>
      <c r="Q13" s="861"/>
      <c r="R13" s="861"/>
      <c r="S13" s="861"/>
      <c r="T13" s="861"/>
      <c r="U13" s="861"/>
      <c r="V13" s="861"/>
      <c r="W13" s="861"/>
      <c r="X13" s="861"/>
      <c r="Y13" s="861"/>
      <c r="Z13" s="861"/>
      <c r="AA13" s="861"/>
      <c r="AB13" s="861"/>
      <c r="AC13" s="861"/>
      <c r="AD13" s="861"/>
      <c r="AE13" s="861"/>
      <c r="AF13" s="861"/>
      <c r="AG13" s="861"/>
    </row>
    <row r="14" spans="1:33" ht="17.25" customHeight="1">
      <c r="A14" s="861"/>
      <c r="B14" s="861"/>
      <c r="C14" s="861"/>
      <c r="D14" s="861"/>
      <c r="E14" s="861"/>
      <c r="F14" s="861"/>
      <c r="G14" s="861"/>
      <c r="H14" s="861"/>
      <c r="I14" s="861"/>
      <c r="J14" s="861"/>
      <c r="K14" s="861"/>
      <c r="L14" s="861"/>
      <c r="M14" s="861"/>
      <c r="N14" s="861"/>
      <c r="O14" s="861"/>
      <c r="P14" s="861"/>
      <c r="Q14" s="861"/>
      <c r="R14" s="861"/>
      <c r="S14" s="861"/>
      <c r="T14" s="861"/>
      <c r="U14" s="861"/>
      <c r="V14" s="861"/>
      <c r="W14" s="861"/>
      <c r="X14" s="861"/>
      <c r="Y14" s="861"/>
      <c r="Z14" s="861"/>
      <c r="AA14" s="861"/>
      <c r="AB14" s="861"/>
      <c r="AC14" s="861"/>
      <c r="AD14" s="861"/>
      <c r="AE14" s="861"/>
      <c r="AF14" s="861"/>
      <c r="AG14" s="861"/>
    </row>
    <row r="15" spans="1:33" ht="17.25" customHeight="1">
      <c r="A15" s="861"/>
      <c r="B15" s="861"/>
      <c r="C15" s="861"/>
      <c r="D15" s="861"/>
      <c r="E15" s="861"/>
      <c r="F15" s="861"/>
      <c r="G15" s="861"/>
      <c r="H15" s="861"/>
      <c r="I15" s="861"/>
      <c r="J15" s="861"/>
      <c r="K15" s="861"/>
      <c r="L15" s="861"/>
      <c r="M15" s="861"/>
      <c r="N15" s="861"/>
      <c r="O15" s="861"/>
      <c r="P15" s="861"/>
      <c r="Q15" s="861"/>
      <c r="R15" s="861"/>
      <c r="S15" s="861"/>
      <c r="T15" s="861"/>
      <c r="U15" s="861"/>
      <c r="V15" s="861"/>
      <c r="W15" s="861"/>
      <c r="X15" s="861"/>
      <c r="Y15" s="861"/>
      <c r="Z15" s="861"/>
      <c r="AA15" s="861"/>
      <c r="AB15" s="861"/>
      <c r="AC15" s="861"/>
      <c r="AD15" s="861"/>
      <c r="AE15" s="861"/>
      <c r="AF15" s="861"/>
      <c r="AG15" s="861"/>
    </row>
    <row r="16" spans="1:33" ht="17.25" customHeight="1">
      <c r="A16" s="861"/>
      <c r="B16" s="861"/>
      <c r="C16" s="861"/>
      <c r="D16" s="861"/>
      <c r="E16" s="861"/>
      <c r="F16" s="861"/>
      <c r="G16" s="861"/>
      <c r="H16" s="861"/>
      <c r="I16" s="861"/>
      <c r="J16" s="861"/>
      <c r="K16" s="861"/>
      <c r="L16" s="861"/>
      <c r="M16" s="861"/>
      <c r="N16" s="861"/>
      <c r="O16" s="861"/>
      <c r="P16" s="861"/>
      <c r="Q16" s="861"/>
      <c r="R16" s="861"/>
      <c r="S16" s="861"/>
      <c r="T16" s="861"/>
      <c r="U16" s="861"/>
      <c r="V16" s="861"/>
      <c r="W16" s="861"/>
      <c r="X16" s="861"/>
      <c r="Y16" s="861"/>
      <c r="Z16" s="861"/>
      <c r="AA16" s="861"/>
      <c r="AB16" s="861"/>
      <c r="AC16" s="861"/>
      <c r="AD16" s="861"/>
      <c r="AE16" s="861"/>
      <c r="AF16" s="861"/>
      <c r="AG16" s="861"/>
    </row>
    <row r="17" spans="1:33" ht="9" customHeight="1">
      <c r="A17" s="861"/>
      <c r="B17" s="861"/>
      <c r="C17" s="861"/>
      <c r="D17" s="861"/>
      <c r="E17" s="861"/>
      <c r="F17" s="861"/>
      <c r="G17" s="861"/>
      <c r="H17" s="861"/>
      <c r="I17" s="861"/>
      <c r="J17" s="861"/>
      <c r="K17" s="861"/>
      <c r="L17" s="861"/>
      <c r="M17" s="861"/>
      <c r="N17" s="861"/>
      <c r="O17" s="861"/>
      <c r="P17" s="861"/>
      <c r="Q17" s="861"/>
      <c r="R17" s="861"/>
      <c r="S17" s="861"/>
      <c r="T17" s="861"/>
      <c r="U17" s="861"/>
      <c r="V17" s="861"/>
      <c r="W17" s="861"/>
      <c r="X17" s="861"/>
      <c r="Y17" s="861"/>
      <c r="Z17" s="861"/>
      <c r="AA17" s="861"/>
      <c r="AB17" s="861"/>
      <c r="AC17" s="861"/>
      <c r="AD17" s="861"/>
      <c r="AE17" s="861"/>
      <c r="AF17" s="861"/>
      <c r="AG17" s="861"/>
    </row>
    <row r="18" spans="1:33" ht="17.25" customHeight="1">
      <c r="A18" s="861"/>
      <c r="B18" s="861"/>
      <c r="C18" s="861"/>
      <c r="D18" s="861"/>
      <c r="E18" s="861"/>
      <c r="F18" s="861"/>
      <c r="G18" s="861"/>
      <c r="H18" s="861"/>
      <c r="I18" s="861"/>
      <c r="J18" s="861"/>
      <c r="K18" s="861"/>
      <c r="L18" s="861"/>
      <c r="M18" s="861"/>
      <c r="N18" s="861"/>
      <c r="O18" s="861"/>
      <c r="P18" s="861"/>
      <c r="Q18" s="861"/>
      <c r="R18" s="861"/>
      <c r="S18" s="861"/>
      <c r="T18" s="861"/>
      <c r="U18" s="861"/>
      <c r="V18" s="861"/>
      <c r="W18" s="861"/>
      <c r="X18" s="861"/>
      <c r="Y18" s="861"/>
      <c r="Z18" s="861"/>
      <c r="AA18" s="861"/>
      <c r="AB18" s="861"/>
      <c r="AC18" s="861"/>
      <c r="AD18" s="861"/>
      <c r="AE18" s="861"/>
      <c r="AF18" s="861"/>
      <c r="AG18" s="861"/>
    </row>
    <row r="19" spans="1:33" ht="17.25" customHeight="1">
      <c r="A19" s="861"/>
      <c r="B19" s="861"/>
      <c r="C19" s="861"/>
      <c r="D19" s="861"/>
      <c r="E19" s="861"/>
      <c r="F19" s="861"/>
      <c r="G19" s="861"/>
      <c r="H19" s="861"/>
      <c r="I19" s="861"/>
      <c r="J19" s="861"/>
      <c r="K19" s="861"/>
      <c r="L19" s="861"/>
      <c r="M19" s="861"/>
      <c r="N19" s="861"/>
      <c r="O19" s="861"/>
      <c r="P19" s="861"/>
      <c r="Q19" s="861"/>
      <c r="R19" s="861"/>
      <c r="S19" s="861"/>
      <c r="T19" s="861"/>
      <c r="U19" s="861"/>
      <c r="V19" s="861"/>
      <c r="W19" s="861"/>
      <c r="X19" s="861"/>
      <c r="Y19" s="861"/>
      <c r="Z19" s="861"/>
      <c r="AA19" s="861"/>
      <c r="AB19" s="861"/>
      <c r="AC19" s="861"/>
      <c r="AD19" s="861"/>
      <c r="AE19" s="861"/>
      <c r="AF19" s="861"/>
      <c r="AG19" s="861"/>
    </row>
    <row r="20" spans="1:33" ht="21.75" customHeight="1">
      <c r="A20" s="861"/>
      <c r="B20" s="861"/>
      <c r="C20" s="861"/>
      <c r="D20" s="861"/>
      <c r="E20" s="861"/>
      <c r="F20" s="861"/>
      <c r="G20" s="861"/>
      <c r="H20" s="861"/>
      <c r="I20" s="861"/>
      <c r="J20" s="861"/>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row>
    <row r="21" spans="1:33" ht="17.25" customHeight="1">
      <c r="A21" s="861"/>
      <c r="B21" s="861"/>
      <c r="C21" s="861"/>
      <c r="D21" s="861"/>
      <c r="E21" s="861"/>
      <c r="F21" s="861"/>
      <c r="G21" s="861"/>
      <c r="H21" s="861"/>
      <c r="I21" s="861"/>
      <c r="J21" s="861"/>
      <c r="K21" s="861"/>
      <c r="L21" s="861"/>
      <c r="M21" s="861"/>
      <c r="N21" s="861"/>
      <c r="O21" s="861"/>
      <c r="P21" s="861"/>
      <c r="Q21" s="861"/>
      <c r="R21" s="861"/>
      <c r="S21" s="861"/>
      <c r="T21" s="861"/>
      <c r="U21" s="861"/>
      <c r="V21" s="861"/>
      <c r="W21" s="861"/>
      <c r="X21" s="861"/>
      <c r="Y21" s="861"/>
      <c r="Z21" s="861"/>
      <c r="AA21" s="861"/>
      <c r="AB21" s="861"/>
      <c r="AC21" s="861"/>
      <c r="AD21" s="861"/>
      <c r="AE21" s="861"/>
      <c r="AF21" s="861"/>
      <c r="AG21" s="861"/>
    </row>
    <row r="22" spans="1:33" ht="17.25" customHeight="1">
      <c r="A22" s="861"/>
      <c r="B22" s="861"/>
      <c r="C22" s="861"/>
      <c r="D22" s="861"/>
      <c r="E22" s="861"/>
      <c r="F22" s="861"/>
      <c r="G22" s="861"/>
      <c r="H22" s="861"/>
      <c r="I22" s="861"/>
      <c r="J22" s="861"/>
      <c r="K22" s="861"/>
      <c r="L22" s="861"/>
      <c r="M22" s="861"/>
      <c r="N22" s="861"/>
      <c r="O22" s="861"/>
      <c r="P22" s="861"/>
      <c r="Q22" s="861"/>
      <c r="R22" s="861"/>
      <c r="S22" s="861"/>
      <c r="T22" s="861"/>
      <c r="U22" s="861"/>
      <c r="V22" s="861"/>
      <c r="W22" s="861"/>
      <c r="X22" s="861"/>
      <c r="Y22" s="861"/>
      <c r="Z22" s="861"/>
      <c r="AA22" s="861"/>
      <c r="AB22" s="861"/>
      <c r="AC22" s="861"/>
      <c r="AD22" s="861"/>
      <c r="AE22" s="861"/>
      <c r="AF22" s="861"/>
      <c r="AG22" s="861"/>
    </row>
    <row r="23" spans="1:33" ht="17.25" customHeight="1">
      <c r="A23" s="861"/>
      <c r="B23" s="861"/>
      <c r="C23" s="861"/>
      <c r="D23" s="861"/>
      <c r="E23" s="861"/>
      <c r="F23" s="861"/>
      <c r="G23" s="861"/>
      <c r="H23" s="861"/>
      <c r="I23" s="861"/>
      <c r="J23" s="861"/>
      <c r="K23" s="861"/>
      <c r="L23" s="861"/>
      <c r="M23" s="861"/>
      <c r="N23" s="861"/>
      <c r="O23" s="861"/>
      <c r="P23" s="861"/>
      <c r="Q23" s="861"/>
      <c r="R23" s="861"/>
      <c r="S23" s="861"/>
      <c r="T23" s="861"/>
      <c r="U23" s="861"/>
      <c r="V23" s="861"/>
      <c r="W23" s="861"/>
      <c r="X23" s="861"/>
      <c r="Y23" s="861"/>
      <c r="Z23" s="861"/>
      <c r="AA23" s="861"/>
      <c r="AB23" s="861"/>
      <c r="AC23" s="861"/>
      <c r="AD23" s="861"/>
      <c r="AE23" s="861"/>
      <c r="AF23" s="861"/>
      <c r="AG23" s="861"/>
    </row>
    <row r="24" spans="1:33" ht="17.25" customHeight="1">
      <c r="A24" s="861"/>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row>
    <row r="25" spans="1:33" ht="17.25" customHeight="1">
      <c r="A25" s="861"/>
      <c r="B25" s="861"/>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row>
    <row r="26" spans="1:33" ht="17.25" customHeight="1">
      <c r="A26" s="861"/>
      <c r="B26" s="861"/>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row>
    <row r="27" spans="1:33" ht="17.25" customHeight="1">
      <c r="A27" s="861"/>
      <c r="B27" s="861"/>
      <c r="C27" s="861"/>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row>
    <row r="28" spans="1:33" ht="17.25" customHeight="1">
      <c r="A28" s="861"/>
      <c r="B28" s="861"/>
      <c r="C28" s="861"/>
      <c r="D28" s="861"/>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row>
    <row r="29" spans="1:33" ht="17.25" customHeight="1">
      <c r="A29" s="861"/>
      <c r="B29" s="861"/>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row>
    <row r="30" spans="1:33" ht="17.25" customHeight="1">
      <c r="A30" s="861"/>
      <c r="B30" s="861"/>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row>
    <row r="31" spans="1:33" ht="17.25" customHeight="1">
      <c r="A31" s="861"/>
      <c r="B31" s="861"/>
      <c r="C31" s="861"/>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row>
    <row r="32" spans="1:33" ht="17.25" customHeight="1">
      <c r="A32" s="861"/>
      <c r="B32" s="861"/>
      <c r="C32" s="861"/>
      <c r="D32" s="861"/>
      <c r="E32" s="861"/>
      <c r="F32" s="861"/>
      <c r="G32" s="861"/>
      <c r="H32" s="861"/>
      <c r="I32" s="861"/>
      <c r="J32" s="861"/>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row>
    <row r="33" spans="1:33" ht="17.25" customHeight="1">
      <c r="A33" s="861"/>
      <c r="B33" s="861"/>
      <c r="C33" s="861"/>
      <c r="D33" s="861"/>
      <c r="E33" s="861"/>
      <c r="F33" s="861"/>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row>
    <row r="34" spans="1:33" ht="17.25" customHeight="1">
      <c r="A34" s="861"/>
      <c r="B34" s="861"/>
      <c r="C34" s="861"/>
      <c r="D34" s="861"/>
      <c r="E34" s="861"/>
      <c r="F34" s="861"/>
      <c r="G34" s="861"/>
      <c r="H34" s="861"/>
      <c r="I34" s="861"/>
      <c r="J34" s="861"/>
      <c r="K34" s="861"/>
      <c r="L34" s="861"/>
      <c r="M34" s="861"/>
      <c r="N34" s="861"/>
      <c r="O34" s="861"/>
      <c r="P34" s="861"/>
      <c r="Q34" s="861"/>
      <c r="R34" s="861"/>
      <c r="S34" s="861"/>
      <c r="T34" s="861"/>
      <c r="U34" s="861"/>
      <c r="V34" s="861"/>
      <c r="W34" s="861"/>
      <c r="X34" s="861"/>
      <c r="Y34" s="861"/>
      <c r="Z34" s="861"/>
      <c r="AA34" s="861"/>
      <c r="AB34" s="861"/>
      <c r="AC34" s="861"/>
      <c r="AD34" s="861"/>
      <c r="AE34" s="861"/>
      <c r="AF34" s="861"/>
      <c r="AG34" s="861"/>
    </row>
    <row r="35" spans="1:33" ht="17.25" customHeight="1">
      <c r="A35" s="861"/>
      <c r="B35" s="861"/>
      <c r="C35" s="861"/>
      <c r="D35" s="861"/>
      <c r="E35" s="861"/>
      <c r="F35" s="861"/>
      <c r="G35" s="861"/>
      <c r="H35" s="861"/>
      <c r="I35" s="861"/>
      <c r="J35" s="861"/>
      <c r="K35" s="861"/>
      <c r="L35" s="861"/>
      <c r="M35" s="861"/>
      <c r="N35" s="861"/>
      <c r="O35" s="861"/>
      <c r="P35" s="861"/>
      <c r="Q35" s="861"/>
      <c r="R35" s="861"/>
      <c r="S35" s="861"/>
      <c r="T35" s="861"/>
      <c r="U35" s="861"/>
      <c r="V35" s="861"/>
      <c r="W35" s="861"/>
      <c r="X35" s="861"/>
      <c r="Y35" s="861"/>
      <c r="Z35" s="861"/>
      <c r="AA35" s="861"/>
      <c r="AB35" s="861"/>
      <c r="AC35" s="861"/>
      <c r="AD35" s="861"/>
      <c r="AE35" s="861"/>
      <c r="AF35" s="861"/>
      <c r="AG35" s="861"/>
    </row>
    <row r="36" spans="1:33" ht="17.25" customHeight="1">
      <c r="A36" s="861"/>
      <c r="B36" s="861"/>
      <c r="C36" s="861"/>
      <c r="D36" s="861"/>
      <c r="E36" s="861"/>
      <c r="F36" s="861"/>
      <c r="G36" s="861"/>
      <c r="H36" s="861"/>
      <c r="I36" s="861"/>
      <c r="J36" s="861"/>
      <c r="K36" s="861"/>
      <c r="L36" s="861"/>
      <c r="M36" s="861"/>
      <c r="N36" s="861"/>
      <c r="O36" s="861"/>
      <c r="P36" s="861"/>
      <c r="Q36" s="861"/>
      <c r="R36" s="861"/>
      <c r="S36" s="861"/>
      <c r="T36" s="861"/>
      <c r="U36" s="861"/>
      <c r="V36" s="861"/>
      <c r="W36" s="861"/>
      <c r="X36" s="861"/>
      <c r="Y36" s="861"/>
      <c r="Z36" s="861"/>
      <c r="AA36" s="861"/>
      <c r="AB36" s="861"/>
      <c r="AC36" s="861"/>
      <c r="AD36" s="861"/>
      <c r="AE36" s="861"/>
      <c r="AF36" s="861"/>
      <c r="AG36" s="861"/>
    </row>
    <row r="37" spans="1:33" ht="17.25" customHeight="1">
      <c r="A37" s="861"/>
      <c r="B37" s="861"/>
      <c r="C37" s="861"/>
      <c r="D37" s="861"/>
      <c r="E37" s="861"/>
      <c r="F37" s="861"/>
      <c r="G37" s="861"/>
      <c r="H37" s="861"/>
      <c r="I37" s="861"/>
      <c r="J37" s="861"/>
      <c r="K37" s="861"/>
      <c r="L37" s="861"/>
      <c r="M37" s="861"/>
      <c r="N37" s="861"/>
      <c r="O37" s="861"/>
      <c r="P37" s="861"/>
      <c r="Q37" s="861"/>
      <c r="R37" s="861"/>
      <c r="S37" s="861"/>
      <c r="T37" s="861"/>
      <c r="U37" s="861"/>
      <c r="V37" s="861"/>
      <c r="W37" s="861"/>
      <c r="X37" s="861"/>
      <c r="Y37" s="861"/>
      <c r="Z37" s="861"/>
      <c r="AA37" s="861"/>
      <c r="AB37" s="861"/>
      <c r="AC37" s="861"/>
      <c r="AD37" s="861"/>
      <c r="AE37" s="861"/>
      <c r="AF37" s="861"/>
      <c r="AG37" s="861"/>
    </row>
    <row r="38" spans="1:33" ht="17.25" customHeight="1">
      <c r="A38" s="861"/>
      <c r="B38" s="861"/>
      <c r="C38" s="861"/>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row>
    <row r="39" spans="1:33" ht="17.25" customHeight="1">
      <c r="A39" s="861"/>
      <c r="B39" s="861"/>
      <c r="C39" s="861"/>
      <c r="D39" s="861"/>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861"/>
      <c r="AE39" s="861"/>
      <c r="AF39" s="861"/>
      <c r="AG39" s="861"/>
    </row>
    <row r="40" spans="1:33" ht="17.25" customHeight="1">
      <c r="A40" s="861"/>
      <c r="B40" s="861"/>
      <c r="C40" s="861"/>
      <c r="D40" s="861"/>
      <c r="E40" s="861"/>
      <c r="F40" s="861"/>
      <c r="G40" s="861"/>
      <c r="H40" s="861"/>
      <c r="I40" s="861"/>
      <c r="J40" s="861"/>
      <c r="K40" s="861"/>
      <c r="L40" s="861"/>
      <c r="M40" s="861"/>
      <c r="N40" s="861"/>
      <c r="O40" s="861"/>
      <c r="P40" s="861"/>
      <c r="Q40" s="861"/>
      <c r="R40" s="861"/>
      <c r="S40" s="861"/>
      <c r="T40" s="861"/>
      <c r="U40" s="861"/>
      <c r="V40" s="861"/>
      <c r="W40" s="861"/>
      <c r="X40" s="861"/>
      <c r="Y40" s="861"/>
      <c r="Z40" s="861"/>
      <c r="AA40" s="861"/>
      <c r="AB40" s="861"/>
      <c r="AC40" s="861"/>
      <c r="AD40" s="861"/>
      <c r="AE40" s="861"/>
      <c r="AF40" s="861"/>
      <c r="AG40" s="861"/>
    </row>
    <row r="41" spans="1:33" ht="17.25" customHeight="1">
      <c r="A41" s="861"/>
      <c r="B41" s="861"/>
      <c r="C41" s="861"/>
      <c r="D41" s="861"/>
      <c r="E41" s="861"/>
      <c r="F41" s="861"/>
      <c r="G41" s="861"/>
      <c r="H41" s="861"/>
      <c r="I41" s="861"/>
      <c r="J41" s="861"/>
      <c r="K41" s="861"/>
      <c r="L41" s="861"/>
      <c r="M41" s="861"/>
      <c r="N41" s="861"/>
      <c r="O41" s="861"/>
      <c r="P41" s="861"/>
      <c r="Q41" s="861"/>
      <c r="R41" s="861"/>
      <c r="S41" s="861"/>
      <c r="T41" s="861"/>
      <c r="U41" s="861"/>
      <c r="V41" s="861"/>
      <c r="W41" s="861"/>
      <c r="X41" s="861"/>
      <c r="Y41" s="861"/>
      <c r="Z41" s="861"/>
      <c r="AA41" s="861"/>
      <c r="AB41" s="861"/>
      <c r="AC41" s="861"/>
      <c r="AD41" s="861"/>
      <c r="AE41" s="861"/>
      <c r="AF41" s="861"/>
      <c r="AG41" s="861"/>
    </row>
    <row r="42" spans="1:33" ht="17.25" customHeight="1">
      <c r="A42" s="861"/>
      <c r="B42" s="861"/>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row>
    <row r="43" spans="1:33" ht="17.25" customHeight="1">
      <c r="A43" s="861"/>
      <c r="B43" s="861"/>
      <c r="C43" s="861"/>
      <c r="D43" s="861"/>
      <c r="E43" s="861"/>
      <c r="F43" s="861"/>
      <c r="G43" s="861"/>
      <c r="H43" s="861"/>
      <c r="I43" s="861"/>
      <c r="J43" s="861"/>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row>
    <row r="44" spans="1:33" ht="21.75" customHeight="1">
      <c r="A44" s="861"/>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row>
    <row r="45" spans="1:33" ht="17.25" customHeight="1">
      <c r="A45" s="861"/>
      <c r="B45" s="861"/>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row>
    <row r="46" spans="1:33" ht="17.25" customHeight="1">
      <c r="A46" s="861"/>
      <c r="B46" s="861"/>
      <c r="C46" s="861"/>
      <c r="D46" s="861"/>
      <c r="E46" s="861"/>
      <c r="F46" s="861"/>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row>
    <row r="47" spans="1:33" ht="17.25" customHeight="1">
      <c r="A47" s="861"/>
      <c r="B47" s="861"/>
      <c r="C47" s="861"/>
      <c r="D47" s="861"/>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row>
    <row r="48" spans="1:33" ht="17.25" customHeight="1">
      <c r="A48" s="861"/>
      <c r="B48" s="861"/>
      <c r="C48" s="861"/>
      <c r="D48" s="861"/>
      <c r="E48" s="861"/>
      <c r="F48" s="861"/>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row>
    <row r="49" spans="1:33" ht="17.25" customHeight="1">
      <c r="A49" s="861"/>
      <c r="B49" s="861"/>
      <c r="C49" s="861"/>
      <c r="D49" s="861"/>
      <c r="E49" s="861"/>
      <c r="F49" s="861"/>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row>
    <row r="50" spans="1:33" ht="17.25" customHeight="1">
      <c r="A50" s="861"/>
      <c r="B50" s="861"/>
      <c r="C50" s="861"/>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row>
    <row r="51" spans="1:33" ht="17.25" customHeight="1">
      <c r="A51" s="861"/>
      <c r="B51" s="861"/>
      <c r="C51" s="861"/>
      <c r="D51" s="861"/>
      <c r="E51" s="861"/>
      <c r="F51" s="861"/>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row>
    <row r="52" spans="1:33" ht="17.25" customHeight="1">
      <c r="A52" s="861"/>
      <c r="B52" s="861"/>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row>
    <row r="53" spans="1:33" ht="17.25" customHeight="1">
      <c r="A53" s="861"/>
      <c r="B53" s="861"/>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row>
    <row r="54" spans="1:33" ht="17.25" customHeight="1">
      <c r="A54" s="861"/>
      <c r="B54" s="861"/>
      <c r="C54" s="861"/>
      <c r="D54" s="861"/>
      <c r="E54" s="861"/>
      <c r="F54" s="861"/>
      <c r="G54" s="861"/>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row>
    <row r="55" spans="1:33" ht="17.25" customHeight="1">
      <c r="A55" s="861"/>
      <c r="B55" s="861"/>
      <c r="C55" s="861"/>
      <c r="D55" s="861"/>
      <c r="E55" s="861"/>
      <c r="F55" s="861"/>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row>
    <row r="56" spans="1:33" ht="17.25" customHeight="1">
      <c r="A56" s="861"/>
      <c r="B56" s="861"/>
      <c r="C56" s="861"/>
      <c r="D56" s="861"/>
      <c r="E56" s="861"/>
      <c r="F56" s="861"/>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row>
    <row r="57" spans="1:33" ht="17.25" customHeight="1">
      <c r="A57" s="861"/>
      <c r="B57" s="861"/>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row>
    <row r="58" spans="1:33" ht="17.25" customHeight="1">
      <c r="A58" s="861"/>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row>
    <row r="59" spans="1:33" ht="21.75" customHeight="1">
      <c r="A59" s="861"/>
      <c r="B59" s="861"/>
      <c r="C59" s="861"/>
      <c r="D59" s="861"/>
      <c r="E59" s="861"/>
      <c r="F59" s="861"/>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row>
    <row r="60" spans="1:33" ht="17.25" customHeight="1">
      <c r="A60" s="861"/>
      <c r="B60" s="861"/>
      <c r="C60" s="861"/>
      <c r="D60" s="861"/>
      <c r="E60" s="861"/>
      <c r="F60" s="861"/>
      <c r="G60" s="861"/>
      <c r="H60" s="861"/>
      <c r="I60" s="861"/>
      <c r="J60" s="861"/>
      <c r="K60" s="861"/>
      <c r="L60" s="861"/>
      <c r="M60" s="861"/>
      <c r="N60" s="861"/>
      <c r="O60" s="861"/>
      <c r="P60" s="861"/>
      <c r="Q60" s="861"/>
      <c r="R60" s="861"/>
      <c r="S60" s="861"/>
      <c r="T60" s="861"/>
      <c r="U60" s="861"/>
      <c r="V60" s="861"/>
      <c r="W60" s="861"/>
      <c r="X60" s="861"/>
      <c r="Y60" s="861"/>
      <c r="Z60" s="861"/>
      <c r="AA60" s="861"/>
      <c r="AB60" s="861"/>
      <c r="AC60" s="861"/>
      <c r="AD60" s="861"/>
      <c r="AE60" s="861"/>
      <c r="AF60" s="861"/>
      <c r="AG60" s="861"/>
    </row>
    <row r="61" spans="1:33" ht="17.25" customHeight="1">
      <c r="A61" s="861"/>
      <c r="B61" s="861"/>
      <c r="C61" s="861"/>
      <c r="D61" s="861"/>
      <c r="E61" s="861"/>
      <c r="F61" s="861"/>
      <c r="G61" s="861"/>
      <c r="H61" s="861"/>
      <c r="I61" s="861"/>
      <c r="J61" s="861"/>
      <c r="K61" s="861"/>
      <c r="L61" s="861"/>
      <c r="M61" s="861"/>
      <c r="N61" s="861"/>
      <c r="O61" s="861"/>
      <c r="P61" s="861"/>
      <c r="Q61" s="861"/>
      <c r="R61" s="861"/>
      <c r="S61" s="861"/>
      <c r="T61" s="861"/>
      <c r="U61" s="861"/>
      <c r="V61" s="861"/>
      <c r="W61" s="861"/>
      <c r="X61" s="861"/>
      <c r="Y61" s="861"/>
      <c r="Z61" s="861"/>
      <c r="AA61" s="861"/>
      <c r="AB61" s="861"/>
      <c r="AC61" s="861"/>
      <c r="AD61" s="861"/>
      <c r="AE61" s="861"/>
      <c r="AF61" s="861"/>
      <c r="AG61" s="861"/>
    </row>
    <row r="62" spans="1:33" ht="17.25" customHeight="1">
      <c r="A62" s="861"/>
      <c r="B62" s="861"/>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row>
    <row r="63" spans="1:33" ht="17.25" customHeight="1">
      <c r="A63" s="861"/>
      <c r="B63" s="861"/>
      <c r="C63" s="861"/>
      <c r="D63" s="861"/>
      <c r="E63" s="861"/>
      <c r="F63" s="86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row>
    <row r="64" spans="1:33" ht="17.25" customHeight="1">
      <c r="A64" s="861"/>
      <c r="B64" s="861"/>
      <c r="C64" s="861"/>
      <c r="D64" s="861"/>
      <c r="E64" s="861"/>
      <c r="F64" s="861"/>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row>
    <row r="65" spans="1:33" ht="17.25" customHeight="1">
      <c r="A65" s="861"/>
      <c r="B65" s="861"/>
      <c r="C65" s="861"/>
      <c r="D65" s="861"/>
      <c r="E65" s="861"/>
      <c r="F65" s="861"/>
      <c r="G65" s="861"/>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row>
    <row r="66" spans="1:33" ht="17.25" customHeight="1">
      <c r="A66" s="861"/>
      <c r="B66" s="861"/>
      <c r="C66" s="861"/>
      <c r="D66" s="861"/>
      <c r="E66" s="861"/>
      <c r="F66" s="861"/>
      <c r="G66" s="861"/>
      <c r="H66" s="861"/>
      <c r="I66" s="861"/>
      <c r="J66" s="861"/>
      <c r="K66" s="861"/>
      <c r="L66" s="861"/>
      <c r="M66" s="861"/>
      <c r="N66" s="861"/>
      <c r="O66" s="861"/>
      <c r="P66" s="861"/>
      <c r="Q66" s="861"/>
      <c r="R66" s="861"/>
      <c r="S66" s="861"/>
      <c r="T66" s="861"/>
      <c r="U66" s="861"/>
      <c r="V66" s="861"/>
      <c r="W66" s="861"/>
      <c r="X66" s="861"/>
      <c r="Y66" s="861"/>
      <c r="Z66" s="861"/>
      <c r="AA66" s="861"/>
      <c r="AB66" s="861"/>
      <c r="AC66" s="861"/>
      <c r="AD66" s="861"/>
      <c r="AE66" s="861"/>
      <c r="AF66" s="861"/>
      <c r="AG66" s="861"/>
    </row>
    <row r="67" spans="1:33" ht="17.25" customHeight="1">
      <c r="A67" s="861"/>
      <c r="B67" s="861"/>
      <c r="C67" s="861"/>
      <c r="D67" s="861"/>
      <c r="E67" s="861"/>
      <c r="F67" s="861"/>
      <c r="G67" s="861"/>
      <c r="H67" s="861"/>
      <c r="I67" s="861"/>
      <c r="J67" s="861"/>
      <c r="K67" s="861"/>
      <c r="L67" s="861"/>
      <c r="M67" s="861"/>
      <c r="N67" s="861"/>
      <c r="O67" s="861"/>
      <c r="P67" s="861"/>
      <c r="Q67" s="861"/>
      <c r="R67" s="861"/>
      <c r="S67" s="861"/>
      <c r="T67" s="861"/>
      <c r="U67" s="861"/>
      <c r="V67" s="861"/>
      <c r="W67" s="861"/>
      <c r="X67" s="861"/>
      <c r="Y67" s="861"/>
      <c r="Z67" s="861"/>
      <c r="AA67" s="861"/>
      <c r="AB67" s="861"/>
      <c r="AC67" s="861"/>
      <c r="AD67" s="861"/>
      <c r="AE67" s="861"/>
      <c r="AF67" s="861"/>
      <c r="AG67" s="861"/>
    </row>
    <row r="68" spans="1:33" ht="17.25" customHeight="1">
      <c r="A68" s="861"/>
      <c r="B68" s="861"/>
      <c r="C68" s="861"/>
      <c r="D68" s="861"/>
      <c r="E68" s="861"/>
      <c r="F68" s="861"/>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row>
    <row r="69" spans="1:33" ht="17.25" customHeight="1">
      <c r="A69" s="861"/>
      <c r="B69" s="861"/>
      <c r="C69" s="861"/>
      <c r="D69" s="861"/>
      <c r="E69" s="861"/>
      <c r="F69" s="861"/>
      <c r="G69" s="861"/>
      <c r="H69" s="861"/>
      <c r="I69" s="861"/>
      <c r="J69" s="861"/>
      <c r="K69" s="861"/>
      <c r="L69" s="861"/>
      <c r="M69" s="861"/>
      <c r="N69" s="861"/>
      <c r="O69" s="861"/>
      <c r="P69" s="861"/>
      <c r="Q69" s="861"/>
      <c r="R69" s="861"/>
      <c r="S69" s="861"/>
      <c r="T69" s="861"/>
      <c r="U69" s="861"/>
      <c r="V69" s="861"/>
      <c r="W69" s="861"/>
      <c r="X69" s="861"/>
      <c r="Y69" s="861"/>
      <c r="Z69" s="861"/>
      <c r="AA69" s="861"/>
      <c r="AB69" s="861"/>
      <c r="AC69" s="861"/>
      <c r="AD69" s="861"/>
      <c r="AE69" s="861"/>
      <c r="AF69" s="861"/>
      <c r="AG69" s="861"/>
    </row>
    <row r="70" spans="1:33" ht="17.25" customHeight="1">
      <c r="A70" s="861"/>
      <c r="B70" s="861"/>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AE70" s="861"/>
      <c r="AF70" s="861"/>
      <c r="AG70" s="861"/>
    </row>
    <row r="71" spans="1:33" ht="17.25" customHeight="1">
      <c r="A71" s="861"/>
      <c r="B71" s="861"/>
      <c r="C71" s="861"/>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row>
    <row r="72" spans="1:33" ht="17.25" customHeight="1">
      <c r="A72" s="861"/>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row>
    <row r="73" spans="1:33" ht="17.25" customHeight="1">
      <c r="A73" s="861"/>
      <c r="B73" s="861"/>
      <c r="C73" s="861"/>
      <c r="D73" s="861"/>
      <c r="E73" s="861"/>
      <c r="F73" s="861"/>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row>
    <row r="74" spans="1:33" ht="21.75" customHeight="1">
      <c r="A74" s="861"/>
      <c r="B74" s="861"/>
      <c r="C74" s="861"/>
      <c r="D74" s="861"/>
      <c r="E74" s="861"/>
      <c r="F74" s="861"/>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row>
    <row r="75" spans="1:33" ht="17.25" customHeight="1">
      <c r="A75" s="861"/>
      <c r="B75" s="861"/>
      <c r="C75" s="861"/>
      <c r="D75" s="861"/>
      <c r="E75" s="861"/>
      <c r="F75" s="861"/>
      <c r="G75" s="861"/>
      <c r="H75" s="861"/>
      <c r="I75" s="861"/>
      <c r="J75" s="861"/>
      <c r="K75" s="861"/>
      <c r="L75" s="861"/>
      <c r="M75" s="861"/>
      <c r="N75" s="861"/>
      <c r="O75" s="861"/>
      <c r="P75" s="861"/>
      <c r="Q75" s="861"/>
      <c r="R75" s="861"/>
      <c r="S75" s="861"/>
      <c r="T75" s="861"/>
      <c r="U75" s="861"/>
      <c r="V75" s="861"/>
      <c r="W75" s="861"/>
      <c r="X75" s="861"/>
      <c r="Y75" s="861"/>
      <c r="Z75" s="861"/>
      <c r="AA75" s="861"/>
      <c r="AB75" s="861"/>
      <c r="AC75" s="861"/>
      <c r="AD75" s="861"/>
      <c r="AE75" s="861"/>
      <c r="AF75" s="861"/>
      <c r="AG75" s="861"/>
    </row>
    <row r="76" spans="1:33" ht="17.25" customHeight="1">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row>
    <row r="77" spans="1:33" ht="17.25" customHeight="1">
      <c r="A77" s="861"/>
      <c r="B77" s="861"/>
      <c r="C77" s="861"/>
      <c r="D77" s="861"/>
      <c r="E77" s="861"/>
      <c r="F77" s="861"/>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row>
    <row r="78" spans="1:33" ht="17.25" customHeight="1">
      <c r="A78" s="861"/>
      <c r="B78" s="861"/>
      <c r="C78" s="861"/>
      <c r="D78" s="861"/>
      <c r="E78" s="861"/>
      <c r="F78" s="861"/>
      <c r="G78" s="861"/>
      <c r="H78" s="861"/>
      <c r="I78" s="861"/>
      <c r="J78" s="861"/>
      <c r="K78" s="861"/>
      <c r="L78" s="861"/>
      <c r="M78" s="861"/>
      <c r="N78" s="861"/>
      <c r="O78" s="861"/>
      <c r="P78" s="861"/>
      <c r="Q78" s="861"/>
      <c r="R78" s="861"/>
      <c r="S78" s="861"/>
      <c r="T78" s="861"/>
      <c r="U78" s="861"/>
      <c r="V78" s="861"/>
      <c r="W78" s="861"/>
      <c r="X78" s="861"/>
      <c r="Y78" s="861"/>
      <c r="Z78" s="861"/>
      <c r="AA78" s="861"/>
      <c r="AB78" s="861"/>
      <c r="AC78" s="861"/>
      <c r="AD78" s="861"/>
      <c r="AE78" s="861"/>
      <c r="AF78" s="861"/>
      <c r="AG78" s="861"/>
    </row>
    <row r="79" spans="1:33" ht="17.25" customHeight="1">
      <c r="A79" s="861"/>
      <c r="B79" s="861"/>
      <c r="C79" s="861"/>
      <c r="D79" s="861"/>
      <c r="E79" s="861"/>
      <c r="F79" s="861"/>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row>
    <row r="80" spans="1:33" ht="21.75" customHeight="1">
      <c r="A80" s="861"/>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row>
    <row r="81" spans="1:33" ht="17.25" customHeight="1">
      <c r="A81" s="861"/>
      <c r="B81" s="861"/>
      <c r="C81" s="861"/>
      <c r="D81" s="861"/>
      <c r="E81" s="861"/>
      <c r="F81" s="861"/>
      <c r="G81" s="861"/>
      <c r="H81" s="861"/>
      <c r="I81" s="861"/>
      <c r="J81" s="861"/>
      <c r="K81" s="861"/>
      <c r="L81" s="861"/>
      <c r="M81" s="861"/>
      <c r="N81" s="861"/>
      <c r="O81" s="861"/>
      <c r="P81" s="861"/>
      <c r="Q81" s="861"/>
      <c r="R81" s="861"/>
      <c r="S81" s="861"/>
      <c r="T81" s="861"/>
      <c r="U81" s="861"/>
      <c r="V81" s="861"/>
      <c r="W81" s="861"/>
      <c r="X81" s="861"/>
      <c r="Y81" s="861"/>
      <c r="Z81" s="861"/>
      <c r="AA81" s="861"/>
      <c r="AB81" s="861"/>
      <c r="AC81" s="861"/>
      <c r="AD81" s="861"/>
      <c r="AE81" s="861"/>
      <c r="AF81" s="861"/>
      <c r="AG81" s="861"/>
    </row>
    <row r="82" spans="1:33" ht="17.25" customHeight="1">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row>
    <row r="83" spans="1:33" ht="17.25" customHeight="1">
      <c r="A83" s="861"/>
      <c r="B83" s="861"/>
      <c r="C83" s="861"/>
      <c r="D83" s="861"/>
      <c r="E83" s="861"/>
      <c r="F83" s="861"/>
      <c r="G83" s="861"/>
      <c r="H83" s="861"/>
      <c r="I83" s="861"/>
      <c r="J83" s="861"/>
      <c r="K83" s="861"/>
      <c r="L83" s="861"/>
      <c r="M83" s="861"/>
      <c r="N83" s="861"/>
      <c r="O83" s="861"/>
      <c r="P83" s="861"/>
      <c r="Q83" s="861"/>
      <c r="R83" s="861"/>
      <c r="S83" s="861"/>
      <c r="T83" s="861"/>
      <c r="U83" s="861"/>
      <c r="V83" s="861"/>
      <c r="W83" s="861"/>
      <c r="X83" s="861"/>
      <c r="Y83" s="861"/>
      <c r="Z83" s="861"/>
      <c r="AA83" s="861"/>
      <c r="AB83" s="861"/>
      <c r="AC83" s="861"/>
      <c r="AD83" s="861"/>
      <c r="AE83" s="861"/>
      <c r="AF83" s="861"/>
      <c r="AG83" s="861"/>
    </row>
    <row r="84" spans="1:33" ht="17.25" customHeight="1">
      <c r="A84" s="861"/>
      <c r="B84" s="861"/>
      <c r="C84" s="861"/>
      <c r="D84" s="861"/>
      <c r="E84" s="861"/>
      <c r="F84" s="861"/>
      <c r="G84" s="861"/>
      <c r="H84" s="861"/>
      <c r="I84" s="861"/>
      <c r="J84" s="861"/>
      <c r="K84" s="861"/>
      <c r="L84" s="861"/>
      <c r="M84" s="861"/>
      <c r="N84" s="861"/>
      <c r="O84" s="861"/>
      <c r="P84" s="861"/>
      <c r="Q84" s="861"/>
      <c r="R84" s="861"/>
      <c r="S84" s="861"/>
      <c r="T84" s="861"/>
      <c r="U84" s="861"/>
      <c r="V84" s="861"/>
      <c r="W84" s="861"/>
      <c r="X84" s="861"/>
      <c r="Y84" s="861"/>
      <c r="Z84" s="861"/>
      <c r="AA84" s="861"/>
      <c r="AB84" s="861"/>
      <c r="AC84" s="861"/>
      <c r="AD84" s="861"/>
      <c r="AE84" s="861"/>
      <c r="AF84" s="861"/>
      <c r="AG84" s="861"/>
    </row>
    <row r="85" spans="1:33" ht="17.25" customHeight="1">
      <c r="A85" s="861"/>
      <c r="B85" s="861"/>
      <c r="C85" s="861"/>
      <c r="D85" s="861"/>
      <c r="E85" s="861"/>
      <c r="F85" s="861"/>
      <c r="G85" s="861"/>
      <c r="H85" s="861"/>
      <c r="I85" s="861"/>
      <c r="J85" s="861"/>
      <c r="K85" s="861"/>
      <c r="L85" s="861"/>
      <c r="M85" s="861"/>
      <c r="N85" s="861"/>
      <c r="O85" s="861"/>
      <c r="P85" s="861"/>
      <c r="Q85" s="861"/>
      <c r="R85" s="861"/>
      <c r="S85" s="861"/>
      <c r="T85" s="861"/>
      <c r="U85" s="861"/>
      <c r="V85" s="861"/>
      <c r="W85" s="861"/>
      <c r="X85" s="861"/>
      <c r="Y85" s="861"/>
      <c r="Z85" s="861"/>
      <c r="AA85" s="861"/>
      <c r="AB85" s="861"/>
      <c r="AC85" s="861"/>
      <c r="AD85" s="861"/>
      <c r="AE85" s="861"/>
      <c r="AF85" s="861"/>
      <c r="AG85" s="861"/>
    </row>
    <row r="86" spans="1:33" ht="17.25" customHeight="1">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row>
    <row r="87" spans="1:33" ht="17.25" customHeight="1">
      <c r="A87" s="861"/>
      <c r="B87" s="861"/>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row>
    <row r="88" spans="1:33" ht="17.25" customHeight="1">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c r="Z88" s="861"/>
      <c r="AA88" s="861"/>
      <c r="AB88" s="861"/>
      <c r="AC88" s="861"/>
      <c r="AD88" s="861"/>
      <c r="AE88" s="861"/>
      <c r="AF88" s="861"/>
      <c r="AG88" s="861"/>
    </row>
    <row r="89" spans="1:33" ht="17.25" customHeight="1">
      <c r="A89" s="861"/>
      <c r="B89" s="861"/>
      <c r="C89" s="861"/>
      <c r="D89" s="861"/>
      <c r="E89" s="861"/>
      <c r="F89" s="861"/>
      <c r="G89" s="861"/>
      <c r="H89" s="861"/>
      <c r="I89" s="861"/>
      <c r="J89" s="861"/>
      <c r="K89" s="861"/>
      <c r="L89" s="861"/>
      <c r="M89" s="861"/>
      <c r="N89" s="861"/>
      <c r="O89" s="861"/>
      <c r="P89" s="861"/>
      <c r="Q89" s="861"/>
      <c r="R89" s="861"/>
      <c r="S89" s="861"/>
      <c r="T89" s="861"/>
      <c r="U89" s="861"/>
      <c r="V89" s="861"/>
      <c r="W89" s="861"/>
      <c r="X89" s="861"/>
      <c r="Y89" s="861"/>
      <c r="Z89" s="861"/>
      <c r="AA89" s="861"/>
      <c r="AB89" s="861"/>
      <c r="AC89" s="861"/>
      <c r="AD89" s="861"/>
      <c r="AE89" s="861"/>
      <c r="AF89" s="861"/>
      <c r="AG89" s="861"/>
    </row>
    <row r="90" spans="1:33" ht="17.25" customHeight="1">
      <c r="A90" s="861"/>
      <c r="B90" s="861"/>
      <c r="C90" s="861"/>
      <c r="D90" s="861"/>
      <c r="E90" s="861"/>
      <c r="F90" s="861"/>
      <c r="G90" s="861"/>
      <c r="H90" s="861"/>
      <c r="I90" s="861"/>
      <c r="J90" s="861"/>
      <c r="K90" s="861"/>
      <c r="L90" s="861"/>
      <c r="M90" s="861"/>
      <c r="N90" s="861"/>
      <c r="O90" s="861"/>
      <c r="P90" s="861"/>
      <c r="Q90" s="861"/>
      <c r="R90" s="861"/>
      <c r="S90" s="861"/>
      <c r="T90" s="861"/>
      <c r="U90" s="861"/>
      <c r="V90" s="861"/>
      <c r="W90" s="861"/>
      <c r="X90" s="861"/>
      <c r="Y90" s="861"/>
      <c r="Z90" s="861"/>
      <c r="AA90" s="861"/>
      <c r="AB90" s="861"/>
      <c r="AC90" s="861"/>
      <c r="AD90" s="861"/>
      <c r="AE90" s="861"/>
      <c r="AF90" s="861"/>
      <c r="AG90" s="861"/>
    </row>
    <row r="91" spans="1:33" ht="17.25" customHeight="1">
      <c r="A91" s="861"/>
      <c r="B91" s="861"/>
      <c r="C91" s="861"/>
      <c r="D91" s="861"/>
      <c r="E91" s="861"/>
      <c r="F91" s="861"/>
      <c r="G91" s="861"/>
      <c r="H91" s="861"/>
      <c r="I91" s="861"/>
      <c r="J91" s="861"/>
      <c r="K91" s="861"/>
      <c r="L91" s="861"/>
      <c r="M91" s="861"/>
      <c r="N91" s="861"/>
      <c r="O91" s="861"/>
      <c r="P91" s="861"/>
      <c r="Q91" s="861"/>
      <c r="R91" s="861"/>
      <c r="S91" s="861"/>
      <c r="T91" s="861"/>
      <c r="U91" s="861"/>
      <c r="V91" s="861"/>
      <c r="W91" s="861"/>
      <c r="X91" s="861"/>
      <c r="Y91" s="861"/>
      <c r="Z91" s="861"/>
      <c r="AA91" s="861"/>
      <c r="AB91" s="861"/>
      <c r="AC91" s="861"/>
      <c r="AD91" s="861"/>
      <c r="AE91" s="861"/>
      <c r="AF91" s="861"/>
      <c r="AG91" s="861"/>
    </row>
    <row r="92" spans="1:33" ht="17.25" customHeight="1">
      <c r="A92" s="861"/>
      <c r="B92" s="861"/>
      <c r="C92" s="861"/>
      <c r="D92" s="861"/>
      <c r="E92" s="861"/>
      <c r="F92" s="861"/>
      <c r="G92" s="861"/>
      <c r="H92" s="861"/>
      <c r="I92" s="861"/>
      <c r="J92" s="861"/>
      <c r="K92" s="861"/>
      <c r="L92" s="861"/>
      <c r="M92" s="861"/>
      <c r="N92" s="861"/>
      <c r="O92" s="861"/>
      <c r="P92" s="861"/>
      <c r="Q92" s="861"/>
      <c r="R92" s="861"/>
      <c r="S92" s="861"/>
      <c r="T92" s="861"/>
      <c r="U92" s="861"/>
      <c r="V92" s="861"/>
      <c r="W92" s="861"/>
      <c r="X92" s="861"/>
      <c r="Y92" s="861"/>
      <c r="Z92" s="861"/>
      <c r="AA92" s="861"/>
      <c r="AB92" s="861"/>
      <c r="AC92" s="861"/>
      <c r="AD92" s="861"/>
      <c r="AE92" s="861"/>
      <c r="AF92" s="861"/>
      <c r="AG92" s="861"/>
    </row>
    <row r="93" spans="1:33" ht="17.25" customHeight="1">
      <c r="A93" s="861"/>
      <c r="B93" s="861"/>
      <c r="C93" s="861"/>
      <c r="D93" s="861"/>
      <c r="E93" s="861"/>
      <c r="F93" s="861"/>
      <c r="G93" s="861"/>
      <c r="H93" s="861"/>
      <c r="I93" s="861"/>
      <c r="J93" s="861"/>
      <c r="K93" s="861"/>
      <c r="L93" s="861"/>
      <c r="M93" s="861"/>
      <c r="N93" s="861"/>
      <c r="O93" s="861"/>
      <c r="P93" s="861"/>
      <c r="Q93" s="861"/>
      <c r="R93" s="861"/>
      <c r="S93" s="861"/>
      <c r="T93" s="861"/>
      <c r="U93" s="861"/>
      <c r="V93" s="861"/>
      <c r="W93" s="861"/>
      <c r="X93" s="861"/>
      <c r="Y93" s="861"/>
      <c r="Z93" s="861"/>
      <c r="AA93" s="861"/>
      <c r="AB93" s="861"/>
      <c r="AC93" s="861"/>
      <c r="AD93" s="861"/>
      <c r="AE93" s="861"/>
      <c r="AF93" s="861"/>
      <c r="AG93" s="861"/>
    </row>
    <row r="94" spans="1:33" ht="17.25" customHeight="1">
      <c r="A94" s="861"/>
      <c r="B94" s="861"/>
      <c r="C94" s="861"/>
      <c r="D94" s="861"/>
      <c r="E94" s="861"/>
      <c r="F94" s="861"/>
      <c r="G94" s="861"/>
      <c r="H94" s="861"/>
      <c r="I94" s="861"/>
      <c r="J94" s="861"/>
      <c r="K94" s="861"/>
      <c r="L94" s="861"/>
      <c r="M94" s="861"/>
      <c r="N94" s="861"/>
      <c r="O94" s="861"/>
      <c r="P94" s="861"/>
      <c r="Q94" s="861"/>
      <c r="R94" s="861"/>
      <c r="S94" s="861"/>
      <c r="T94" s="861"/>
      <c r="U94" s="861"/>
      <c r="V94" s="861"/>
      <c r="W94" s="861"/>
      <c r="X94" s="861"/>
      <c r="Y94" s="861"/>
      <c r="Z94" s="861"/>
      <c r="AA94" s="861"/>
      <c r="AB94" s="861"/>
      <c r="AC94" s="861"/>
      <c r="AD94" s="861"/>
      <c r="AE94" s="861"/>
      <c r="AF94" s="861"/>
      <c r="AG94" s="861"/>
    </row>
    <row r="95" spans="1:33" ht="17.25" customHeight="1">
      <c r="A95" s="861"/>
      <c r="B95" s="861"/>
      <c r="C95" s="861"/>
      <c r="D95" s="861"/>
      <c r="E95" s="861"/>
      <c r="F95" s="861"/>
      <c r="G95" s="861"/>
      <c r="H95" s="861"/>
      <c r="I95" s="861"/>
      <c r="J95" s="861"/>
      <c r="K95" s="861"/>
      <c r="L95" s="861"/>
      <c r="M95" s="861"/>
      <c r="N95" s="861"/>
      <c r="O95" s="861"/>
      <c r="P95" s="861"/>
      <c r="Q95" s="861"/>
      <c r="R95" s="861"/>
      <c r="S95" s="861"/>
      <c r="T95" s="861"/>
      <c r="U95" s="861"/>
      <c r="V95" s="861"/>
      <c r="W95" s="861"/>
      <c r="X95" s="861"/>
      <c r="Y95" s="861"/>
      <c r="Z95" s="861"/>
      <c r="AA95" s="861"/>
      <c r="AB95" s="861"/>
      <c r="AC95" s="861"/>
      <c r="AD95" s="861"/>
      <c r="AE95" s="861"/>
      <c r="AF95" s="861"/>
      <c r="AG95" s="861"/>
    </row>
    <row r="96" spans="1:33" ht="17.25" customHeight="1">
      <c r="A96" s="861"/>
      <c r="B96" s="861"/>
      <c r="C96" s="861"/>
      <c r="D96" s="861"/>
      <c r="E96" s="861"/>
      <c r="F96" s="861"/>
      <c r="G96" s="861"/>
      <c r="H96" s="861"/>
      <c r="I96" s="861"/>
      <c r="J96" s="861"/>
      <c r="K96" s="861"/>
      <c r="L96" s="861"/>
      <c r="M96" s="861"/>
      <c r="N96" s="861"/>
      <c r="O96" s="861"/>
      <c r="P96" s="861"/>
      <c r="Q96" s="861"/>
      <c r="R96" s="861"/>
      <c r="S96" s="861"/>
      <c r="T96" s="861"/>
      <c r="U96" s="861"/>
      <c r="V96" s="861"/>
      <c r="W96" s="861"/>
      <c r="X96" s="861"/>
      <c r="Y96" s="861"/>
      <c r="Z96" s="861"/>
      <c r="AA96" s="861"/>
      <c r="AB96" s="861"/>
      <c r="AC96" s="861"/>
      <c r="AD96" s="861"/>
      <c r="AE96" s="861"/>
      <c r="AF96" s="861"/>
      <c r="AG96" s="861"/>
    </row>
    <row r="97" spans="1:33" ht="17.25" customHeight="1">
      <c r="A97" s="861"/>
      <c r="B97" s="861"/>
      <c r="C97" s="861"/>
      <c r="D97" s="861"/>
      <c r="E97" s="861"/>
      <c r="F97" s="861"/>
      <c r="G97" s="861"/>
      <c r="H97" s="861"/>
      <c r="I97" s="861"/>
      <c r="J97" s="861"/>
      <c r="K97" s="861"/>
      <c r="L97" s="861"/>
      <c r="M97" s="861"/>
      <c r="N97" s="861"/>
      <c r="O97" s="861"/>
      <c r="P97" s="861"/>
      <c r="Q97" s="861"/>
      <c r="R97" s="861"/>
      <c r="S97" s="861"/>
      <c r="T97" s="861"/>
      <c r="U97" s="861"/>
      <c r="V97" s="861"/>
      <c r="W97" s="861"/>
      <c r="X97" s="861"/>
      <c r="Y97" s="861"/>
      <c r="Z97" s="861"/>
      <c r="AA97" s="861"/>
      <c r="AB97" s="861"/>
      <c r="AC97" s="861"/>
      <c r="AD97" s="861"/>
      <c r="AE97" s="861"/>
      <c r="AF97" s="861"/>
      <c r="AG97" s="861"/>
    </row>
    <row r="98" spans="1:33" ht="17.25" customHeight="1">
      <c r="A98" s="861"/>
      <c r="B98" s="861"/>
      <c r="C98" s="861"/>
      <c r="D98" s="861"/>
      <c r="E98" s="861"/>
      <c r="F98" s="861"/>
      <c r="G98" s="861"/>
      <c r="H98" s="861"/>
      <c r="I98" s="861"/>
      <c r="J98" s="861"/>
      <c r="K98" s="861"/>
      <c r="L98" s="861"/>
      <c r="M98" s="861"/>
      <c r="N98" s="861"/>
      <c r="O98" s="861"/>
      <c r="P98" s="861"/>
      <c r="Q98" s="861"/>
      <c r="R98" s="861"/>
      <c r="S98" s="861"/>
      <c r="T98" s="861"/>
      <c r="U98" s="861"/>
      <c r="V98" s="861"/>
      <c r="W98" s="861"/>
      <c r="X98" s="861"/>
      <c r="Y98" s="861"/>
      <c r="Z98" s="861"/>
      <c r="AA98" s="861"/>
      <c r="AB98" s="861"/>
      <c r="AC98" s="861"/>
      <c r="AD98" s="861"/>
      <c r="AE98" s="861"/>
      <c r="AF98" s="861"/>
      <c r="AG98" s="861"/>
    </row>
    <row r="99" spans="1:33" ht="17.25" customHeight="1">
      <c r="A99" s="861"/>
      <c r="B99" s="861"/>
      <c r="C99" s="861"/>
      <c r="D99" s="861"/>
      <c r="E99" s="861"/>
      <c r="F99" s="861"/>
      <c r="G99" s="861"/>
      <c r="H99" s="861"/>
      <c r="I99" s="861"/>
      <c r="J99" s="861"/>
      <c r="K99" s="861"/>
      <c r="L99" s="861"/>
      <c r="M99" s="861"/>
      <c r="N99" s="861"/>
      <c r="O99" s="861"/>
      <c r="P99" s="861"/>
      <c r="Q99" s="861"/>
      <c r="R99" s="861"/>
      <c r="S99" s="861"/>
      <c r="T99" s="861"/>
      <c r="U99" s="861"/>
      <c r="V99" s="861"/>
      <c r="W99" s="861"/>
      <c r="X99" s="861"/>
      <c r="Y99" s="861"/>
      <c r="Z99" s="861"/>
      <c r="AA99" s="861"/>
      <c r="AB99" s="861"/>
      <c r="AC99" s="861"/>
      <c r="AD99" s="861"/>
      <c r="AE99" s="861"/>
      <c r="AF99" s="861"/>
      <c r="AG99" s="861"/>
    </row>
    <row r="100" spans="1:33" ht="17.25" customHeight="1">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c r="Z100" s="861"/>
      <c r="AA100" s="861"/>
      <c r="AB100" s="861"/>
      <c r="AC100" s="861"/>
      <c r="AD100" s="861"/>
      <c r="AE100" s="861"/>
      <c r="AF100" s="861"/>
      <c r="AG100" s="861"/>
    </row>
    <row r="101" spans="1:33" ht="17.25" customHeight="1">
      <c r="A101" s="861"/>
      <c r="B101" s="861"/>
      <c r="C101" s="861"/>
      <c r="D101" s="861"/>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row>
    <row r="102" spans="1:33" ht="17.25" customHeight="1">
      <c r="A102" s="861"/>
      <c r="B102" s="861"/>
      <c r="C102" s="861"/>
      <c r="D102" s="861"/>
      <c r="E102" s="861"/>
      <c r="F102" s="861"/>
      <c r="G102" s="861"/>
      <c r="H102" s="861"/>
      <c r="I102" s="861"/>
      <c r="J102" s="861"/>
      <c r="K102" s="861"/>
      <c r="L102" s="861"/>
      <c r="M102" s="861"/>
      <c r="N102" s="861"/>
      <c r="O102" s="861"/>
      <c r="P102" s="861"/>
      <c r="Q102" s="861"/>
      <c r="R102" s="861"/>
      <c r="S102" s="861"/>
      <c r="T102" s="861"/>
      <c r="U102" s="861"/>
      <c r="V102" s="861"/>
      <c r="W102" s="861"/>
      <c r="X102" s="861"/>
      <c r="Y102" s="861"/>
      <c r="Z102" s="861"/>
      <c r="AA102" s="861"/>
      <c r="AB102" s="861"/>
      <c r="AC102" s="861"/>
      <c r="AD102" s="861"/>
      <c r="AE102" s="861"/>
      <c r="AF102" s="861"/>
      <c r="AG102" s="861"/>
    </row>
    <row r="103" spans="1:33" ht="17.25" customHeight="1">
      <c r="A103" s="861"/>
      <c r="B103" s="861"/>
      <c r="C103" s="861"/>
      <c r="D103" s="861"/>
      <c r="E103" s="861"/>
      <c r="F103" s="861"/>
      <c r="G103" s="861"/>
      <c r="H103" s="861"/>
      <c r="I103" s="861"/>
      <c r="J103" s="861"/>
      <c r="K103" s="861"/>
      <c r="L103" s="861"/>
      <c r="M103" s="861"/>
      <c r="N103" s="861"/>
      <c r="O103" s="861"/>
      <c r="P103" s="861"/>
      <c r="Q103" s="861"/>
      <c r="R103" s="861"/>
      <c r="S103" s="861"/>
      <c r="T103" s="861"/>
      <c r="U103" s="861"/>
      <c r="V103" s="861"/>
      <c r="W103" s="861"/>
      <c r="X103" s="861"/>
      <c r="Y103" s="861"/>
      <c r="Z103" s="861"/>
      <c r="AA103" s="861"/>
      <c r="AB103" s="861"/>
      <c r="AC103" s="861"/>
      <c r="AD103" s="861"/>
      <c r="AE103" s="861"/>
      <c r="AF103" s="861"/>
      <c r="AG103" s="861"/>
    </row>
    <row r="104" spans="1:33" ht="17.25" customHeight="1">
      <c r="A104" s="861"/>
      <c r="B104" s="861"/>
      <c r="C104" s="861"/>
      <c r="D104" s="861"/>
      <c r="E104" s="861"/>
      <c r="F104" s="861"/>
      <c r="G104" s="861"/>
      <c r="H104" s="861"/>
      <c r="I104" s="861"/>
      <c r="J104" s="861"/>
      <c r="K104" s="861"/>
      <c r="L104" s="861"/>
      <c r="M104" s="861"/>
      <c r="N104" s="861"/>
      <c r="O104" s="861"/>
      <c r="P104" s="861"/>
      <c r="Q104" s="861"/>
      <c r="R104" s="861"/>
      <c r="S104" s="861"/>
      <c r="T104" s="861"/>
      <c r="U104" s="861"/>
      <c r="V104" s="861"/>
      <c r="W104" s="861"/>
      <c r="X104" s="861"/>
      <c r="Y104" s="861"/>
      <c r="Z104" s="861"/>
      <c r="AA104" s="861"/>
      <c r="AB104" s="861"/>
      <c r="AC104" s="861"/>
      <c r="AD104" s="861"/>
      <c r="AE104" s="861"/>
      <c r="AF104" s="861"/>
      <c r="AG104" s="861"/>
    </row>
    <row r="105" spans="1:33" ht="17.25" customHeight="1">
      <c r="A105" s="861"/>
      <c r="B105" s="861"/>
      <c r="C105" s="861"/>
      <c r="D105" s="861"/>
      <c r="E105" s="861"/>
      <c r="F105" s="861"/>
      <c r="G105" s="861"/>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row>
    <row r="106" spans="1:33" ht="17.25" customHeight="1">
      <c r="A106" s="861"/>
      <c r="B106" s="861"/>
      <c r="C106" s="861"/>
      <c r="D106" s="861"/>
      <c r="E106" s="861"/>
      <c r="F106" s="861"/>
      <c r="G106" s="861"/>
      <c r="H106" s="861"/>
      <c r="I106" s="861"/>
      <c r="J106" s="861"/>
      <c r="K106" s="861"/>
      <c r="L106" s="861"/>
      <c r="M106" s="861"/>
      <c r="N106" s="861"/>
      <c r="O106" s="861"/>
      <c r="P106" s="861"/>
      <c r="Q106" s="861"/>
      <c r="R106" s="861"/>
      <c r="S106" s="861"/>
      <c r="T106" s="861"/>
      <c r="U106" s="861"/>
      <c r="V106" s="861"/>
      <c r="W106" s="861"/>
      <c r="X106" s="861"/>
      <c r="Y106" s="861"/>
      <c r="Z106" s="861"/>
      <c r="AA106" s="861"/>
      <c r="AB106" s="861"/>
      <c r="AC106" s="861"/>
      <c r="AD106" s="861"/>
      <c r="AE106" s="861"/>
      <c r="AF106" s="861"/>
      <c r="AG106" s="861"/>
    </row>
    <row r="107" spans="1:33" ht="17.25" customHeight="1">
      <c r="A107" s="861"/>
      <c r="B107" s="861"/>
      <c r="C107" s="861"/>
      <c r="D107" s="861"/>
      <c r="E107" s="861"/>
      <c r="F107" s="861"/>
      <c r="G107" s="861"/>
      <c r="H107" s="861"/>
      <c r="I107" s="861"/>
      <c r="J107" s="861"/>
      <c r="K107" s="861"/>
      <c r="L107" s="861"/>
      <c r="M107" s="861"/>
      <c r="N107" s="861"/>
      <c r="O107" s="861"/>
      <c r="P107" s="861"/>
      <c r="Q107" s="861"/>
      <c r="R107" s="861"/>
      <c r="S107" s="861"/>
      <c r="T107" s="861"/>
      <c r="U107" s="861"/>
      <c r="V107" s="861"/>
      <c r="W107" s="861"/>
      <c r="X107" s="861"/>
      <c r="Y107" s="861"/>
      <c r="Z107" s="861"/>
      <c r="AA107" s="861"/>
      <c r="AB107" s="861"/>
      <c r="AC107" s="861"/>
      <c r="AD107" s="861"/>
      <c r="AE107" s="861"/>
      <c r="AF107" s="861"/>
      <c r="AG107" s="861"/>
    </row>
    <row r="108" spans="1:33" ht="17.25" customHeight="1">
      <c r="A108" s="861"/>
      <c r="B108" s="861"/>
      <c r="C108" s="861"/>
      <c r="D108" s="861"/>
      <c r="E108" s="861"/>
      <c r="F108" s="861"/>
      <c r="G108" s="861"/>
      <c r="H108" s="861"/>
      <c r="I108" s="861"/>
      <c r="J108" s="861"/>
      <c r="K108" s="861"/>
      <c r="L108" s="861"/>
      <c r="M108" s="861"/>
      <c r="N108" s="861"/>
      <c r="O108" s="861"/>
      <c r="P108" s="861"/>
      <c r="Q108" s="861"/>
      <c r="R108" s="861"/>
      <c r="S108" s="861"/>
      <c r="T108" s="861"/>
      <c r="U108" s="861"/>
      <c r="V108" s="861"/>
      <c r="W108" s="861"/>
      <c r="X108" s="861"/>
      <c r="Y108" s="861"/>
      <c r="Z108" s="861"/>
      <c r="AA108" s="861"/>
      <c r="AB108" s="861"/>
      <c r="AC108" s="861"/>
      <c r="AD108" s="861"/>
      <c r="AE108" s="861"/>
      <c r="AF108" s="861"/>
      <c r="AG108" s="861"/>
    </row>
    <row r="109" spans="1:33" ht="17.25" customHeight="1">
      <c r="A109" s="861"/>
      <c r="B109" s="861"/>
      <c r="C109" s="861"/>
      <c r="D109" s="861"/>
      <c r="E109" s="861"/>
      <c r="F109" s="861"/>
      <c r="G109" s="861"/>
      <c r="H109" s="861"/>
      <c r="I109" s="861"/>
      <c r="J109" s="861"/>
      <c r="K109" s="861"/>
      <c r="L109" s="861"/>
      <c r="M109" s="861"/>
      <c r="N109" s="861"/>
      <c r="O109" s="861"/>
      <c r="P109" s="861"/>
      <c r="Q109" s="861"/>
      <c r="R109" s="861"/>
      <c r="S109" s="861"/>
      <c r="T109" s="861"/>
      <c r="U109" s="861"/>
      <c r="V109" s="861"/>
      <c r="W109" s="861"/>
      <c r="X109" s="861"/>
      <c r="Y109" s="861"/>
      <c r="Z109" s="861"/>
      <c r="AA109" s="861"/>
      <c r="AB109" s="861"/>
      <c r="AC109" s="861"/>
      <c r="AD109" s="861"/>
      <c r="AE109" s="861"/>
      <c r="AF109" s="861"/>
      <c r="AG109" s="861"/>
    </row>
    <row r="110" spans="1:33" ht="17.25" customHeight="1">
      <c r="A110" s="861"/>
      <c r="B110" s="861"/>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row>
    <row r="111" spans="1:33" ht="17.25" customHeight="1">
      <c r="A111" s="861"/>
      <c r="B111" s="861"/>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c r="Z111" s="861"/>
      <c r="AA111" s="861"/>
      <c r="AB111" s="861"/>
      <c r="AC111" s="861"/>
      <c r="AD111" s="861"/>
      <c r="AE111" s="861"/>
      <c r="AF111" s="861"/>
      <c r="AG111" s="861"/>
    </row>
    <row r="112" spans="1:33" ht="17.25" customHeight="1">
      <c r="A112" s="861"/>
      <c r="B112" s="861"/>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row>
    <row r="113" spans="1:33" ht="17.25" customHeight="1">
      <c r="A113" s="861"/>
      <c r="B113" s="861"/>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row>
    <row r="114" spans="1:33" ht="17.25" customHeight="1">
      <c r="A114" s="861"/>
      <c r="B114" s="861"/>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c r="Z114" s="861"/>
      <c r="AA114" s="861"/>
      <c r="AB114" s="861"/>
      <c r="AC114" s="861"/>
      <c r="AD114" s="861"/>
      <c r="AE114" s="861"/>
      <c r="AF114" s="861"/>
      <c r="AG114" s="861"/>
    </row>
    <row r="115" spans="1:33" ht="17.25" customHeight="1">
      <c r="A115" s="861"/>
      <c r="B115" s="861"/>
      <c r="C115" s="861"/>
      <c r="D115" s="861"/>
      <c r="E115" s="861"/>
      <c r="F115" s="861"/>
      <c r="G115" s="861"/>
      <c r="H115" s="861"/>
      <c r="I115" s="861"/>
      <c r="J115" s="861"/>
      <c r="K115" s="861"/>
      <c r="L115" s="861"/>
      <c r="M115" s="861"/>
      <c r="N115" s="861"/>
      <c r="O115" s="861"/>
      <c r="P115" s="861"/>
      <c r="Q115" s="861"/>
      <c r="R115" s="861"/>
      <c r="S115" s="861"/>
      <c r="T115" s="861"/>
      <c r="U115" s="861"/>
      <c r="V115" s="861"/>
      <c r="W115" s="861"/>
      <c r="X115" s="861"/>
      <c r="Y115" s="861"/>
      <c r="Z115" s="861"/>
      <c r="AA115" s="861"/>
      <c r="AB115" s="861"/>
      <c r="AC115" s="861"/>
      <c r="AD115" s="861"/>
      <c r="AE115" s="861"/>
      <c r="AF115" s="861"/>
      <c r="AG115" s="861"/>
    </row>
    <row r="116" spans="1:33" ht="17.25" customHeight="1">
      <c r="A116" s="861"/>
      <c r="B116" s="861"/>
      <c r="C116" s="861"/>
      <c r="D116" s="861"/>
      <c r="E116" s="861"/>
      <c r="F116" s="861"/>
      <c r="G116" s="861"/>
      <c r="H116" s="861"/>
      <c r="I116" s="861"/>
      <c r="J116" s="861"/>
      <c r="K116" s="861"/>
      <c r="L116" s="861"/>
      <c r="M116" s="861"/>
      <c r="N116" s="861"/>
      <c r="O116" s="861"/>
      <c r="P116" s="861"/>
      <c r="Q116" s="861"/>
      <c r="R116" s="861"/>
      <c r="S116" s="861"/>
      <c r="T116" s="861"/>
      <c r="U116" s="861"/>
      <c r="V116" s="861"/>
      <c r="W116" s="861"/>
      <c r="X116" s="861"/>
      <c r="Y116" s="861"/>
      <c r="Z116" s="861"/>
      <c r="AA116" s="861"/>
      <c r="AB116" s="861"/>
      <c r="AC116" s="861"/>
      <c r="AD116" s="861"/>
      <c r="AE116" s="861"/>
      <c r="AF116" s="861"/>
      <c r="AG116" s="861"/>
    </row>
    <row r="117" spans="1:33" ht="17.25" customHeight="1">
      <c r="A117" s="861"/>
      <c r="B117" s="861"/>
      <c r="C117" s="861"/>
      <c r="D117" s="861"/>
      <c r="E117" s="861"/>
      <c r="F117" s="861"/>
      <c r="G117" s="861"/>
      <c r="H117" s="861"/>
      <c r="I117" s="861"/>
      <c r="J117" s="861"/>
      <c r="K117" s="861"/>
      <c r="L117" s="861"/>
      <c r="M117" s="861"/>
      <c r="N117" s="861"/>
      <c r="O117" s="861"/>
      <c r="P117" s="861"/>
      <c r="Q117" s="861"/>
      <c r="R117" s="861"/>
      <c r="S117" s="861"/>
      <c r="T117" s="861"/>
      <c r="U117" s="861"/>
      <c r="V117" s="861"/>
      <c r="W117" s="861"/>
      <c r="X117" s="861"/>
      <c r="Y117" s="861"/>
      <c r="Z117" s="861"/>
      <c r="AA117" s="861"/>
      <c r="AB117" s="861"/>
      <c r="AC117" s="861"/>
      <c r="AD117" s="861"/>
      <c r="AE117" s="861"/>
      <c r="AF117" s="861"/>
      <c r="AG117" s="861"/>
    </row>
    <row r="118" spans="1:33" ht="17.25" customHeight="1">
      <c r="A118" s="861"/>
      <c r="B118" s="861"/>
      <c r="C118" s="861"/>
      <c r="D118" s="861"/>
      <c r="E118" s="861"/>
      <c r="F118" s="861"/>
      <c r="G118" s="861"/>
      <c r="H118" s="861"/>
      <c r="I118" s="861"/>
      <c r="J118" s="861"/>
      <c r="K118" s="861"/>
      <c r="L118" s="861"/>
      <c r="M118" s="861"/>
      <c r="N118" s="861"/>
      <c r="O118" s="861"/>
      <c r="P118" s="861"/>
      <c r="Q118" s="861"/>
      <c r="R118" s="861"/>
      <c r="S118" s="861"/>
      <c r="T118" s="861"/>
      <c r="U118" s="861"/>
      <c r="V118" s="861"/>
      <c r="W118" s="861"/>
      <c r="X118" s="861"/>
      <c r="Y118" s="861"/>
      <c r="Z118" s="861"/>
      <c r="AA118" s="861"/>
      <c r="AB118" s="861"/>
      <c r="AC118" s="861"/>
      <c r="AD118" s="861"/>
      <c r="AE118" s="861"/>
      <c r="AF118" s="861"/>
      <c r="AG118" s="861"/>
    </row>
    <row r="119" spans="1:33" ht="17.25" customHeight="1">
      <c r="A119" s="861"/>
      <c r="B119" s="861"/>
      <c r="C119" s="861"/>
      <c r="D119" s="861"/>
      <c r="E119" s="861"/>
      <c r="F119" s="861"/>
      <c r="G119" s="861"/>
      <c r="H119" s="861"/>
      <c r="I119" s="861"/>
      <c r="J119" s="861"/>
      <c r="K119" s="861"/>
      <c r="L119" s="861"/>
      <c r="M119" s="861"/>
      <c r="N119" s="861"/>
      <c r="O119" s="861"/>
      <c r="P119" s="861"/>
      <c r="Q119" s="861"/>
      <c r="R119" s="861"/>
      <c r="S119" s="861"/>
      <c r="T119" s="861"/>
      <c r="U119" s="861"/>
      <c r="V119" s="861"/>
      <c r="W119" s="861"/>
      <c r="X119" s="861"/>
      <c r="Y119" s="861"/>
      <c r="Z119" s="861"/>
      <c r="AA119" s="861"/>
      <c r="AB119" s="861"/>
      <c r="AC119" s="861"/>
      <c r="AD119" s="861"/>
      <c r="AE119" s="861"/>
      <c r="AF119" s="861"/>
      <c r="AG119" s="861"/>
    </row>
    <row r="120" spans="1:33" ht="17.25" customHeight="1">
      <c r="A120" s="861"/>
      <c r="B120" s="861"/>
      <c r="C120" s="861"/>
      <c r="D120" s="861"/>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row>
    <row r="121" spans="1:33" ht="17.25" customHeight="1">
      <c r="A121" s="861"/>
      <c r="B121" s="861"/>
      <c r="C121" s="861"/>
      <c r="D121" s="861"/>
      <c r="E121" s="861"/>
      <c r="F121" s="861"/>
      <c r="G121" s="861"/>
      <c r="H121" s="861"/>
      <c r="I121" s="861"/>
      <c r="J121" s="861"/>
      <c r="K121" s="861"/>
      <c r="L121" s="861"/>
      <c r="M121" s="861"/>
      <c r="N121" s="861"/>
      <c r="O121" s="861"/>
      <c r="P121" s="861"/>
      <c r="Q121" s="861"/>
      <c r="R121" s="861"/>
      <c r="S121" s="861"/>
      <c r="T121" s="861"/>
      <c r="U121" s="861"/>
      <c r="V121" s="861"/>
      <c r="W121" s="861"/>
      <c r="X121" s="861"/>
      <c r="Y121" s="861"/>
      <c r="Z121" s="861"/>
      <c r="AA121" s="861"/>
      <c r="AB121" s="861"/>
      <c r="AC121" s="861"/>
      <c r="AD121" s="861"/>
      <c r="AE121" s="861"/>
      <c r="AF121" s="861"/>
      <c r="AG121" s="861"/>
    </row>
    <row r="122" spans="1:33" ht="17.25" customHeight="1">
      <c r="A122" s="861"/>
      <c r="B122" s="861"/>
      <c r="C122" s="861"/>
      <c r="D122" s="861"/>
      <c r="E122" s="861"/>
      <c r="F122" s="861"/>
      <c r="G122" s="861"/>
      <c r="H122" s="861"/>
      <c r="I122" s="861"/>
      <c r="J122" s="861"/>
      <c r="K122" s="861"/>
      <c r="L122" s="861"/>
      <c r="M122" s="861"/>
      <c r="N122" s="861"/>
      <c r="O122" s="861"/>
      <c r="P122" s="861"/>
      <c r="Q122" s="861"/>
      <c r="R122" s="861"/>
      <c r="S122" s="861"/>
      <c r="T122" s="861"/>
      <c r="U122" s="861"/>
      <c r="V122" s="861"/>
      <c r="W122" s="861"/>
      <c r="X122" s="861"/>
      <c r="Y122" s="861"/>
      <c r="Z122" s="861"/>
      <c r="AA122" s="861"/>
      <c r="AB122" s="861"/>
      <c r="AC122" s="861"/>
      <c r="AD122" s="861"/>
      <c r="AE122" s="861"/>
      <c r="AF122" s="861"/>
      <c r="AG122" s="861"/>
    </row>
    <row r="123" spans="1:33" ht="17.25" customHeight="1">
      <c r="A123" s="861"/>
      <c r="B123" s="861"/>
      <c r="C123" s="861"/>
      <c r="D123" s="861"/>
      <c r="E123" s="861"/>
      <c r="F123" s="861"/>
      <c r="G123" s="861"/>
      <c r="H123" s="861"/>
      <c r="I123" s="861"/>
      <c r="J123" s="861"/>
      <c r="K123" s="861"/>
      <c r="L123" s="861"/>
      <c r="M123" s="861"/>
      <c r="N123" s="861"/>
      <c r="O123" s="861"/>
      <c r="P123" s="861"/>
      <c r="Q123" s="861"/>
      <c r="R123" s="861"/>
      <c r="S123" s="861"/>
      <c r="T123" s="861"/>
      <c r="U123" s="861"/>
      <c r="V123" s="861"/>
      <c r="W123" s="861"/>
      <c r="X123" s="861"/>
      <c r="Y123" s="861"/>
      <c r="Z123" s="861"/>
      <c r="AA123" s="861"/>
      <c r="AB123" s="861"/>
      <c r="AC123" s="861"/>
      <c r="AD123" s="861"/>
      <c r="AE123" s="861"/>
      <c r="AF123" s="861"/>
      <c r="AG123" s="861"/>
    </row>
    <row r="124" spans="1:33" ht="17.25" customHeight="1">
      <c r="A124" s="861"/>
      <c r="B124" s="861"/>
      <c r="C124" s="861"/>
      <c r="D124" s="861"/>
      <c r="E124" s="861"/>
      <c r="F124" s="861"/>
      <c r="G124" s="861"/>
      <c r="H124" s="861"/>
      <c r="I124" s="861"/>
      <c r="J124" s="861"/>
      <c r="K124" s="861"/>
      <c r="L124" s="861"/>
      <c r="M124" s="861"/>
      <c r="N124" s="861"/>
      <c r="O124" s="861"/>
      <c r="P124" s="861"/>
      <c r="Q124" s="861"/>
      <c r="R124" s="861"/>
      <c r="S124" s="861"/>
      <c r="T124" s="861"/>
      <c r="U124" s="861"/>
      <c r="V124" s="861"/>
      <c r="W124" s="861"/>
      <c r="X124" s="861"/>
      <c r="Y124" s="861"/>
      <c r="Z124" s="861"/>
      <c r="AA124" s="861"/>
      <c r="AB124" s="861"/>
      <c r="AC124" s="861"/>
      <c r="AD124" s="861"/>
      <c r="AE124" s="861"/>
      <c r="AF124" s="861"/>
      <c r="AG124" s="861"/>
    </row>
    <row r="125" spans="1:33" ht="17.25" customHeight="1">
      <c r="A125" s="861"/>
      <c r="B125" s="861"/>
      <c r="C125" s="861"/>
      <c r="D125" s="861"/>
      <c r="E125" s="861"/>
      <c r="F125" s="861"/>
      <c r="G125" s="861"/>
      <c r="H125" s="861"/>
      <c r="I125" s="861"/>
      <c r="J125" s="861"/>
      <c r="K125" s="861"/>
      <c r="L125" s="861"/>
      <c r="M125" s="861"/>
      <c r="N125" s="861"/>
      <c r="O125" s="861"/>
      <c r="P125" s="861"/>
      <c r="Q125" s="861"/>
      <c r="R125" s="861"/>
      <c r="S125" s="861"/>
      <c r="T125" s="861"/>
      <c r="U125" s="861"/>
      <c r="V125" s="861"/>
      <c r="W125" s="861"/>
      <c r="X125" s="861"/>
      <c r="Y125" s="861"/>
      <c r="Z125" s="861"/>
      <c r="AA125" s="861"/>
      <c r="AB125" s="861"/>
      <c r="AC125" s="861"/>
      <c r="AD125" s="861"/>
      <c r="AE125" s="861"/>
      <c r="AF125" s="861"/>
      <c r="AG125" s="861"/>
    </row>
    <row r="126" spans="1:33" ht="17.25" customHeight="1">
      <c r="A126" s="861"/>
      <c r="B126" s="861"/>
      <c r="C126" s="861"/>
      <c r="D126" s="861"/>
      <c r="E126" s="861"/>
      <c r="F126" s="861"/>
      <c r="G126" s="861"/>
      <c r="H126" s="861"/>
      <c r="I126" s="861"/>
      <c r="J126" s="861"/>
      <c r="K126" s="861"/>
      <c r="L126" s="861"/>
      <c r="M126" s="861"/>
      <c r="N126" s="861"/>
      <c r="O126" s="861"/>
      <c r="P126" s="861"/>
      <c r="Q126" s="861"/>
      <c r="R126" s="861"/>
      <c r="S126" s="861"/>
      <c r="T126" s="861"/>
      <c r="U126" s="861"/>
      <c r="V126" s="861"/>
      <c r="W126" s="861"/>
      <c r="X126" s="861"/>
      <c r="Y126" s="861"/>
      <c r="Z126" s="861"/>
      <c r="AA126" s="861"/>
      <c r="AB126" s="861"/>
      <c r="AC126" s="861"/>
      <c r="AD126" s="861"/>
      <c r="AE126" s="861"/>
      <c r="AF126" s="861"/>
      <c r="AG126" s="861"/>
    </row>
    <row r="127" spans="1:33" ht="17.25" customHeight="1">
      <c r="A127" s="861"/>
      <c r="B127" s="861"/>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row>
    <row r="128" spans="1:33" ht="17.25" customHeight="1">
      <c r="A128" s="861"/>
      <c r="B128" s="861"/>
      <c r="C128" s="861"/>
      <c r="D128" s="861"/>
      <c r="E128" s="861"/>
      <c r="F128" s="861"/>
      <c r="G128" s="861"/>
      <c r="H128" s="861"/>
      <c r="I128" s="861"/>
      <c r="J128" s="861"/>
      <c r="K128" s="861"/>
      <c r="L128" s="861"/>
      <c r="M128" s="861"/>
      <c r="N128" s="861"/>
      <c r="O128" s="861"/>
      <c r="P128" s="861"/>
      <c r="Q128" s="861"/>
      <c r="R128" s="861"/>
      <c r="S128" s="861"/>
      <c r="T128" s="861"/>
      <c r="U128" s="861"/>
      <c r="V128" s="861"/>
      <c r="W128" s="861"/>
      <c r="X128" s="861"/>
      <c r="Y128" s="861"/>
      <c r="Z128" s="861"/>
      <c r="AA128" s="861"/>
      <c r="AB128" s="861"/>
      <c r="AC128" s="861"/>
      <c r="AD128" s="861"/>
      <c r="AE128" s="861"/>
      <c r="AF128" s="861"/>
      <c r="AG128" s="861"/>
    </row>
    <row r="129" spans="1:33" ht="17.25" customHeight="1">
      <c r="A129" s="861"/>
      <c r="B129" s="861"/>
      <c r="C129" s="861"/>
      <c r="D129" s="861"/>
      <c r="E129" s="861"/>
      <c r="F129" s="861"/>
      <c r="G129" s="861"/>
      <c r="H129" s="861"/>
      <c r="I129" s="861"/>
      <c r="J129" s="861"/>
      <c r="K129" s="861"/>
      <c r="L129" s="861"/>
      <c r="M129" s="861"/>
      <c r="N129" s="861"/>
      <c r="O129" s="861"/>
      <c r="P129" s="861"/>
      <c r="Q129" s="861"/>
      <c r="R129" s="861"/>
      <c r="S129" s="861"/>
      <c r="T129" s="861"/>
      <c r="U129" s="861"/>
      <c r="V129" s="861"/>
      <c r="W129" s="861"/>
      <c r="X129" s="861"/>
      <c r="Y129" s="861"/>
      <c r="Z129" s="861"/>
      <c r="AA129" s="861"/>
      <c r="AB129" s="861"/>
      <c r="AC129" s="861"/>
      <c r="AD129" s="861"/>
      <c r="AE129" s="861"/>
      <c r="AF129" s="861"/>
      <c r="AG129" s="861"/>
    </row>
    <row r="130" spans="1:33" ht="17.25" customHeight="1">
      <c r="A130" s="861"/>
      <c r="B130" s="861"/>
      <c r="C130" s="861"/>
      <c r="D130" s="861"/>
      <c r="E130" s="861"/>
      <c r="F130" s="861"/>
      <c r="G130" s="861"/>
      <c r="H130" s="861"/>
      <c r="I130" s="861"/>
      <c r="J130" s="861"/>
      <c r="K130" s="861"/>
      <c r="L130" s="861"/>
      <c r="M130" s="861"/>
      <c r="N130" s="861"/>
      <c r="O130" s="861"/>
      <c r="P130" s="861"/>
      <c r="Q130" s="861"/>
      <c r="R130" s="861"/>
      <c r="S130" s="861"/>
      <c r="T130" s="861"/>
      <c r="U130" s="861"/>
      <c r="V130" s="861"/>
      <c r="W130" s="861"/>
      <c r="X130" s="861"/>
      <c r="Y130" s="861"/>
      <c r="Z130" s="861"/>
      <c r="AA130" s="861"/>
      <c r="AB130" s="861"/>
      <c r="AC130" s="861"/>
      <c r="AD130" s="861"/>
      <c r="AE130" s="861"/>
      <c r="AF130" s="861"/>
      <c r="AG130" s="861"/>
    </row>
    <row r="131" spans="1:33" ht="17.25" customHeight="1">
      <c r="A131" s="861"/>
      <c r="B131" s="861"/>
      <c r="C131" s="861"/>
      <c r="D131" s="861"/>
      <c r="E131" s="861"/>
      <c r="F131" s="861"/>
      <c r="G131" s="861"/>
      <c r="H131" s="861"/>
      <c r="I131" s="861"/>
      <c r="J131" s="861"/>
      <c r="K131" s="861"/>
      <c r="L131" s="861"/>
      <c r="M131" s="861"/>
      <c r="N131" s="861"/>
      <c r="O131" s="861"/>
      <c r="P131" s="861"/>
      <c r="Q131" s="861"/>
      <c r="R131" s="861"/>
      <c r="S131" s="861"/>
      <c r="T131" s="861"/>
      <c r="U131" s="861"/>
      <c r="V131" s="861"/>
      <c r="W131" s="861"/>
      <c r="X131" s="861"/>
      <c r="Y131" s="861"/>
      <c r="Z131" s="861"/>
      <c r="AA131" s="861"/>
      <c r="AB131" s="861"/>
      <c r="AC131" s="861"/>
      <c r="AD131" s="861"/>
      <c r="AE131" s="861"/>
      <c r="AF131" s="861"/>
      <c r="AG131" s="861"/>
    </row>
    <row r="132" spans="1:33" ht="17.25" customHeight="1">
      <c r="A132" s="861"/>
      <c r="B132" s="861"/>
      <c r="C132" s="861"/>
      <c r="D132" s="861"/>
      <c r="E132" s="861"/>
      <c r="F132" s="861"/>
      <c r="G132" s="861"/>
      <c r="H132" s="861"/>
      <c r="I132" s="861"/>
      <c r="J132" s="861"/>
      <c r="K132" s="861"/>
      <c r="L132" s="861"/>
      <c r="M132" s="861"/>
      <c r="N132" s="861"/>
      <c r="O132" s="861"/>
      <c r="P132" s="861"/>
      <c r="Q132" s="861"/>
      <c r="R132" s="861"/>
      <c r="S132" s="861"/>
      <c r="T132" s="861"/>
      <c r="U132" s="861"/>
      <c r="V132" s="861"/>
      <c r="W132" s="861"/>
      <c r="X132" s="861"/>
      <c r="Y132" s="861"/>
      <c r="Z132" s="861"/>
      <c r="AA132" s="861"/>
      <c r="AB132" s="861"/>
      <c r="AC132" s="861"/>
      <c r="AD132" s="861"/>
      <c r="AE132" s="861"/>
      <c r="AF132" s="861"/>
      <c r="AG132" s="861"/>
    </row>
    <row r="133" spans="1:33" ht="17.25" customHeight="1">
      <c r="A133" s="861"/>
      <c r="B133" s="861"/>
      <c r="C133" s="861"/>
      <c r="D133" s="861"/>
      <c r="E133" s="861"/>
      <c r="F133" s="861"/>
      <c r="G133" s="861"/>
      <c r="H133" s="861"/>
      <c r="I133" s="861"/>
      <c r="J133" s="861"/>
      <c r="K133" s="861"/>
      <c r="L133" s="861"/>
      <c r="M133" s="861"/>
      <c r="N133" s="861"/>
      <c r="O133" s="861"/>
      <c r="P133" s="861"/>
      <c r="Q133" s="861"/>
      <c r="R133" s="861"/>
      <c r="S133" s="861"/>
      <c r="T133" s="861"/>
      <c r="U133" s="861"/>
      <c r="V133" s="861"/>
      <c r="W133" s="861"/>
      <c r="X133" s="861"/>
      <c r="Y133" s="861"/>
      <c r="Z133" s="861"/>
      <c r="AA133" s="861"/>
      <c r="AB133" s="861"/>
      <c r="AC133" s="861"/>
      <c r="AD133" s="861"/>
      <c r="AE133" s="861"/>
      <c r="AF133" s="861"/>
      <c r="AG133" s="861"/>
    </row>
    <row r="134" spans="1:33" ht="17.25" customHeight="1">
      <c r="A134" s="861"/>
      <c r="B134" s="861"/>
      <c r="C134" s="861"/>
      <c r="D134" s="861"/>
      <c r="E134" s="861"/>
      <c r="F134" s="861"/>
      <c r="G134" s="861"/>
      <c r="H134" s="861"/>
      <c r="I134" s="861"/>
      <c r="J134" s="861"/>
      <c r="K134" s="861"/>
      <c r="L134" s="861"/>
      <c r="M134" s="861"/>
      <c r="N134" s="861"/>
      <c r="O134" s="861"/>
      <c r="P134" s="861"/>
      <c r="Q134" s="861"/>
      <c r="R134" s="861"/>
      <c r="S134" s="861"/>
      <c r="T134" s="861"/>
      <c r="U134" s="861"/>
      <c r="V134" s="861"/>
      <c r="W134" s="861"/>
      <c r="X134" s="861"/>
      <c r="Y134" s="861"/>
      <c r="Z134" s="861"/>
      <c r="AA134" s="861"/>
      <c r="AB134" s="861"/>
      <c r="AC134" s="861"/>
      <c r="AD134" s="861"/>
      <c r="AE134" s="861"/>
      <c r="AF134" s="861"/>
      <c r="AG134" s="861"/>
    </row>
    <row r="135" spans="1:33" ht="17.25" customHeight="1">
      <c r="A135" s="861"/>
      <c r="B135" s="861"/>
      <c r="C135" s="861"/>
      <c r="D135" s="861"/>
      <c r="E135" s="861"/>
      <c r="F135" s="861"/>
      <c r="G135" s="861"/>
      <c r="H135" s="861"/>
      <c r="I135" s="861"/>
      <c r="J135" s="861"/>
      <c r="K135" s="861"/>
      <c r="L135" s="861"/>
      <c r="M135" s="861"/>
      <c r="N135" s="861"/>
      <c r="O135" s="861"/>
      <c r="P135" s="861"/>
      <c r="Q135" s="861"/>
      <c r="R135" s="861"/>
      <c r="S135" s="861"/>
      <c r="T135" s="861"/>
      <c r="U135" s="861"/>
      <c r="V135" s="861"/>
      <c r="W135" s="861"/>
      <c r="X135" s="861"/>
      <c r="Y135" s="861"/>
      <c r="Z135" s="861"/>
      <c r="AA135" s="861"/>
      <c r="AB135" s="861"/>
      <c r="AC135" s="861"/>
      <c r="AD135" s="861"/>
      <c r="AE135" s="861"/>
      <c r="AF135" s="861"/>
      <c r="AG135" s="861"/>
    </row>
    <row r="136" spans="1:33" ht="17.25" customHeight="1">
      <c r="A136" s="861"/>
      <c r="B136" s="861"/>
      <c r="C136" s="861"/>
      <c r="D136" s="861"/>
      <c r="E136" s="861"/>
      <c r="F136" s="861"/>
      <c r="G136" s="861"/>
      <c r="H136" s="861"/>
      <c r="I136" s="861"/>
      <c r="J136" s="861"/>
      <c r="K136" s="861"/>
      <c r="L136" s="861"/>
      <c r="M136" s="861"/>
      <c r="N136" s="861"/>
      <c r="O136" s="861"/>
      <c r="P136" s="861"/>
      <c r="Q136" s="861"/>
      <c r="R136" s="861"/>
      <c r="S136" s="861"/>
      <c r="T136" s="861"/>
      <c r="U136" s="861"/>
      <c r="V136" s="861"/>
      <c r="W136" s="861"/>
      <c r="X136" s="861"/>
      <c r="Y136" s="861"/>
      <c r="Z136" s="861"/>
      <c r="AA136" s="861"/>
      <c r="AB136" s="861"/>
      <c r="AC136" s="861"/>
      <c r="AD136" s="861"/>
      <c r="AE136" s="861"/>
      <c r="AF136" s="861"/>
      <c r="AG136" s="861"/>
    </row>
    <row r="137" spans="1:33" ht="17.25" customHeight="1">
      <c r="A137" s="861"/>
      <c r="B137" s="861"/>
      <c r="C137" s="861"/>
      <c r="D137" s="861"/>
      <c r="E137" s="861"/>
      <c r="F137" s="861"/>
      <c r="G137" s="861"/>
      <c r="H137" s="861"/>
      <c r="I137" s="861"/>
      <c r="J137" s="861"/>
      <c r="K137" s="861"/>
      <c r="L137" s="861"/>
      <c r="M137" s="861"/>
      <c r="N137" s="861"/>
      <c r="O137" s="861"/>
      <c r="P137" s="861"/>
      <c r="Q137" s="861"/>
      <c r="R137" s="861"/>
      <c r="S137" s="861"/>
      <c r="T137" s="861"/>
      <c r="U137" s="861"/>
      <c r="V137" s="861"/>
      <c r="W137" s="861"/>
      <c r="X137" s="861"/>
      <c r="Y137" s="861"/>
      <c r="Z137" s="861"/>
      <c r="AA137" s="861"/>
      <c r="AB137" s="861"/>
      <c r="AC137" s="861"/>
      <c r="AD137" s="861"/>
      <c r="AE137" s="861"/>
      <c r="AF137" s="861"/>
      <c r="AG137" s="861"/>
    </row>
    <row r="138" spans="1:33" ht="17.25" customHeight="1">
      <c r="A138" s="861"/>
      <c r="B138" s="861"/>
      <c r="C138" s="861"/>
      <c r="D138" s="861"/>
      <c r="E138" s="861"/>
      <c r="F138" s="861"/>
      <c r="G138" s="861"/>
      <c r="H138" s="861"/>
      <c r="I138" s="861"/>
      <c r="J138" s="861"/>
      <c r="K138" s="861"/>
      <c r="L138" s="861"/>
      <c r="M138" s="861"/>
      <c r="N138" s="861"/>
      <c r="O138" s="861"/>
      <c r="P138" s="861"/>
      <c r="Q138" s="861"/>
      <c r="R138" s="861"/>
      <c r="S138" s="861"/>
      <c r="T138" s="861"/>
      <c r="U138" s="861"/>
      <c r="V138" s="861"/>
      <c r="W138" s="861"/>
      <c r="X138" s="861"/>
      <c r="Y138" s="861"/>
      <c r="Z138" s="861"/>
      <c r="AA138" s="861"/>
      <c r="AB138" s="861"/>
      <c r="AC138" s="861"/>
      <c r="AD138" s="861"/>
      <c r="AE138" s="861"/>
      <c r="AF138" s="861"/>
      <c r="AG138" s="861"/>
    </row>
    <row r="139" spans="1:33" ht="17.25" customHeight="1">
      <c r="A139" s="861"/>
      <c r="B139" s="861"/>
      <c r="C139" s="861"/>
      <c r="D139" s="861"/>
      <c r="E139" s="861"/>
      <c r="F139" s="861"/>
      <c r="G139" s="861"/>
      <c r="H139" s="861"/>
      <c r="I139" s="861"/>
      <c r="J139" s="861"/>
      <c r="K139" s="861"/>
      <c r="L139" s="861"/>
      <c r="M139" s="861"/>
      <c r="N139" s="861"/>
      <c r="O139" s="861"/>
      <c r="P139" s="861"/>
      <c r="Q139" s="861"/>
      <c r="R139" s="861"/>
      <c r="S139" s="861"/>
      <c r="T139" s="861"/>
      <c r="U139" s="861"/>
      <c r="V139" s="861"/>
      <c r="W139" s="861"/>
      <c r="X139" s="861"/>
      <c r="Y139" s="861"/>
      <c r="Z139" s="861"/>
      <c r="AA139" s="861"/>
      <c r="AB139" s="861"/>
      <c r="AC139" s="861"/>
      <c r="AD139" s="861"/>
      <c r="AE139" s="861"/>
      <c r="AF139" s="861"/>
      <c r="AG139" s="861"/>
    </row>
    <row r="140" spans="1:33" ht="17.25" customHeight="1">
      <c r="A140" s="861"/>
      <c r="B140" s="861"/>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row>
    <row r="141" spans="1:33" ht="17.25" customHeight="1">
      <c r="A141" s="861"/>
      <c r="B141" s="861"/>
      <c r="C141" s="861"/>
      <c r="D141" s="861"/>
      <c r="E141" s="861"/>
      <c r="F141" s="861"/>
      <c r="G141" s="861"/>
      <c r="H141" s="861"/>
      <c r="I141" s="861"/>
      <c r="J141" s="861"/>
      <c r="K141" s="861"/>
      <c r="L141" s="861"/>
      <c r="M141" s="861"/>
      <c r="N141" s="861"/>
      <c r="O141" s="861"/>
      <c r="P141" s="861"/>
      <c r="Q141" s="861"/>
      <c r="R141" s="861"/>
      <c r="S141" s="861"/>
      <c r="T141" s="861"/>
      <c r="U141" s="861"/>
      <c r="V141" s="861"/>
      <c r="W141" s="861"/>
      <c r="X141" s="861"/>
      <c r="Y141" s="861"/>
      <c r="Z141" s="861"/>
      <c r="AA141" s="861"/>
      <c r="AB141" s="861"/>
      <c r="AC141" s="861"/>
      <c r="AD141" s="861"/>
      <c r="AE141" s="861"/>
      <c r="AF141" s="861"/>
      <c r="AG141" s="861"/>
    </row>
    <row r="142" spans="1:33" ht="17.25" customHeight="1">
      <c r="A142" s="861"/>
      <c r="B142" s="861"/>
      <c r="C142" s="861"/>
      <c r="D142" s="861"/>
      <c r="E142" s="861"/>
      <c r="F142" s="861"/>
      <c r="G142" s="861"/>
      <c r="H142" s="861"/>
      <c r="I142" s="861"/>
      <c r="J142" s="861"/>
      <c r="K142" s="861"/>
      <c r="L142" s="861"/>
      <c r="M142" s="861"/>
      <c r="N142" s="861"/>
      <c r="O142" s="861"/>
      <c r="P142" s="861"/>
      <c r="Q142" s="861"/>
      <c r="R142" s="861"/>
      <c r="S142" s="861"/>
      <c r="T142" s="861"/>
      <c r="U142" s="861"/>
      <c r="V142" s="861"/>
      <c r="W142" s="861"/>
      <c r="X142" s="861"/>
      <c r="Y142" s="861"/>
      <c r="Z142" s="861"/>
      <c r="AA142" s="861"/>
      <c r="AB142" s="861"/>
      <c r="AC142" s="861"/>
      <c r="AD142" s="861"/>
      <c r="AE142" s="861"/>
      <c r="AF142" s="861"/>
      <c r="AG142" s="861"/>
    </row>
    <row r="143" spans="1:33" ht="17.25" customHeight="1">
      <c r="A143" s="861"/>
      <c r="B143" s="861"/>
      <c r="C143" s="861"/>
      <c r="D143" s="861"/>
      <c r="E143" s="861"/>
      <c r="F143" s="861"/>
      <c r="G143" s="861"/>
      <c r="H143" s="861"/>
      <c r="I143" s="861"/>
      <c r="J143" s="861"/>
      <c r="K143" s="861"/>
      <c r="L143" s="861"/>
      <c r="M143" s="861"/>
      <c r="N143" s="861"/>
      <c r="O143" s="861"/>
      <c r="P143" s="861"/>
      <c r="Q143" s="861"/>
      <c r="R143" s="861"/>
      <c r="S143" s="861"/>
      <c r="T143" s="861"/>
      <c r="U143" s="861"/>
      <c r="V143" s="861"/>
      <c r="W143" s="861"/>
      <c r="X143" s="861"/>
      <c r="Y143" s="861"/>
      <c r="Z143" s="861"/>
      <c r="AA143" s="861"/>
      <c r="AB143" s="861"/>
      <c r="AC143" s="861"/>
      <c r="AD143" s="861"/>
      <c r="AE143" s="861"/>
      <c r="AF143" s="861"/>
      <c r="AG143" s="861"/>
    </row>
    <row r="144" spans="1:33" ht="17.25" customHeight="1">
      <c r="A144" s="861"/>
      <c r="B144" s="861"/>
      <c r="C144" s="861"/>
      <c r="D144" s="861"/>
      <c r="E144" s="861"/>
      <c r="F144" s="861"/>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row>
    <row r="145" spans="1:33" ht="17.25" customHeight="1">
      <c r="A145" s="861"/>
      <c r="B145" s="861"/>
      <c r="C145" s="861"/>
      <c r="D145" s="861"/>
      <c r="E145" s="861"/>
      <c r="F145" s="861"/>
      <c r="G145" s="861"/>
      <c r="H145" s="861"/>
      <c r="I145" s="861"/>
      <c r="J145" s="861"/>
      <c r="K145" s="861"/>
      <c r="L145" s="861"/>
      <c r="M145" s="861"/>
      <c r="N145" s="861"/>
      <c r="O145" s="861"/>
      <c r="P145" s="861"/>
      <c r="Q145" s="861"/>
      <c r="R145" s="861"/>
      <c r="S145" s="861"/>
      <c r="T145" s="861"/>
      <c r="U145" s="861"/>
      <c r="V145" s="861"/>
      <c r="W145" s="861"/>
      <c r="X145" s="861"/>
      <c r="Y145" s="861"/>
      <c r="Z145" s="861"/>
      <c r="AA145" s="861"/>
      <c r="AB145" s="861"/>
      <c r="AC145" s="861"/>
      <c r="AD145" s="861"/>
      <c r="AE145" s="861"/>
      <c r="AF145" s="861"/>
      <c r="AG145" s="861"/>
    </row>
    <row r="146" spans="1:33" ht="17.25" customHeight="1">
      <c r="A146" s="861"/>
      <c r="B146" s="861"/>
      <c r="C146" s="861"/>
      <c r="D146" s="861"/>
      <c r="E146" s="861"/>
      <c r="F146" s="861"/>
      <c r="G146" s="861"/>
      <c r="H146" s="861"/>
      <c r="I146" s="861"/>
      <c r="J146" s="861"/>
      <c r="K146" s="861"/>
      <c r="L146" s="861"/>
      <c r="M146" s="861"/>
      <c r="N146" s="861"/>
      <c r="O146" s="861"/>
      <c r="P146" s="861"/>
      <c r="Q146" s="861"/>
      <c r="R146" s="861"/>
      <c r="S146" s="861"/>
      <c r="T146" s="861"/>
      <c r="U146" s="861"/>
      <c r="V146" s="861"/>
      <c r="W146" s="861"/>
      <c r="X146" s="861"/>
      <c r="Y146" s="861"/>
      <c r="Z146" s="861"/>
      <c r="AA146" s="861"/>
      <c r="AB146" s="861"/>
      <c r="AC146" s="861"/>
      <c r="AD146" s="861"/>
      <c r="AE146" s="861"/>
      <c r="AF146" s="861"/>
      <c r="AG146" s="861"/>
    </row>
    <row r="147" spans="1:33" ht="17.25" customHeight="1">
      <c r="A147" s="861"/>
      <c r="B147" s="861"/>
      <c r="C147" s="861"/>
      <c r="D147" s="861"/>
      <c r="E147" s="861"/>
      <c r="F147" s="861"/>
      <c r="G147" s="861"/>
      <c r="H147" s="861"/>
      <c r="I147" s="861"/>
      <c r="J147" s="861"/>
      <c r="K147" s="861"/>
      <c r="L147" s="861"/>
      <c r="M147" s="861"/>
      <c r="N147" s="861"/>
      <c r="O147" s="861"/>
      <c r="P147" s="861"/>
      <c r="Q147" s="861"/>
      <c r="R147" s="861"/>
      <c r="S147" s="861"/>
      <c r="T147" s="861"/>
      <c r="U147" s="861"/>
      <c r="V147" s="861"/>
      <c r="W147" s="861"/>
      <c r="X147" s="861"/>
      <c r="Y147" s="861"/>
      <c r="Z147" s="861"/>
      <c r="AA147" s="861"/>
      <c r="AB147" s="861"/>
      <c r="AC147" s="861"/>
      <c r="AD147" s="861"/>
      <c r="AE147" s="861"/>
      <c r="AF147" s="861"/>
      <c r="AG147" s="861"/>
    </row>
    <row r="148" spans="1:33" ht="17.25" customHeight="1">
      <c r="A148" s="861"/>
      <c r="B148" s="861"/>
      <c r="C148" s="861"/>
      <c r="D148" s="861"/>
      <c r="E148" s="861"/>
      <c r="F148" s="861"/>
      <c r="G148" s="861"/>
      <c r="H148" s="861"/>
      <c r="I148" s="861"/>
      <c r="J148" s="861"/>
      <c r="K148" s="861"/>
      <c r="L148" s="861"/>
      <c r="M148" s="861"/>
      <c r="N148" s="861"/>
      <c r="O148" s="861"/>
      <c r="P148" s="861"/>
      <c r="Q148" s="861"/>
      <c r="R148" s="861"/>
      <c r="S148" s="861"/>
      <c r="T148" s="861"/>
      <c r="U148" s="861"/>
      <c r="V148" s="861"/>
      <c r="W148" s="861"/>
      <c r="X148" s="861"/>
      <c r="Y148" s="861"/>
      <c r="Z148" s="861"/>
      <c r="AA148" s="861"/>
      <c r="AB148" s="861"/>
      <c r="AC148" s="861"/>
      <c r="AD148" s="861"/>
      <c r="AE148" s="861"/>
      <c r="AF148" s="861"/>
      <c r="AG148" s="861"/>
    </row>
    <row r="149" spans="1:33" ht="17.25" customHeight="1">
      <c r="A149" s="861"/>
      <c r="B149" s="861"/>
      <c r="C149" s="861"/>
      <c r="D149" s="861"/>
      <c r="E149" s="861"/>
      <c r="F149" s="861"/>
      <c r="G149" s="861"/>
      <c r="H149" s="861"/>
      <c r="I149" s="861"/>
      <c r="J149" s="861"/>
      <c r="K149" s="861"/>
      <c r="L149" s="861"/>
      <c r="M149" s="861"/>
      <c r="N149" s="861"/>
      <c r="O149" s="861"/>
      <c r="P149" s="861"/>
      <c r="Q149" s="861"/>
      <c r="R149" s="861"/>
      <c r="S149" s="861"/>
      <c r="T149" s="861"/>
      <c r="U149" s="861"/>
      <c r="V149" s="861"/>
      <c r="W149" s="861"/>
      <c r="X149" s="861"/>
      <c r="Y149" s="861"/>
      <c r="Z149" s="861"/>
      <c r="AA149" s="861"/>
      <c r="AB149" s="861"/>
      <c r="AC149" s="861"/>
      <c r="AD149" s="861"/>
      <c r="AE149" s="861"/>
      <c r="AF149" s="861"/>
      <c r="AG149" s="861"/>
    </row>
    <row r="150" spans="1:33" ht="17.25" customHeight="1">
      <c r="A150" s="861"/>
      <c r="B150" s="861"/>
      <c r="C150" s="861"/>
      <c r="D150" s="861"/>
      <c r="E150" s="861"/>
      <c r="F150" s="861"/>
      <c r="G150" s="861"/>
      <c r="H150" s="861"/>
      <c r="I150" s="861"/>
      <c r="J150" s="861"/>
      <c r="K150" s="861"/>
      <c r="L150" s="861"/>
      <c r="M150" s="861"/>
      <c r="N150" s="861"/>
      <c r="O150" s="861"/>
      <c r="P150" s="861"/>
      <c r="Q150" s="861"/>
      <c r="R150" s="861"/>
      <c r="S150" s="861"/>
      <c r="T150" s="861"/>
      <c r="U150" s="861"/>
      <c r="V150" s="861"/>
      <c r="W150" s="861"/>
      <c r="X150" s="861"/>
      <c r="Y150" s="861"/>
      <c r="Z150" s="861"/>
      <c r="AA150" s="861"/>
      <c r="AB150" s="861"/>
      <c r="AC150" s="861"/>
      <c r="AD150" s="861"/>
      <c r="AE150" s="861"/>
      <c r="AF150" s="861"/>
      <c r="AG150" s="861"/>
    </row>
    <row r="151" spans="1:33" ht="17.25" customHeight="1">
      <c r="A151" s="861"/>
      <c r="B151" s="861"/>
      <c r="C151" s="861"/>
      <c r="D151" s="861"/>
      <c r="E151" s="861"/>
      <c r="F151" s="861"/>
      <c r="G151" s="861"/>
      <c r="H151" s="861"/>
      <c r="I151" s="861"/>
      <c r="J151" s="861"/>
      <c r="K151" s="861"/>
      <c r="L151" s="861"/>
      <c r="M151" s="861"/>
      <c r="N151" s="861"/>
      <c r="O151" s="861"/>
      <c r="P151" s="861"/>
      <c r="Q151" s="861"/>
      <c r="R151" s="861"/>
      <c r="S151" s="861"/>
      <c r="T151" s="861"/>
      <c r="U151" s="861"/>
      <c r="V151" s="861"/>
      <c r="W151" s="861"/>
      <c r="X151" s="861"/>
      <c r="Y151" s="861"/>
      <c r="Z151" s="861"/>
      <c r="AA151" s="861"/>
      <c r="AB151" s="861"/>
      <c r="AC151" s="861"/>
      <c r="AD151" s="861"/>
      <c r="AE151" s="861"/>
      <c r="AF151" s="861"/>
      <c r="AG151" s="861"/>
    </row>
    <row r="152" spans="1:33" ht="17.25" customHeight="1">
      <c r="A152" s="861"/>
      <c r="B152" s="861"/>
      <c r="C152" s="861"/>
      <c r="D152" s="861"/>
      <c r="E152" s="861"/>
      <c r="F152" s="861"/>
      <c r="G152" s="861"/>
      <c r="H152" s="861"/>
      <c r="I152" s="861"/>
      <c r="J152" s="861"/>
      <c r="K152" s="861"/>
      <c r="L152" s="861"/>
      <c r="M152" s="861"/>
      <c r="N152" s="861"/>
      <c r="O152" s="861"/>
      <c r="P152" s="861"/>
      <c r="Q152" s="861"/>
      <c r="R152" s="861"/>
      <c r="S152" s="861"/>
      <c r="T152" s="861"/>
      <c r="U152" s="861"/>
      <c r="V152" s="861"/>
      <c r="W152" s="861"/>
      <c r="X152" s="861"/>
      <c r="Y152" s="861"/>
      <c r="Z152" s="861"/>
      <c r="AA152" s="861"/>
      <c r="AB152" s="861"/>
      <c r="AC152" s="861"/>
      <c r="AD152" s="861"/>
      <c r="AE152" s="861"/>
      <c r="AF152" s="861"/>
      <c r="AG152" s="861"/>
    </row>
    <row r="153" spans="1:33" ht="17.25" customHeight="1">
      <c r="A153" s="861"/>
      <c r="B153" s="861"/>
      <c r="C153" s="861"/>
      <c r="D153" s="861"/>
      <c r="E153" s="861"/>
      <c r="F153" s="861"/>
      <c r="G153" s="861"/>
      <c r="H153" s="861"/>
      <c r="I153" s="861"/>
      <c r="J153" s="861"/>
      <c r="K153" s="861"/>
      <c r="L153" s="861"/>
      <c r="M153" s="861"/>
      <c r="N153" s="861"/>
      <c r="O153" s="861"/>
      <c r="P153" s="861"/>
      <c r="Q153" s="861"/>
      <c r="R153" s="861"/>
      <c r="S153" s="861"/>
      <c r="T153" s="861"/>
      <c r="U153" s="861"/>
      <c r="V153" s="861"/>
      <c r="W153" s="861"/>
      <c r="X153" s="861"/>
      <c r="Y153" s="861"/>
      <c r="Z153" s="861"/>
      <c r="AA153" s="861"/>
      <c r="AB153" s="861"/>
      <c r="AC153" s="861"/>
      <c r="AD153" s="861"/>
      <c r="AE153" s="861"/>
      <c r="AF153" s="861"/>
      <c r="AG153" s="861"/>
    </row>
    <row r="154" spans="1:33" ht="17.25" customHeight="1">
      <c r="A154" s="861"/>
      <c r="B154" s="861"/>
      <c r="C154" s="861"/>
      <c r="D154" s="861"/>
      <c r="E154" s="861"/>
      <c r="F154" s="861"/>
      <c r="G154" s="861"/>
      <c r="H154" s="861"/>
      <c r="I154" s="861"/>
      <c r="J154" s="861"/>
      <c r="K154" s="861"/>
      <c r="L154" s="861"/>
      <c r="M154" s="861"/>
      <c r="N154" s="861"/>
      <c r="O154" s="861"/>
      <c r="P154" s="861"/>
      <c r="Q154" s="861"/>
      <c r="R154" s="861"/>
      <c r="S154" s="861"/>
      <c r="T154" s="861"/>
      <c r="U154" s="861"/>
      <c r="V154" s="861"/>
      <c r="W154" s="861"/>
      <c r="X154" s="861"/>
      <c r="Y154" s="861"/>
      <c r="Z154" s="861"/>
      <c r="AA154" s="861"/>
      <c r="AB154" s="861"/>
      <c r="AC154" s="861"/>
      <c r="AD154" s="861"/>
      <c r="AE154" s="861"/>
      <c r="AF154" s="861"/>
      <c r="AG154" s="861"/>
    </row>
    <row r="155" spans="1:33" ht="17.25" customHeight="1">
      <c r="A155" s="861"/>
      <c r="B155" s="861"/>
      <c r="C155" s="861"/>
      <c r="D155" s="861"/>
      <c r="E155" s="861"/>
      <c r="F155" s="861"/>
      <c r="G155" s="861"/>
      <c r="H155" s="861"/>
      <c r="I155" s="861"/>
      <c r="J155" s="861"/>
      <c r="K155" s="861"/>
      <c r="L155" s="861"/>
      <c r="M155" s="861"/>
      <c r="N155" s="861"/>
      <c r="O155" s="861"/>
      <c r="P155" s="861"/>
      <c r="Q155" s="861"/>
      <c r="R155" s="861"/>
      <c r="S155" s="861"/>
      <c r="T155" s="861"/>
      <c r="U155" s="861"/>
      <c r="V155" s="861"/>
      <c r="W155" s="861"/>
      <c r="X155" s="861"/>
      <c r="Y155" s="861"/>
      <c r="Z155" s="861"/>
      <c r="AA155" s="861"/>
      <c r="AB155" s="861"/>
      <c r="AC155" s="861"/>
      <c r="AD155" s="861"/>
      <c r="AE155" s="861"/>
      <c r="AF155" s="861"/>
      <c r="AG155" s="861"/>
    </row>
    <row r="156" spans="1:33" ht="17.25" customHeight="1">
      <c r="A156" s="861"/>
      <c r="B156" s="861"/>
      <c r="C156" s="861"/>
      <c r="D156" s="861"/>
      <c r="E156" s="861"/>
      <c r="F156" s="861"/>
      <c r="G156" s="861"/>
      <c r="H156" s="861"/>
      <c r="I156" s="861"/>
      <c r="J156" s="861"/>
      <c r="K156" s="861"/>
      <c r="L156" s="861"/>
      <c r="M156" s="861"/>
      <c r="N156" s="861"/>
      <c r="O156" s="861"/>
      <c r="P156" s="861"/>
      <c r="Q156" s="861"/>
      <c r="R156" s="861"/>
      <c r="S156" s="861"/>
      <c r="T156" s="861"/>
      <c r="U156" s="861"/>
      <c r="V156" s="861"/>
      <c r="W156" s="861"/>
      <c r="X156" s="861"/>
      <c r="Y156" s="861"/>
      <c r="Z156" s="861"/>
      <c r="AA156" s="861"/>
      <c r="AB156" s="861"/>
      <c r="AC156" s="861"/>
      <c r="AD156" s="861"/>
      <c r="AE156" s="861"/>
      <c r="AF156" s="861"/>
      <c r="AG156" s="861"/>
    </row>
    <row r="157" spans="1:33" ht="17.25" customHeight="1">
      <c r="A157" s="861"/>
      <c r="B157" s="861"/>
      <c r="C157" s="861"/>
      <c r="D157" s="861"/>
      <c r="E157" s="861"/>
      <c r="F157" s="861"/>
      <c r="G157" s="861"/>
      <c r="H157" s="861"/>
      <c r="I157" s="861"/>
      <c r="J157" s="861"/>
      <c r="K157" s="861"/>
      <c r="L157" s="861"/>
      <c r="M157" s="861"/>
      <c r="N157" s="861"/>
      <c r="O157" s="861"/>
      <c r="P157" s="861"/>
      <c r="Q157" s="861"/>
      <c r="R157" s="861"/>
      <c r="S157" s="861"/>
      <c r="T157" s="861"/>
      <c r="U157" s="861"/>
      <c r="V157" s="861"/>
      <c r="W157" s="861"/>
      <c r="X157" s="861"/>
      <c r="Y157" s="861"/>
      <c r="Z157" s="861"/>
      <c r="AA157" s="861"/>
      <c r="AB157" s="861"/>
      <c r="AC157" s="861"/>
      <c r="AD157" s="861"/>
      <c r="AE157" s="861"/>
      <c r="AF157" s="861"/>
      <c r="AG157" s="861"/>
    </row>
    <row r="158" spans="1:33" ht="17.25" customHeight="1">
      <c r="A158" s="861"/>
      <c r="B158" s="861"/>
      <c r="C158" s="861"/>
      <c r="D158" s="861"/>
      <c r="E158" s="861"/>
      <c r="F158" s="861"/>
      <c r="G158" s="861"/>
      <c r="H158" s="861"/>
      <c r="I158" s="861"/>
      <c r="J158" s="861"/>
      <c r="K158" s="861"/>
      <c r="L158" s="861"/>
      <c r="M158" s="861"/>
      <c r="N158" s="861"/>
      <c r="O158" s="861"/>
      <c r="P158" s="861"/>
      <c r="Q158" s="861"/>
      <c r="R158" s="861"/>
      <c r="S158" s="861"/>
      <c r="T158" s="861"/>
      <c r="U158" s="861"/>
      <c r="V158" s="861"/>
      <c r="W158" s="861"/>
      <c r="X158" s="861"/>
      <c r="Y158" s="861"/>
      <c r="Z158" s="861"/>
      <c r="AA158" s="861"/>
      <c r="AB158" s="861"/>
      <c r="AC158" s="861"/>
      <c r="AD158" s="861"/>
      <c r="AE158" s="861"/>
      <c r="AF158" s="861"/>
      <c r="AG158" s="861"/>
    </row>
    <row r="159" spans="1:33" ht="17.25" customHeight="1">
      <c r="A159" s="861"/>
      <c r="B159" s="861"/>
      <c r="C159" s="861"/>
      <c r="D159" s="861"/>
      <c r="E159" s="861"/>
      <c r="F159" s="861"/>
      <c r="G159" s="861"/>
      <c r="H159" s="861"/>
      <c r="I159" s="861"/>
      <c r="J159" s="861"/>
      <c r="K159" s="861"/>
      <c r="L159" s="861"/>
      <c r="M159" s="861"/>
      <c r="N159" s="861"/>
      <c r="O159" s="861"/>
      <c r="P159" s="861"/>
      <c r="Q159" s="861"/>
      <c r="R159" s="861"/>
      <c r="S159" s="861"/>
      <c r="T159" s="861"/>
      <c r="U159" s="861"/>
      <c r="V159" s="861"/>
      <c r="W159" s="861"/>
      <c r="X159" s="861"/>
      <c r="Y159" s="861"/>
      <c r="Z159" s="861"/>
      <c r="AA159" s="861"/>
      <c r="AB159" s="861"/>
      <c r="AC159" s="861"/>
      <c r="AD159" s="861"/>
      <c r="AE159" s="861"/>
      <c r="AF159" s="861"/>
      <c r="AG159" s="861"/>
    </row>
    <row r="160" spans="1:33" ht="17.25" customHeight="1">
      <c r="A160" s="861"/>
      <c r="B160" s="861"/>
      <c r="C160" s="861"/>
      <c r="D160" s="861"/>
      <c r="E160" s="861"/>
      <c r="F160" s="861"/>
      <c r="G160" s="861"/>
      <c r="H160" s="861"/>
      <c r="I160" s="861"/>
      <c r="J160" s="861"/>
      <c r="K160" s="861"/>
      <c r="L160" s="861"/>
      <c r="M160" s="861"/>
      <c r="N160" s="861"/>
      <c r="O160" s="861"/>
      <c r="P160" s="861"/>
      <c r="Q160" s="861"/>
      <c r="R160" s="861"/>
      <c r="S160" s="861"/>
      <c r="T160" s="861"/>
      <c r="U160" s="861"/>
      <c r="V160" s="861"/>
      <c r="W160" s="861"/>
      <c r="X160" s="861"/>
      <c r="Y160" s="861"/>
      <c r="Z160" s="861"/>
      <c r="AA160" s="861"/>
      <c r="AB160" s="861"/>
      <c r="AC160" s="861"/>
      <c r="AD160" s="861"/>
      <c r="AE160" s="861"/>
      <c r="AF160" s="861"/>
      <c r="AG160" s="861"/>
    </row>
    <row r="161" spans="1:33" ht="17.25" customHeight="1">
      <c r="A161" s="861"/>
      <c r="B161" s="861"/>
      <c r="C161" s="861"/>
      <c r="D161" s="861"/>
      <c r="E161" s="861"/>
      <c r="F161" s="861"/>
      <c r="G161" s="861"/>
      <c r="H161" s="861"/>
      <c r="I161" s="861"/>
      <c r="J161" s="861"/>
      <c r="K161" s="861"/>
      <c r="L161" s="861"/>
      <c r="M161" s="861"/>
      <c r="N161" s="861"/>
      <c r="O161" s="861"/>
      <c r="P161" s="861"/>
      <c r="Q161" s="861"/>
      <c r="R161" s="861"/>
      <c r="S161" s="861"/>
      <c r="T161" s="861"/>
      <c r="U161" s="861"/>
      <c r="V161" s="861"/>
      <c r="W161" s="861"/>
      <c r="X161" s="861"/>
      <c r="Y161" s="861"/>
      <c r="Z161" s="861"/>
      <c r="AA161" s="861"/>
      <c r="AB161" s="861"/>
      <c r="AC161" s="861"/>
      <c r="AD161" s="861"/>
      <c r="AE161" s="861"/>
      <c r="AF161" s="861"/>
      <c r="AG161" s="861"/>
    </row>
    <row r="162" spans="1:33" ht="17.25" customHeight="1">
      <c r="A162" s="861"/>
      <c r="B162" s="861"/>
      <c r="C162" s="861"/>
      <c r="D162" s="861"/>
      <c r="E162" s="861"/>
      <c r="F162" s="861"/>
      <c r="G162" s="861"/>
      <c r="H162" s="861"/>
      <c r="I162" s="861"/>
      <c r="J162" s="861"/>
      <c r="K162" s="861"/>
      <c r="L162" s="861"/>
      <c r="M162" s="861"/>
      <c r="N162" s="861"/>
      <c r="O162" s="861"/>
      <c r="P162" s="861"/>
      <c r="Q162" s="861"/>
      <c r="R162" s="861"/>
      <c r="S162" s="861"/>
      <c r="T162" s="861"/>
      <c r="U162" s="861"/>
      <c r="V162" s="861"/>
      <c r="W162" s="861"/>
      <c r="X162" s="861"/>
      <c r="Y162" s="861"/>
      <c r="Z162" s="861"/>
      <c r="AA162" s="861"/>
      <c r="AB162" s="861"/>
      <c r="AC162" s="861"/>
      <c r="AD162" s="861"/>
      <c r="AE162" s="861"/>
      <c r="AF162" s="861"/>
      <c r="AG162" s="861"/>
    </row>
    <row r="163" spans="1:33" ht="17.25" customHeight="1">
      <c r="A163" s="861"/>
      <c r="B163" s="861"/>
      <c r="C163" s="861"/>
      <c r="D163" s="861"/>
      <c r="E163" s="861"/>
      <c r="F163" s="861"/>
      <c r="G163" s="861"/>
      <c r="H163" s="861"/>
      <c r="I163" s="861"/>
      <c r="J163" s="861"/>
      <c r="K163" s="861"/>
      <c r="L163" s="861"/>
      <c r="M163" s="861"/>
      <c r="N163" s="861"/>
      <c r="O163" s="861"/>
      <c r="P163" s="861"/>
      <c r="Q163" s="861"/>
      <c r="R163" s="861"/>
      <c r="S163" s="861"/>
      <c r="T163" s="861"/>
      <c r="U163" s="861"/>
      <c r="V163" s="861"/>
      <c r="W163" s="861"/>
      <c r="X163" s="861"/>
      <c r="Y163" s="861"/>
      <c r="Z163" s="861"/>
      <c r="AA163" s="861"/>
      <c r="AB163" s="861"/>
      <c r="AC163" s="861"/>
      <c r="AD163" s="861"/>
      <c r="AE163" s="861"/>
      <c r="AF163" s="861"/>
      <c r="AG163" s="861"/>
    </row>
    <row r="164" spans="1:33" ht="17.25" customHeight="1">
      <c r="A164" s="861"/>
      <c r="B164" s="861"/>
      <c r="C164" s="861"/>
      <c r="D164" s="861"/>
      <c r="E164" s="861"/>
      <c r="F164" s="861"/>
      <c r="G164" s="861"/>
      <c r="H164" s="861"/>
      <c r="I164" s="861"/>
      <c r="J164" s="861"/>
      <c r="K164" s="861"/>
      <c r="L164" s="861"/>
      <c r="M164" s="861"/>
      <c r="N164" s="861"/>
      <c r="O164" s="861"/>
      <c r="P164" s="861"/>
      <c r="Q164" s="861"/>
      <c r="R164" s="861"/>
      <c r="S164" s="861"/>
      <c r="T164" s="861"/>
      <c r="U164" s="861"/>
      <c r="V164" s="861"/>
      <c r="W164" s="861"/>
      <c r="X164" s="861"/>
      <c r="Y164" s="861"/>
      <c r="Z164" s="861"/>
      <c r="AA164" s="861"/>
      <c r="AB164" s="861"/>
      <c r="AC164" s="861"/>
      <c r="AD164" s="861"/>
      <c r="AE164" s="861"/>
      <c r="AF164" s="861"/>
      <c r="AG164" s="861"/>
    </row>
    <row r="165" spans="1:33" ht="17.25" customHeight="1">
      <c r="A165" s="861"/>
      <c r="B165" s="861"/>
      <c r="C165" s="861"/>
      <c r="D165" s="861"/>
      <c r="E165" s="861"/>
      <c r="F165" s="861"/>
      <c r="G165" s="861"/>
      <c r="H165" s="861"/>
      <c r="I165" s="861"/>
      <c r="J165" s="861"/>
      <c r="K165" s="861"/>
      <c r="L165" s="861"/>
      <c r="M165" s="861"/>
      <c r="N165" s="861"/>
      <c r="O165" s="861"/>
      <c r="P165" s="861"/>
      <c r="Q165" s="861"/>
      <c r="R165" s="861"/>
      <c r="S165" s="861"/>
      <c r="T165" s="861"/>
      <c r="U165" s="861"/>
      <c r="V165" s="861"/>
      <c r="W165" s="861"/>
      <c r="X165" s="861"/>
      <c r="Y165" s="861"/>
      <c r="Z165" s="861"/>
      <c r="AA165" s="861"/>
      <c r="AB165" s="861"/>
      <c r="AC165" s="861"/>
      <c r="AD165" s="861"/>
      <c r="AE165" s="861"/>
      <c r="AF165" s="861"/>
      <c r="AG165" s="861"/>
    </row>
    <row r="166" spans="1:33" ht="17.25" customHeight="1">
      <c r="A166" s="861"/>
      <c r="B166" s="861"/>
      <c r="C166" s="861"/>
      <c r="D166" s="861"/>
      <c r="E166" s="861"/>
      <c r="F166" s="861"/>
      <c r="G166" s="861"/>
      <c r="H166" s="861"/>
      <c r="I166" s="861"/>
      <c r="J166" s="861"/>
      <c r="K166" s="861"/>
      <c r="L166" s="861"/>
      <c r="M166" s="861"/>
      <c r="N166" s="861"/>
      <c r="O166" s="861"/>
      <c r="P166" s="861"/>
      <c r="Q166" s="861"/>
      <c r="R166" s="861"/>
      <c r="S166" s="861"/>
      <c r="T166" s="861"/>
      <c r="U166" s="861"/>
      <c r="V166" s="861"/>
      <c r="W166" s="861"/>
      <c r="X166" s="861"/>
      <c r="Y166" s="861"/>
      <c r="Z166" s="861"/>
      <c r="AA166" s="861"/>
      <c r="AB166" s="861"/>
      <c r="AC166" s="861"/>
      <c r="AD166" s="861"/>
      <c r="AE166" s="861"/>
      <c r="AF166" s="861"/>
      <c r="AG166" s="861"/>
    </row>
    <row r="167" spans="1:33" ht="17.25" customHeight="1">
      <c r="A167" s="861"/>
      <c r="B167" s="861"/>
      <c r="C167" s="861"/>
      <c r="D167" s="861"/>
      <c r="E167" s="861"/>
      <c r="F167" s="861"/>
      <c r="G167" s="861"/>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row>
    <row r="168" spans="1:33" ht="17.25" customHeight="1">
      <c r="A168" s="861"/>
      <c r="B168" s="861"/>
      <c r="C168" s="861"/>
      <c r="D168" s="861"/>
      <c r="E168" s="861"/>
      <c r="F168" s="861"/>
      <c r="G168" s="861"/>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row>
    <row r="169" spans="1:33" ht="17.25" customHeight="1">
      <c r="A169" s="861"/>
      <c r="B169" s="861"/>
      <c r="C169" s="861"/>
      <c r="D169" s="861"/>
      <c r="E169" s="861"/>
      <c r="F169" s="861"/>
      <c r="G169" s="861"/>
      <c r="H169" s="861"/>
      <c r="I169" s="861"/>
      <c r="J169" s="861"/>
      <c r="K169" s="861"/>
      <c r="L169" s="861"/>
      <c r="M169" s="861"/>
      <c r="N169" s="861"/>
      <c r="O169" s="861"/>
      <c r="P169" s="861"/>
      <c r="Q169" s="861"/>
      <c r="R169" s="861"/>
      <c r="S169" s="861"/>
      <c r="T169" s="861"/>
      <c r="U169" s="861"/>
      <c r="V169" s="861"/>
      <c r="W169" s="861"/>
      <c r="X169" s="861"/>
      <c r="Y169" s="861"/>
      <c r="Z169" s="861"/>
      <c r="AA169" s="861"/>
      <c r="AB169" s="861"/>
      <c r="AC169" s="861"/>
      <c r="AD169" s="861"/>
      <c r="AE169" s="861"/>
      <c r="AF169" s="861"/>
      <c r="AG169" s="861"/>
    </row>
    <row r="170" spans="1:33" ht="17.25" customHeight="1">
      <c r="A170" s="861"/>
      <c r="B170" s="861"/>
      <c r="C170" s="861"/>
      <c r="D170" s="861"/>
      <c r="E170" s="861"/>
      <c r="F170" s="861"/>
      <c r="G170" s="861"/>
      <c r="H170" s="861"/>
      <c r="I170" s="861"/>
      <c r="J170" s="861"/>
      <c r="K170" s="861"/>
      <c r="L170" s="861"/>
      <c r="M170" s="861"/>
      <c r="N170" s="861"/>
      <c r="O170" s="861"/>
      <c r="P170" s="861"/>
      <c r="Q170" s="861"/>
      <c r="R170" s="861"/>
      <c r="S170" s="861"/>
      <c r="T170" s="861"/>
      <c r="U170" s="861"/>
      <c r="V170" s="861"/>
      <c r="W170" s="861"/>
      <c r="X170" s="861"/>
      <c r="Y170" s="861"/>
      <c r="Z170" s="861"/>
      <c r="AA170" s="861"/>
      <c r="AB170" s="861"/>
      <c r="AC170" s="861"/>
      <c r="AD170" s="861"/>
      <c r="AE170" s="861"/>
      <c r="AF170" s="861"/>
      <c r="AG170" s="861"/>
    </row>
    <row r="171" spans="1:33" ht="17.25" customHeight="1">
      <c r="A171" s="861"/>
      <c r="B171" s="861"/>
      <c r="C171" s="861"/>
      <c r="D171" s="861"/>
      <c r="E171" s="861"/>
      <c r="F171" s="861"/>
      <c r="G171" s="861"/>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row>
    <row r="172" spans="1:33" ht="17.25" customHeight="1">
      <c r="A172" s="861"/>
      <c r="B172" s="861"/>
      <c r="C172" s="861"/>
      <c r="D172" s="861"/>
      <c r="E172" s="861"/>
      <c r="F172" s="861"/>
      <c r="G172" s="861"/>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row>
    <row r="173" spans="1:33" ht="17.25" customHeight="1">
      <c r="A173" s="861"/>
      <c r="B173" s="861"/>
      <c r="C173" s="861"/>
      <c r="D173" s="861"/>
      <c r="E173" s="861"/>
      <c r="F173" s="861"/>
      <c r="G173" s="861"/>
      <c r="H173" s="861"/>
      <c r="I173" s="861"/>
      <c r="J173" s="861"/>
      <c r="K173" s="861"/>
      <c r="L173" s="861"/>
      <c r="M173" s="861"/>
      <c r="N173" s="861"/>
      <c r="O173" s="861"/>
      <c r="P173" s="861"/>
      <c r="Q173" s="861"/>
      <c r="R173" s="861"/>
      <c r="S173" s="861"/>
      <c r="T173" s="861"/>
      <c r="U173" s="861"/>
      <c r="V173" s="861"/>
      <c r="W173" s="861"/>
      <c r="X173" s="861"/>
      <c r="Y173" s="861"/>
      <c r="Z173" s="861"/>
      <c r="AA173" s="861"/>
      <c r="AB173" s="861"/>
      <c r="AC173" s="861"/>
      <c r="AD173" s="861"/>
      <c r="AE173" s="861"/>
      <c r="AF173" s="861"/>
      <c r="AG173" s="861"/>
    </row>
    <row r="174" spans="1:33" ht="17.25" customHeight="1">
      <c r="A174" s="861"/>
      <c r="B174" s="861"/>
      <c r="C174" s="861"/>
      <c r="D174" s="861"/>
      <c r="E174" s="861"/>
      <c r="F174" s="861"/>
      <c r="G174" s="861"/>
      <c r="H174" s="861"/>
      <c r="I174" s="861"/>
      <c r="J174" s="861"/>
      <c r="K174" s="861"/>
      <c r="L174" s="861"/>
      <c r="M174" s="861"/>
      <c r="N174" s="861"/>
      <c r="O174" s="861"/>
      <c r="P174" s="861"/>
      <c r="Q174" s="861"/>
      <c r="R174" s="861"/>
      <c r="S174" s="861"/>
      <c r="T174" s="861"/>
      <c r="U174" s="861"/>
      <c r="V174" s="861"/>
      <c r="W174" s="861"/>
      <c r="X174" s="861"/>
      <c r="Y174" s="861"/>
      <c r="Z174" s="861"/>
      <c r="AA174" s="861"/>
      <c r="AB174" s="861"/>
      <c r="AC174" s="861"/>
      <c r="AD174" s="861"/>
      <c r="AE174" s="861"/>
      <c r="AF174" s="861"/>
      <c r="AG174" s="861"/>
    </row>
    <row r="175" spans="1:33" ht="17.25" customHeight="1">
      <c r="A175" s="861"/>
      <c r="B175" s="861"/>
      <c r="C175" s="861"/>
      <c r="D175" s="861"/>
      <c r="E175" s="861"/>
      <c r="F175" s="861"/>
      <c r="G175" s="861"/>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row>
    <row r="176" spans="1:33" ht="17.25" customHeight="1">
      <c r="A176" s="861"/>
      <c r="B176" s="861"/>
      <c r="C176" s="861"/>
      <c r="D176" s="861"/>
      <c r="E176" s="861"/>
      <c r="F176" s="861"/>
      <c r="G176" s="861"/>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row>
    <row r="177" spans="1:33" ht="17.25" customHeight="1">
      <c r="A177" s="861"/>
      <c r="B177" s="861"/>
      <c r="C177" s="861"/>
      <c r="D177" s="861"/>
      <c r="E177" s="861"/>
      <c r="F177" s="861"/>
      <c r="G177" s="861"/>
      <c r="H177" s="861"/>
      <c r="I177" s="861"/>
      <c r="J177" s="861"/>
      <c r="K177" s="861"/>
      <c r="L177" s="861"/>
      <c r="M177" s="861"/>
      <c r="N177" s="861"/>
      <c r="O177" s="861"/>
      <c r="P177" s="861"/>
      <c r="Q177" s="861"/>
      <c r="R177" s="861"/>
      <c r="S177" s="861"/>
      <c r="T177" s="861"/>
      <c r="U177" s="861"/>
      <c r="V177" s="861"/>
      <c r="W177" s="861"/>
      <c r="X177" s="861"/>
      <c r="Y177" s="861"/>
      <c r="Z177" s="861"/>
      <c r="AA177" s="861"/>
      <c r="AB177" s="861"/>
      <c r="AC177" s="861"/>
      <c r="AD177" s="861"/>
      <c r="AE177" s="861"/>
      <c r="AF177" s="861"/>
      <c r="AG177" s="861"/>
    </row>
    <row r="178" spans="1:33" ht="17.25" customHeight="1">
      <c r="A178" s="861"/>
      <c r="B178" s="861"/>
      <c r="C178" s="861"/>
      <c r="D178" s="861"/>
      <c r="E178" s="861"/>
      <c r="F178" s="861"/>
      <c r="G178" s="861"/>
      <c r="H178" s="861"/>
      <c r="I178" s="861"/>
      <c r="J178" s="861"/>
      <c r="K178" s="861"/>
      <c r="L178" s="861"/>
      <c r="M178" s="861"/>
      <c r="N178" s="861"/>
      <c r="O178" s="861"/>
      <c r="P178" s="861"/>
      <c r="Q178" s="861"/>
      <c r="R178" s="861"/>
      <c r="S178" s="861"/>
      <c r="T178" s="861"/>
      <c r="U178" s="861"/>
      <c r="V178" s="861"/>
      <c r="W178" s="861"/>
      <c r="X178" s="861"/>
      <c r="Y178" s="861"/>
      <c r="Z178" s="861"/>
      <c r="AA178" s="861"/>
      <c r="AB178" s="861"/>
      <c r="AC178" s="861"/>
      <c r="AD178" s="861"/>
      <c r="AE178" s="861"/>
      <c r="AF178" s="861"/>
      <c r="AG178" s="861"/>
    </row>
    <row r="179" spans="1:33" ht="17.25" customHeight="1">
      <c r="A179" s="861"/>
      <c r="B179" s="861"/>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row>
    <row r="180" spans="1:33" ht="17.25" customHeight="1">
      <c r="A180" s="861"/>
      <c r="B180" s="861"/>
      <c r="C180" s="861"/>
      <c r="D180" s="861"/>
      <c r="E180" s="861"/>
      <c r="F180" s="861"/>
      <c r="G180" s="861"/>
      <c r="H180" s="861"/>
      <c r="I180" s="861"/>
      <c r="J180" s="861"/>
      <c r="K180" s="861"/>
      <c r="L180" s="861"/>
      <c r="M180" s="861"/>
      <c r="N180" s="861"/>
      <c r="O180" s="861"/>
      <c r="P180" s="861"/>
      <c r="Q180" s="861"/>
      <c r="R180" s="861"/>
      <c r="S180" s="861"/>
      <c r="T180" s="861"/>
      <c r="U180" s="861"/>
      <c r="V180" s="861"/>
      <c r="W180" s="861"/>
      <c r="X180" s="861"/>
      <c r="Y180" s="861"/>
      <c r="Z180" s="861"/>
      <c r="AA180" s="861"/>
      <c r="AB180" s="861"/>
      <c r="AC180" s="861"/>
      <c r="AD180" s="861"/>
      <c r="AE180" s="861"/>
      <c r="AF180" s="861"/>
      <c r="AG180" s="861"/>
    </row>
    <row r="181" spans="1:33" ht="17.25" customHeight="1">
      <c r="A181" s="861"/>
      <c r="B181" s="861"/>
      <c r="C181" s="861"/>
      <c r="D181" s="861"/>
      <c r="E181" s="861"/>
      <c r="F181" s="861"/>
      <c r="G181" s="861"/>
      <c r="H181" s="861"/>
      <c r="I181" s="861"/>
      <c r="J181" s="861"/>
      <c r="K181" s="861"/>
      <c r="L181" s="861"/>
      <c r="M181" s="861"/>
      <c r="N181" s="861"/>
      <c r="O181" s="861"/>
      <c r="P181" s="861"/>
      <c r="Q181" s="861"/>
      <c r="R181" s="861"/>
      <c r="S181" s="861"/>
      <c r="T181" s="861"/>
      <c r="U181" s="861"/>
      <c r="V181" s="861"/>
      <c r="W181" s="861"/>
      <c r="X181" s="861"/>
      <c r="Y181" s="861"/>
      <c r="Z181" s="861"/>
      <c r="AA181" s="861"/>
      <c r="AB181" s="861"/>
      <c r="AC181" s="861"/>
      <c r="AD181" s="861"/>
      <c r="AE181" s="861"/>
      <c r="AF181" s="861"/>
      <c r="AG181" s="861"/>
    </row>
    <row r="182" spans="1:33" ht="17.25" customHeight="1">
      <c r="A182" s="861"/>
      <c r="B182" s="861"/>
      <c r="C182" s="861"/>
      <c r="D182" s="861"/>
      <c r="E182" s="861"/>
      <c r="F182" s="861"/>
      <c r="G182" s="861"/>
      <c r="H182" s="861"/>
      <c r="I182" s="861"/>
      <c r="J182" s="861"/>
      <c r="K182" s="861"/>
      <c r="L182" s="861"/>
      <c r="M182" s="861"/>
      <c r="N182" s="861"/>
      <c r="O182" s="861"/>
      <c r="P182" s="861"/>
      <c r="Q182" s="861"/>
      <c r="R182" s="861"/>
      <c r="S182" s="861"/>
      <c r="T182" s="861"/>
      <c r="U182" s="861"/>
      <c r="V182" s="861"/>
      <c r="W182" s="861"/>
      <c r="X182" s="861"/>
      <c r="Y182" s="861"/>
      <c r="Z182" s="861"/>
      <c r="AA182" s="861"/>
      <c r="AB182" s="861"/>
      <c r="AC182" s="861"/>
      <c r="AD182" s="861"/>
      <c r="AE182" s="861"/>
      <c r="AF182" s="861"/>
      <c r="AG182" s="861"/>
    </row>
    <row r="183" spans="1:33" ht="17.25" customHeight="1">
      <c r="A183" s="861"/>
      <c r="B183" s="861"/>
      <c r="C183" s="861"/>
      <c r="D183" s="861"/>
      <c r="E183" s="861"/>
      <c r="F183" s="861"/>
      <c r="G183" s="861"/>
      <c r="H183" s="861"/>
      <c r="I183" s="861"/>
      <c r="J183" s="861"/>
      <c r="K183" s="861"/>
      <c r="L183" s="861"/>
      <c r="M183" s="861"/>
      <c r="N183" s="861"/>
      <c r="O183" s="861"/>
      <c r="P183" s="861"/>
      <c r="Q183" s="861"/>
      <c r="R183" s="861"/>
      <c r="S183" s="861"/>
      <c r="T183" s="861"/>
      <c r="U183" s="861"/>
      <c r="V183" s="861"/>
      <c r="W183" s="861"/>
      <c r="X183" s="861"/>
      <c r="Y183" s="861"/>
      <c r="Z183" s="861"/>
      <c r="AA183" s="861"/>
      <c r="AB183" s="861"/>
      <c r="AC183" s="861"/>
      <c r="AD183" s="861"/>
      <c r="AE183" s="861"/>
      <c r="AF183" s="861"/>
      <c r="AG183" s="861"/>
    </row>
    <row r="184" spans="1:33" ht="17.25" customHeight="1">
      <c r="A184" s="861"/>
      <c r="B184" s="861"/>
      <c r="C184" s="861"/>
      <c r="D184" s="861"/>
      <c r="E184" s="861"/>
      <c r="F184" s="861"/>
      <c r="G184" s="861"/>
      <c r="H184" s="861"/>
      <c r="I184" s="861"/>
      <c r="J184" s="861"/>
      <c r="K184" s="861"/>
      <c r="L184" s="861"/>
      <c r="M184" s="861"/>
      <c r="N184" s="861"/>
      <c r="O184" s="861"/>
      <c r="P184" s="861"/>
      <c r="Q184" s="861"/>
      <c r="R184" s="861"/>
      <c r="S184" s="861"/>
      <c r="T184" s="861"/>
      <c r="U184" s="861"/>
      <c r="V184" s="861"/>
      <c r="W184" s="861"/>
      <c r="X184" s="861"/>
      <c r="Y184" s="861"/>
      <c r="Z184" s="861"/>
      <c r="AA184" s="861"/>
      <c r="AB184" s="861"/>
      <c r="AC184" s="861"/>
      <c r="AD184" s="861"/>
      <c r="AE184" s="861"/>
      <c r="AF184" s="861"/>
      <c r="AG184" s="861"/>
    </row>
    <row r="185" spans="1:33" ht="17.25" customHeight="1">
      <c r="A185" s="861"/>
      <c r="B185" s="861"/>
      <c r="C185" s="861"/>
      <c r="D185" s="861"/>
      <c r="E185" s="861"/>
      <c r="F185" s="861"/>
      <c r="G185" s="861"/>
      <c r="H185" s="861"/>
      <c r="I185" s="861"/>
      <c r="J185" s="861"/>
      <c r="K185" s="861"/>
      <c r="L185" s="861"/>
      <c r="M185" s="861"/>
      <c r="N185" s="861"/>
      <c r="O185" s="861"/>
      <c r="P185" s="861"/>
      <c r="Q185" s="861"/>
      <c r="R185" s="861"/>
      <c r="S185" s="861"/>
      <c r="T185" s="861"/>
      <c r="U185" s="861"/>
      <c r="V185" s="861"/>
      <c r="W185" s="861"/>
      <c r="X185" s="861"/>
      <c r="Y185" s="861"/>
      <c r="Z185" s="861"/>
      <c r="AA185" s="861"/>
      <c r="AB185" s="861"/>
      <c r="AC185" s="861"/>
      <c r="AD185" s="861"/>
      <c r="AE185" s="861"/>
      <c r="AF185" s="861"/>
      <c r="AG185" s="861"/>
    </row>
    <row r="186" spans="1:33" ht="17.25" customHeight="1">
      <c r="A186" s="861"/>
      <c r="B186" s="861"/>
      <c r="C186" s="861"/>
      <c r="D186" s="861"/>
      <c r="E186" s="861"/>
      <c r="F186" s="861"/>
      <c r="G186" s="861"/>
      <c r="H186" s="861"/>
      <c r="I186" s="861"/>
      <c r="J186" s="861"/>
      <c r="K186" s="861"/>
      <c r="L186" s="861"/>
      <c r="M186" s="861"/>
      <c r="N186" s="861"/>
      <c r="O186" s="861"/>
      <c r="P186" s="861"/>
      <c r="Q186" s="861"/>
      <c r="R186" s="861"/>
      <c r="S186" s="861"/>
      <c r="T186" s="861"/>
      <c r="U186" s="861"/>
      <c r="V186" s="861"/>
      <c r="W186" s="861"/>
      <c r="X186" s="861"/>
      <c r="Y186" s="861"/>
      <c r="Z186" s="861"/>
      <c r="AA186" s="861"/>
      <c r="AB186" s="861"/>
      <c r="AC186" s="861"/>
      <c r="AD186" s="861"/>
      <c r="AE186" s="861"/>
      <c r="AF186" s="861"/>
      <c r="AG186" s="861"/>
    </row>
    <row r="187" spans="1:33" ht="17.25" customHeight="1">
      <c r="A187" s="861"/>
      <c r="B187" s="861"/>
      <c r="C187" s="861"/>
      <c r="D187" s="861"/>
      <c r="E187" s="861"/>
      <c r="F187" s="861"/>
      <c r="G187" s="861"/>
      <c r="H187" s="861"/>
      <c r="I187" s="861"/>
      <c r="J187" s="861"/>
      <c r="K187" s="861"/>
      <c r="L187" s="861"/>
      <c r="M187" s="861"/>
      <c r="N187" s="861"/>
      <c r="O187" s="861"/>
      <c r="P187" s="861"/>
      <c r="Q187" s="861"/>
      <c r="R187" s="861"/>
      <c r="S187" s="861"/>
      <c r="T187" s="861"/>
      <c r="U187" s="861"/>
      <c r="V187" s="861"/>
      <c r="W187" s="861"/>
      <c r="X187" s="861"/>
      <c r="Y187" s="861"/>
      <c r="Z187" s="861"/>
      <c r="AA187" s="861"/>
      <c r="AB187" s="861"/>
      <c r="AC187" s="861"/>
      <c r="AD187" s="861"/>
      <c r="AE187" s="861"/>
      <c r="AF187" s="861"/>
      <c r="AG187" s="861"/>
    </row>
    <row r="188" spans="1:33" ht="17.25" customHeight="1">
      <c r="A188" s="861"/>
      <c r="B188" s="861"/>
      <c r="C188" s="861"/>
      <c r="D188" s="861"/>
      <c r="E188" s="861"/>
      <c r="F188" s="861"/>
      <c r="G188" s="861"/>
      <c r="H188" s="861"/>
      <c r="I188" s="861"/>
      <c r="J188" s="861"/>
      <c r="K188" s="861"/>
      <c r="L188" s="861"/>
      <c r="M188" s="861"/>
      <c r="N188" s="861"/>
      <c r="O188" s="861"/>
      <c r="P188" s="861"/>
      <c r="Q188" s="861"/>
      <c r="R188" s="861"/>
      <c r="S188" s="861"/>
      <c r="T188" s="861"/>
      <c r="U188" s="861"/>
      <c r="V188" s="861"/>
      <c r="W188" s="861"/>
      <c r="X188" s="861"/>
      <c r="Y188" s="861"/>
      <c r="Z188" s="861"/>
      <c r="AA188" s="861"/>
      <c r="AB188" s="861"/>
      <c r="AC188" s="861"/>
      <c r="AD188" s="861"/>
      <c r="AE188" s="861"/>
      <c r="AF188" s="861"/>
      <c r="AG188" s="861"/>
    </row>
    <row r="189" spans="1:33" ht="17.25" customHeight="1">
      <c r="A189" s="861"/>
      <c r="B189" s="861"/>
      <c r="C189" s="861"/>
      <c r="D189" s="861"/>
      <c r="E189" s="861"/>
      <c r="F189" s="861"/>
      <c r="G189" s="861"/>
      <c r="H189" s="861"/>
      <c r="I189" s="861"/>
      <c r="J189" s="861"/>
      <c r="K189" s="861"/>
      <c r="L189" s="861"/>
      <c r="M189" s="861"/>
      <c r="N189" s="861"/>
      <c r="O189" s="861"/>
      <c r="P189" s="861"/>
      <c r="Q189" s="861"/>
      <c r="R189" s="861"/>
      <c r="S189" s="861"/>
      <c r="T189" s="861"/>
      <c r="U189" s="861"/>
      <c r="V189" s="861"/>
      <c r="W189" s="861"/>
      <c r="X189" s="861"/>
      <c r="Y189" s="861"/>
      <c r="Z189" s="861"/>
      <c r="AA189" s="861"/>
      <c r="AB189" s="861"/>
      <c r="AC189" s="861"/>
      <c r="AD189" s="861"/>
      <c r="AE189" s="861"/>
      <c r="AF189" s="861"/>
      <c r="AG189" s="861"/>
    </row>
    <row r="190" spans="1:33" ht="17.25" customHeight="1">
      <c r="A190" s="861"/>
      <c r="B190" s="861"/>
      <c r="C190" s="861"/>
      <c r="D190" s="861"/>
      <c r="E190" s="861"/>
      <c r="F190" s="861"/>
      <c r="G190" s="861"/>
      <c r="H190" s="861"/>
      <c r="I190" s="861"/>
      <c r="J190" s="861"/>
      <c r="K190" s="861"/>
      <c r="L190" s="861"/>
      <c r="M190" s="861"/>
      <c r="N190" s="861"/>
      <c r="O190" s="861"/>
      <c r="P190" s="861"/>
      <c r="Q190" s="861"/>
      <c r="R190" s="861"/>
      <c r="S190" s="861"/>
      <c r="T190" s="861"/>
      <c r="U190" s="861"/>
      <c r="V190" s="861"/>
      <c r="W190" s="861"/>
      <c r="X190" s="861"/>
      <c r="Y190" s="861"/>
      <c r="Z190" s="861"/>
      <c r="AA190" s="861"/>
      <c r="AB190" s="861"/>
      <c r="AC190" s="861"/>
      <c r="AD190" s="861"/>
      <c r="AE190" s="861"/>
      <c r="AF190" s="861"/>
      <c r="AG190" s="861"/>
    </row>
    <row r="191" spans="1:33" ht="17.25" customHeight="1">
      <c r="A191" s="861"/>
      <c r="B191" s="861"/>
      <c r="C191" s="861"/>
      <c r="D191" s="861"/>
      <c r="E191" s="861"/>
      <c r="F191" s="861"/>
      <c r="G191" s="861"/>
      <c r="H191" s="861"/>
      <c r="I191" s="861"/>
      <c r="J191" s="861"/>
      <c r="K191" s="861"/>
      <c r="L191" s="861"/>
      <c r="M191" s="861"/>
      <c r="N191" s="861"/>
      <c r="O191" s="861"/>
      <c r="P191" s="861"/>
      <c r="Q191" s="861"/>
      <c r="R191" s="861"/>
      <c r="S191" s="861"/>
      <c r="T191" s="861"/>
      <c r="U191" s="861"/>
      <c r="V191" s="861"/>
      <c r="W191" s="861"/>
      <c r="X191" s="861"/>
      <c r="Y191" s="861"/>
      <c r="Z191" s="861"/>
      <c r="AA191" s="861"/>
      <c r="AB191" s="861"/>
      <c r="AC191" s="861"/>
      <c r="AD191" s="861"/>
      <c r="AE191" s="861"/>
      <c r="AF191" s="861"/>
      <c r="AG191" s="861"/>
    </row>
    <row r="192" spans="1:33" ht="17.25" customHeight="1">
      <c r="A192" s="861"/>
      <c r="B192" s="861"/>
      <c r="C192" s="861"/>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1"/>
      <c r="AE192" s="861"/>
      <c r="AF192" s="861"/>
      <c r="AG192" s="861"/>
    </row>
    <row r="193" spans="1:33" ht="17.25" customHeight="1">
      <c r="A193" s="861"/>
      <c r="B193" s="861"/>
      <c r="C193" s="861"/>
      <c r="D193" s="861"/>
      <c r="E193" s="861"/>
      <c r="F193" s="861"/>
      <c r="G193" s="861"/>
      <c r="H193" s="861"/>
      <c r="I193" s="861"/>
      <c r="J193" s="861"/>
      <c r="K193" s="861"/>
      <c r="L193" s="861"/>
      <c r="M193" s="861"/>
      <c r="N193" s="861"/>
      <c r="O193" s="861"/>
      <c r="P193" s="861"/>
      <c r="Q193" s="861"/>
      <c r="R193" s="861"/>
      <c r="S193" s="861"/>
      <c r="T193" s="861"/>
      <c r="U193" s="861"/>
      <c r="V193" s="861"/>
      <c r="W193" s="861"/>
      <c r="X193" s="861"/>
      <c r="Y193" s="861"/>
      <c r="Z193" s="861"/>
      <c r="AA193" s="861"/>
      <c r="AB193" s="861"/>
      <c r="AC193" s="861"/>
      <c r="AD193" s="861"/>
      <c r="AE193" s="861"/>
      <c r="AF193" s="861"/>
      <c r="AG193" s="861"/>
    </row>
    <row r="194" spans="1:33" ht="17.25" customHeight="1">
      <c r="A194" s="861"/>
      <c r="B194" s="861"/>
      <c r="C194" s="861"/>
      <c r="D194" s="861"/>
      <c r="E194" s="861"/>
      <c r="F194" s="861"/>
      <c r="G194" s="861"/>
      <c r="H194" s="861"/>
      <c r="I194" s="861"/>
      <c r="J194" s="861"/>
      <c r="K194" s="861"/>
      <c r="L194" s="861"/>
      <c r="M194" s="861"/>
      <c r="N194" s="861"/>
      <c r="O194" s="861"/>
      <c r="P194" s="861"/>
      <c r="Q194" s="861"/>
      <c r="R194" s="861"/>
      <c r="S194" s="861"/>
      <c r="T194" s="861"/>
      <c r="U194" s="861"/>
      <c r="V194" s="861"/>
      <c r="W194" s="861"/>
      <c r="X194" s="861"/>
      <c r="Y194" s="861"/>
      <c r="Z194" s="861"/>
      <c r="AA194" s="861"/>
      <c r="AB194" s="861"/>
      <c r="AC194" s="861"/>
      <c r="AD194" s="861"/>
      <c r="AE194" s="861"/>
      <c r="AF194" s="861"/>
      <c r="AG194" s="861"/>
    </row>
    <row r="195" spans="1:33" ht="17.25" customHeight="1">
      <c r="A195" s="861"/>
      <c r="B195" s="861"/>
      <c r="C195" s="861"/>
      <c r="D195" s="861"/>
      <c r="E195" s="861"/>
      <c r="F195" s="861"/>
      <c r="G195" s="861"/>
      <c r="H195" s="861"/>
      <c r="I195" s="861"/>
      <c r="J195" s="861"/>
      <c r="K195" s="861"/>
      <c r="L195" s="861"/>
      <c r="M195" s="861"/>
      <c r="N195" s="861"/>
      <c r="O195" s="861"/>
      <c r="P195" s="861"/>
      <c r="Q195" s="861"/>
      <c r="R195" s="861"/>
      <c r="S195" s="861"/>
      <c r="T195" s="861"/>
      <c r="U195" s="861"/>
      <c r="V195" s="861"/>
      <c r="W195" s="861"/>
      <c r="X195" s="861"/>
      <c r="Y195" s="861"/>
      <c r="Z195" s="861"/>
      <c r="AA195" s="861"/>
      <c r="AB195" s="861"/>
      <c r="AC195" s="861"/>
      <c r="AD195" s="861"/>
      <c r="AE195" s="861"/>
      <c r="AF195" s="861"/>
      <c r="AG195" s="861"/>
    </row>
    <row r="196" spans="1:33" ht="17.25" customHeight="1">
      <c r="A196" s="861"/>
      <c r="B196" s="861"/>
      <c r="C196" s="861"/>
      <c r="D196" s="861"/>
      <c r="E196" s="861"/>
      <c r="F196" s="861"/>
      <c r="G196" s="861"/>
      <c r="H196" s="861"/>
      <c r="I196" s="861"/>
      <c r="J196" s="861"/>
      <c r="K196" s="861"/>
      <c r="L196" s="861"/>
      <c r="M196" s="861"/>
      <c r="N196" s="861"/>
      <c r="O196" s="861"/>
      <c r="P196" s="861"/>
      <c r="Q196" s="861"/>
      <c r="R196" s="861"/>
      <c r="S196" s="861"/>
      <c r="T196" s="861"/>
      <c r="U196" s="861"/>
      <c r="V196" s="861"/>
      <c r="W196" s="861"/>
      <c r="X196" s="861"/>
      <c r="Y196" s="861"/>
      <c r="Z196" s="861"/>
      <c r="AA196" s="861"/>
      <c r="AB196" s="861"/>
      <c r="AC196" s="861"/>
      <c r="AD196" s="861"/>
      <c r="AE196" s="861"/>
      <c r="AF196" s="861"/>
      <c r="AG196" s="861"/>
    </row>
    <row r="197" spans="1:33" ht="17.25" customHeight="1">
      <c r="A197" s="861"/>
      <c r="B197" s="861"/>
      <c r="C197" s="861"/>
      <c r="D197" s="861"/>
      <c r="E197" s="861"/>
      <c r="F197" s="861"/>
      <c r="G197" s="861"/>
      <c r="H197" s="861"/>
      <c r="I197" s="861"/>
      <c r="J197" s="861"/>
      <c r="K197" s="861"/>
      <c r="L197" s="861"/>
      <c r="M197" s="861"/>
      <c r="N197" s="861"/>
      <c r="O197" s="861"/>
      <c r="P197" s="861"/>
      <c r="Q197" s="861"/>
      <c r="R197" s="861"/>
      <c r="S197" s="861"/>
      <c r="T197" s="861"/>
      <c r="U197" s="861"/>
      <c r="V197" s="861"/>
      <c r="W197" s="861"/>
      <c r="X197" s="861"/>
      <c r="Y197" s="861"/>
      <c r="Z197" s="861"/>
      <c r="AA197" s="861"/>
      <c r="AB197" s="861"/>
      <c r="AC197" s="861"/>
      <c r="AD197" s="861"/>
      <c r="AE197" s="861"/>
      <c r="AF197" s="861"/>
      <c r="AG197" s="861"/>
    </row>
    <row r="198" spans="1:33" ht="17.25" customHeight="1">
      <c r="A198" s="861"/>
      <c r="B198" s="861"/>
      <c r="C198" s="861"/>
      <c r="D198" s="861"/>
      <c r="E198" s="861"/>
      <c r="F198" s="861"/>
      <c r="G198" s="861"/>
      <c r="H198" s="861"/>
      <c r="I198" s="861"/>
      <c r="J198" s="861"/>
      <c r="K198" s="861"/>
      <c r="L198" s="861"/>
      <c r="M198" s="861"/>
      <c r="N198" s="861"/>
      <c r="O198" s="861"/>
      <c r="P198" s="861"/>
      <c r="Q198" s="861"/>
      <c r="R198" s="861"/>
      <c r="S198" s="861"/>
      <c r="T198" s="861"/>
      <c r="U198" s="861"/>
      <c r="V198" s="861"/>
      <c r="W198" s="861"/>
      <c r="X198" s="861"/>
      <c r="Y198" s="861"/>
      <c r="Z198" s="861"/>
      <c r="AA198" s="861"/>
      <c r="AB198" s="861"/>
      <c r="AC198" s="861"/>
      <c r="AD198" s="861"/>
      <c r="AE198" s="861"/>
      <c r="AF198" s="861"/>
      <c r="AG198" s="861"/>
    </row>
    <row r="199" spans="1:33" ht="17.25" customHeight="1">
      <c r="A199" s="861"/>
      <c r="B199" s="861"/>
      <c r="C199" s="861"/>
      <c r="D199" s="861"/>
      <c r="E199" s="861"/>
      <c r="F199" s="861"/>
      <c r="G199" s="861"/>
      <c r="H199" s="861"/>
      <c r="I199" s="861"/>
      <c r="J199" s="861"/>
      <c r="K199" s="861"/>
      <c r="L199" s="861"/>
      <c r="M199" s="861"/>
      <c r="N199" s="861"/>
      <c r="O199" s="861"/>
      <c r="P199" s="861"/>
      <c r="Q199" s="861"/>
      <c r="R199" s="861"/>
      <c r="S199" s="861"/>
      <c r="T199" s="861"/>
      <c r="U199" s="861"/>
      <c r="V199" s="861"/>
      <c r="W199" s="861"/>
      <c r="X199" s="861"/>
      <c r="Y199" s="861"/>
      <c r="Z199" s="861"/>
      <c r="AA199" s="861"/>
      <c r="AB199" s="861"/>
      <c r="AC199" s="861"/>
      <c r="AD199" s="861"/>
      <c r="AE199" s="861"/>
      <c r="AF199" s="861"/>
      <c r="AG199" s="861"/>
    </row>
    <row r="200" spans="1:33" ht="17.25" customHeight="1">
      <c r="A200" s="861"/>
      <c r="B200" s="861"/>
      <c r="C200" s="861"/>
      <c r="D200" s="861"/>
      <c r="E200" s="861"/>
      <c r="F200" s="861"/>
      <c r="G200" s="861"/>
      <c r="H200" s="861"/>
      <c r="I200" s="861"/>
      <c r="J200" s="861"/>
      <c r="K200" s="861"/>
      <c r="L200" s="861"/>
      <c r="M200" s="861"/>
      <c r="N200" s="861"/>
      <c r="O200" s="861"/>
      <c r="P200" s="861"/>
      <c r="Q200" s="861"/>
      <c r="R200" s="861"/>
      <c r="S200" s="861"/>
      <c r="T200" s="861"/>
      <c r="U200" s="861"/>
      <c r="V200" s="861"/>
      <c r="W200" s="861"/>
      <c r="X200" s="861"/>
      <c r="Y200" s="861"/>
      <c r="Z200" s="861"/>
      <c r="AA200" s="861"/>
      <c r="AB200" s="861"/>
      <c r="AC200" s="861"/>
      <c r="AD200" s="861"/>
      <c r="AE200" s="861"/>
      <c r="AF200" s="861"/>
      <c r="AG200" s="861"/>
    </row>
    <row r="201" spans="1:33" ht="17.25" customHeight="1">
      <c r="A201" s="861"/>
      <c r="B201" s="861"/>
      <c r="C201" s="861"/>
      <c r="D201" s="861"/>
      <c r="E201" s="861"/>
      <c r="F201" s="861"/>
      <c r="G201" s="861"/>
      <c r="H201" s="861"/>
      <c r="I201" s="861"/>
      <c r="J201" s="861"/>
      <c r="K201" s="861"/>
      <c r="L201" s="861"/>
      <c r="M201" s="861"/>
      <c r="N201" s="861"/>
      <c r="O201" s="861"/>
      <c r="P201" s="861"/>
      <c r="Q201" s="861"/>
      <c r="R201" s="861"/>
      <c r="S201" s="861"/>
      <c r="T201" s="861"/>
      <c r="U201" s="861"/>
      <c r="V201" s="861"/>
      <c r="W201" s="861"/>
      <c r="X201" s="861"/>
      <c r="Y201" s="861"/>
      <c r="Z201" s="861"/>
      <c r="AA201" s="861"/>
      <c r="AB201" s="861"/>
      <c r="AC201" s="861"/>
      <c r="AD201" s="861"/>
      <c r="AE201" s="861"/>
      <c r="AF201" s="861"/>
      <c r="AG201" s="861"/>
    </row>
    <row r="202" spans="1:33" ht="17.25" customHeight="1">
      <c r="A202" s="861"/>
      <c r="B202" s="861"/>
      <c r="C202" s="861"/>
      <c r="D202" s="861"/>
      <c r="E202" s="861"/>
      <c r="F202" s="861"/>
      <c r="G202" s="861"/>
      <c r="H202" s="861"/>
      <c r="I202" s="861"/>
      <c r="J202" s="861"/>
      <c r="K202" s="861"/>
      <c r="L202" s="861"/>
      <c r="M202" s="861"/>
      <c r="N202" s="861"/>
      <c r="O202" s="861"/>
      <c r="P202" s="861"/>
      <c r="Q202" s="861"/>
      <c r="R202" s="861"/>
      <c r="S202" s="861"/>
      <c r="T202" s="861"/>
      <c r="U202" s="861"/>
      <c r="V202" s="861"/>
      <c r="W202" s="861"/>
      <c r="X202" s="861"/>
      <c r="Y202" s="861"/>
      <c r="Z202" s="861"/>
      <c r="AA202" s="861"/>
      <c r="AB202" s="861"/>
      <c r="AC202" s="861"/>
      <c r="AD202" s="861"/>
      <c r="AE202" s="861"/>
      <c r="AF202" s="861"/>
      <c r="AG202" s="861"/>
    </row>
    <row r="203" spans="1:33" ht="17.25" customHeight="1">
      <c r="A203" s="861"/>
      <c r="B203" s="861"/>
      <c r="C203" s="861"/>
      <c r="D203" s="861"/>
      <c r="E203" s="861"/>
      <c r="F203" s="861"/>
      <c r="G203" s="861"/>
      <c r="H203" s="861"/>
      <c r="I203" s="861"/>
      <c r="J203" s="861"/>
      <c r="K203" s="861"/>
      <c r="L203" s="861"/>
      <c r="M203" s="861"/>
      <c r="N203" s="861"/>
      <c r="O203" s="861"/>
      <c r="P203" s="861"/>
      <c r="Q203" s="861"/>
      <c r="R203" s="861"/>
      <c r="S203" s="861"/>
      <c r="T203" s="861"/>
      <c r="U203" s="861"/>
      <c r="V203" s="861"/>
      <c r="W203" s="861"/>
      <c r="X203" s="861"/>
      <c r="Y203" s="861"/>
      <c r="Z203" s="861"/>
      <c r="AA203" s="861"/>
      <c r="AB203" s="861"/>
      <c r="AC203" s="861"/>
      <c r="AD203" s="861"/>
      <c r="AE203" s="861"/>
      <c r="AF203" s="861"/>
      <c r="AG203" s="861"/>
    </row>
    <row r="204" spans="1:33" ht="17.25" customHeight="1">
      <c r="A204" s="861"/>
      <c r="B204" s="861"/>
      <c r="C204" s="861"/>
      <c r="D204" s="861"/>
      <c r="E204" s="861"/>
      <c r="F204" s="861"/>
      <c r="G204" s="861"/>
      <c r="H204" s="861"/>
      <c r="I204" s="861"/>
      <c r="J204" s="861"/>
      <c r="K204" s="861"/>
      <c r="L204" s="861"/>
      <c r="M204" s="861"/>
      <c r="N204" s="861"/>
      <c r="O204" s="861"/>
      <c r="P204" s="861"/>
      <c r="Q204" s="861"/>
      <c r="R204" s="861"/>
      <c r="S204" s="861"/>
      <c r="T204" s="861"/>
      <c r="U204" s="861"/>
      <c r="V204" s="861"/>
      <c r="W204" s="861"/>
      <c r="X204" s="861"/>
      <c r="Y204" s="861"/>
      <c r="Z204" s="861"/>
      <c r="AA204" s="861"/>
      <c r="AB204" s="861"/>
      <c r="AC204" s="861"/>
      <c r="AD204" s="861"/>
      <c r="AE204" s="861"/>
      <c r="AF204" s="861"/>
      <c r="AG204" s="861"/>
    </row>
    <row r="205" spans="1:33" ht="17.25" customHeight="1">
      <c r="A205" s="861"/>
      <c r="B205" s="861"/>
      <c r="C205" s="861"/>
      <c r="D205" s="861"/>
      <c r="E205" s="861"/>
      <c r="F205" s="861"/>
      <c r="G205" s="861"/>
      <c r="H205" s="861"/>
      <c r="I205" s="861"/>
      <c r="J205" s="861"/>
      <c r="K205" s="861"/>
      <c r="L205" s="861"/>
      <c r="M205" s="861"/>
      <c r="N205" s="861"/>
      <c r="O205" s="861"/>
      <c r="P205" s="861"/>
      <c r="Q205" s="861"/>
      <c r="R205" s="861"/>
      <c r="S205" s="861"/>
      <c r="T205" s="861"/>
      <c r="U205" s="861"/>
      <c r="V205" s="861"/>
      <c r="W205" s="861"/>
      <c r="X205" s="861"/>
      <c r="Y205" s="861"/>
      <c r="Z205" s="861"/>
      <c r="AA205" s="861"/>
      <c r="AB205" s="861"/>
      <c r="AC205" s="861"/>
      <c r="AD205" s="861"/>
      <c r="AE205" s="861"/>
      <c r="AF205" s="861"/>
      <c r="AG205" s="861"/>
    </row>
    <row r="206" spans="1:33" ht="17.25" customHeight="1">
      <c r="A206" s="861"/>
      <c r="B206" s="861"/>
      <c r="C206" s="861"/>
      <c r="D206" s="861"/>
      <c r="E206" s="861"/>
      <c r="F206" s="861"/>
      <c r="G206" s="861"/>
      <c r="H206" s="861"/>
      <c r="I206" s="861"/>
      <c r="J206" s="861"/>
      <c r="K206" s="861"/>
      <c r="L206" s="861"/>
      <c r="M206" s="861"/>
      <c r="N206" s="861"/>
      <c r="O206" s="861"/>
      <c r="P206" s="861"/>
      <c r="Q206" s="861"/>
      <c r="R206" s="861"/>
      <c r="S206" s="861"/>
      <c r="T206" s="861"/>
      <c r="U206" s="861"/>
      <c r="V206" s="861"/>
      <c r="W206" s="861"/>
      <c r="X206" s="861"/>
      <c r="Y206" s="861"/>
      <c r="Z206" s="861"/>
      <c r="AA206" s="861"/>
      <c r="AB206" s="861"/>
      <c r="AC206" s="861"/>
      <c r="AD206" s="861"/>
      <c r="AE206" s="861"/>
      <c r="AF206" s="861"/>
      <c r="AG206" s="861"/>
    </row>
    <row r="207" spans="1:33" ht="17.25" customHeight="1">
      <c r="A207" s="861"/>
      <c r="B207" s="861"/>
      <c r="C207" s="861"/>
      <c r="D207" s="861"/>
      <c r="E207" s="861"/>
      <c r="F207" s="861"/>
      <c r="G207" s="861"/>
      <c r="H207" s="861"/>
      <c r="I207" s="861"/>
      <c r="J207" s="861"/>
      <c r="K207" s="861"/>
      <c r="L207" s="861"/>
      <c r="M207" s="861"/>
      <c r="N207" s="861"/>
      <c r="O207" s="861"/>
      <c r="P207" s="861"/>
      <c r="Q207" s="861"/>
      <c r="R207" s="861"/>
      <c r="S207" s="861"/>
      <c r="T207" s="861"/>
      <c r="U207" s="861"/>
      <c r="V207" s="861"/>
      <c r="W207" s="861"/>
      <c r="X207" s="861"/>
      <c r="Y207" s="861"/>
      <c r="Z207" s="861"/>
      <c r="AA207" s="861"/>
      <c r="AB207" s="861"/>
      <c r="AC207" s="861"/>
      <c r="AD207" s="861"/>
      <c r="AE207" s="861"/>
      <c r="AF207" s="861"/>
      <c r="AG207" s="861"/>
    </row>
    <row r="208" spans="1:33" ht="17.25" customHeight="1">
      <c r="A208" s="861"/>
      <c r="B208" s="861"/>
      <c r="C208" s="861"/>
      <c r="D208" s="861"/>
      <c r="E208" s="861"/>
      <c r="F208" s="861"/>
      <c r="G208" s="861"/>
      <c r="H208" s="861"/>
      <c r="I208" s="861"/>
      <c r="J208" s="861"/>
      <c r="K208" s="861"/>
      <c r="L208" s="861"/>
      <c r="M208" s="861"/>
      <c r="N208" s="861"/>
      <c r="O208" s="861"/>
      <c r="P208" s="861"/>
      <c r="Q208" s="861"/>
      <c r="R208" s="861"/>
      <c r="S208" s="861"/>
      <c r="T208" s="861"/>
      <c r="U208" s="861"/>
      <c r="V208" s="861"/>
      <c r="W208" s="861"/>
      <c r="X208" s="861"/>
      <c r="Y208" s="861"/>
      <c r="Z208" s="861"/>
      <c r="AA208" s="861"/>
      <c r="AB208" s="861"/>
      <c r="AC208" s="861"/>
      <c r="AD208" s="861"/>
      <c r="AE208" s="861"/>
      <c r="AF208" s="861"/>
      <c r="AG208" s="861"/>
    </row>
    <row r="209" spans="1:33" ht="17.25" customHeight="1">
      <c r="A209" s="861"/>
      <c r="B209" s="861"/>
      <c r="C209" s="861"/>
      <c r="D209" s="861"/>
      <c r="E209" s="861"/>
      <c r="F209" s="861"/>
      <c r="G209" s="861"/>
      <c r="H209" s="861"/>
      <c r="I209" s="861"/>
      <c r="J209" s="861"/>
      <c r="K209" s="861"/>
      <c r="L209" s="861"/>
      <c r="M209" s="861"/>
      <c r="N209" s="861"/>
      <c r="O209" s="861"/>
      <c r="P209" s="861"/>
      <c r="Q209" s="861"/>
      <c r="R209" s="861"/>
      <c r="S209" s="861"/>
      <c r="T209" s="861"/>
      <c r="U209" s="861"/>
      <c r="V209" s="861"/>
      <c r="W209" s="861"/>
      <c r="X209" s="861"/>
      <c r="Y209" s="861"/>
      <c r="Z209" s="861"/>
      <c r="AA209" s="861"/>
      <c r="AB209" s="861"/>
      <c r="AC209" s="861"/>
      <c r="AD209" s="861"/>
      <c r="AE209" s="861"/>
      <c r="AF209" s="861"/>
      <c r="AG209" s="861"/>
    </row>
    <row r="210" spans="1:33" ht="17.25" customHeight="1">
      <c r="A210" s="861"/>
      <c r="B210" s="861"/>
      <c r="C210" s="861"/>
      <c r="D210" s="861"/>
      <c r="E210" s="861"/>
      <c r="F210" s="861"/>
      <c r="G210" s="861"/>
      <c r="H210" s="861"/>
      <c r="I210" s="861"/>
      <c r="J210" s="861"/>
      <c r="K210" s="861"/>
      <c r="L210" s="861"/>
      <c r="M210" s="861"/>
      <c r="N210" s="861"/>
      <c r="O210" s="861"/>
      <c r="P210" s="861"/>
      <c r="Q210" s="861"/>
      <c r="R210" s="861"/>
      <c r="S210" s="861"/>
      <c r="T210" s="861"/>
      <c r="U210" s="861"/>
      <c r="V210" s="861"/>
      <c r="W210" s="861"/>
      <c r="X210" s="861"/>
      <c r="Y210" s="861"/>
      <c r="Z210" s="861"/>
      <c r="AA210" s="861"/>
      <c r="AB210" s="861"/>
      <c r="AC210" s="861"/>
      <c r="AD210" s="861"/>
      <c r="AE210" s="861"/>
      <c r="AF210" s="861"/>
      <c r="AG210" s="861"/>
    </row>
    <row r="211" spans="1:33" ht="17.25" customHeight="1">
      <c r="A211" s="861"/>
      <c r="B211" s="861"/>
      <c r="C211" s="861"/>
      <c r="D211" s="861"/>
      <c r="E211" s="861"/>
      <c r="F211" s="861"/>
      <c r="G211" s="861"/>
      <c r="H211" s="861"/>
      <c r="I211" s="861"/>
      <c r="J211" s="861"/>
      <c r="K211" s="861"/>
      <c r="L211" s="861"/>
      <c r="M211" s="861"/>
      <c r="N211" s="861"/>
      <c r="O211" s="861"/>
      <c r="P211" s="861"/>
      <c r="Q211" s="861"/>
      <c r="R211" s="861"/>
      <c r="S211" s="861"/>
      <c r="T211" s="861"/>
      <c r="U211" s="861"/>
      <c r="V211" s="861"/>
      <c r="W211" s="861"/>
      <c r="X211" s="861"/>
      <c r="Y211" s="861"/>
      <c r="Z211" s="861"/>
      <c r="AA211" s="861"/>
      <c r="AB211" s="861"/>
      <c r="AC211" s="861"/>
      <c r="AD211" s="861"/>
      <c r="AE211" s="861"/>
      <c r="AF211" s="861"/>
      <c r="AG211" s="861"/>
    </row>
    <row r="212" spans="1:33" ht="17.25" customHeight="1">
      <c r="A212" s="861"/>
      <c r="B212" s="861"/>
      <c r="C212" s="861"/>
      <c r="D212" s="861"/>
      <c r="E212" s="861"/>
      <c r="F212" s="861"/>
      <c r="G212" s="861"/>
      <c r="H212" s="861"/>
      <c r="I212" s="861"/>
      <c r="J212" s="861"/>
      <c r="K212" s="861"/>
      <c r="L212" s="861"/>
      <c r="M212" s="861"/>
      <c r="N212" s="861"/>
      <c r="O212" s="861"/>
      <c r="P212" s="861"/>
      <c r="Q212" s="861"/>
      <c r="R212" s="861"/>
      <c r="S212" s="861"/>
      <c r="T212" s="861"/>
      <c r="U212" s="861"/>
      <c r="V212" s="861"/>
      <c r="W212" s="861"/>
      <c r="X212" s="861"/>
      <c r="Y212" s="861"/>
      <c r="Z212" s="861"/>
      <c r="AA212" s="861"/>
      <c r="AB212" s="861"/>
      <c r="AC212" s="861"/>
      <c r="AD212" s="861"/>
      <c r="AE212" s="861"/>
      <c r="AF212" s="861"/>
      <c r="AG212" s="861"/>
    </row>
    <row r="213" spans="1:33" ht="17.25" customHeight="1">
      <c r="A213" s="861"/>
      <c r="B213" s="861"/>
      <c r="C213" s="861"/>
      <c r="D213" s="861"/>
      <c r="E213" s="861"/>
      <c r="F213" s="861"/>
      <c r="G213" s="861"/>
      <c r="H213" s="861"/>
      <c r="I213" s="861"/>
      <c r="J213" s="861"/>
      <c r="K213" s="861"/>
      <c r="L213" s="861"/>
      <c r="M213" s="861"/>
      <c r="N213" s="861"/>
      <c r="O213" s="861"/>
      <c r="P213" s="861"/>
      <c r="Q213" s="861"/>
      <c r="R213" s="861"/>
      <c r="S213" s="861"/>
      <c r="T213" s="861"/>
      <c r="U213" s="861"/>
      <c r="V213" s="861"/>
      <c r="W213" s="861"/>
      <c r="X213" s="861"/>
      <c r="Y213" s="861"/>
      <c r="Z213" s="861"/>
      <c r="AA213" s="861"/>
      <c r="AB213" s="861"/>
      <c r="AC213" s="861"/>
      <c r="AD213" s="861"/>
      <c r="AE213" s="861"/>
      <c r="AF213" s="861"/>
      <c r="AG213" s="861"/>
    </row>
    <row r="214" spans="1:33" ht="17.25" customHeight="1">
      <c r="A214" s="861"/>
      <c r="B214" s="861"/>
      <c r="C214" s="861"/>
      <c r="D214" s="861"/>
      <c r="E214" s="861"/>
      <c r="F214" s="861"/>
      <c r="G214" s="861"/>
      <c r="H214" s="861"/>
      <c r="I214" s="861"/>
      <c r="J214" s="861"/>
      <c r="K214" s="861"/>
      <c r="L214" s="861"/>
      <c r="M214" s="861"/>
      <c r="N214" s="861"/>
      <c r="O214" s="861"/>
      <c r="P214" s="861"/>
      <c r="Q214" s="861"/>
      <c r="R214" s="861"/>
      <c r="S214" s="861"/>
      <c r="T214" s="861"/>
      <c r="U214" s="861"/>
      <c r="V214" s="861"/>
      <c r="W214" s="861"/>
      <c r="X214" s="861"/>
      <c r="Y214" s="861"/>
      <c r="Z214" s="861"/>
      <c r="AA214" s="861"/>
      <c r="AB214" s="861"/>
      <c r="AC214" s="861"/>
      <c r="AD214" s="861"/>
      <c r="AE214" s="861"/>
      <c r="AF214" s="861"/>
      <c r="AG214" s="861"/>
    </row>
    <row r="215" spans="1:33" ht="17.25" customHeight="1">
      <c r="A215" s="861"/>
      <c r="B215" s="861"/>
      <c r="C215" s="861"/>
      <c r="D215" s="861"/>
      <c r="E215" s="861"/>
      <c r="F215" s="861"/>
      <c r="G215" s="861"/>
      <c r="H215" s="861"/>
      <c r="I215" s="861"/>
      <c r="J215" s="861"/>
      <c r="K215" s="861"/>
      <c r="L215" s="861"/>
      <c r="M215" s="861"/>
      <c r="N215" s="861"/>
      <c r="O215" s="861"/>
      <c r="P215" s="861"/>
      <c r="Q215" s="861"/>
      <c r="R215" s="861"/>
      <c r="S215" s="861"/>
      <c r="T215" s="861"/>
      <c r="U215" s="861"/>
      <c r="V215" s="861"/>
      <c r="W215" s="861"/>
      <c r="X215" s="861"/>
      <c r="Y215" s="861"/>
      <c r="Z215" s="861"/>
      <c r="AA215" s="861"/>
      <c r="AB215" s="861"/>
      <c r="AC215" s="861"/>
      <c r="AD215" s="861"/>
      <c r="AE215" s="861"/>
      <c r="AF215" s="861"/>
      <c r="AG215" s="861"/>
    </row>
    <row r="216" spans="1:33" ht="17.25" customHeight="1">
      <c r="A216" s="861"/>
      <c r="B216" s="861"/>
      <c r="C216" s="861"/>
      <c r="D216" s="861"/>
      <c r="E216" s="861"/>
      <c r="F216" s="861"/>
      <c r="G216" s="861"/>
      <c r="H216" s="861"/>
      <c r="I216" s="861"/>
      <c r="J216" s="861"/>
      <c r="K216" s="861"/>
      <c r="L216" s="861"/>
      <c r="M216" s="861"/>
      <c r="N216" s="861"/>
      <c r="O216" s="861"/>
      <c r="P216" s="861"/>
      <c r="Q216" s="861"/>
      <c r="R216" s="861"/>
      <c r="S216" s="861"/>
      <c r="T216" s="861"/>
      <c r="U216" s="861"/>
      <c r="V216" s="861"/>
      <c r="W216" s="861"/>
      <c r="X216" s="861"/>
      <c r="Y216" s="861"/>
      <c r="Z216" s="861"/>
      <c r="AA216" s="861"/>
      <c r="AB216" s="861"/>
      <c r="AC216" s="861"/>
      <c r="AD216" s="861"/>
      <c r="AE216" s="861"/>
      <c r="AF216" s="861"/>
      <c r="AG216" s="861"/>
    </row>
    <row r="217" spans="1:33" ht="17.25" customHeight="1">
      <c r="A217" s="861"/>
      <c r="B217" s="861"/>
      <c r="C217" s="861"/>
      <c r="D217" s="861"/>
      <c r="E217" s="861"/>
      <c r="F217" s="861"/>
      <c r="G217" s="861"/>
      <c r="H217" s="861"/>
      <c r="I217" s="861"/>
      <c r="J217" s="861"/>
      <c r="K217" s="861"/>
      <c r="L217" s="861"/>
      <c r="M217" s="861"/>
      <c r="N217" s="861"/>
      <c r="O217" s="861"/>
      <c r="P217" s="861"/>
      <c r="Q217" s="861"/>
      <c r="R217" s="861"/>
      <c r="S217" s="861"/>
      <c r="T217" s="861"/>
      <c r="U217" s="861"/>
      <c r="V217" s="861"/>
      <c r="W217" s="861"/>
      <c r="X217" s="861"/>
      <c r="Y217" s="861"/>
      <c r="Z217" s="861"/>
      <c r="AA217" s="861"/>
      <c r="AB217" s="861"/>
      <c r="AC217" s="861"/>
      <c r="AD217" s="861"/>
      <c r="AE217" s="861"/>
      <c r="AF217" s="861"/>
      <c r="AG217" s="861"/>
    </row>
    <row r="218" spans="1:33" ht="17.25" customHeight="1">
      <c r="A218" s="861"/>
      <c r="B218" s="861"/>
      <c r="C218" s="861"/>
      <c r="D218" s="861"/>
      <c r="E218" s="861"/>
      <c r="F218" s="861"/>
      <c r="G218" s="861"/>
      <c r="H218" s="861"/>
      <c r="I218" s="861"/>
      <c r="J218" s="861"/>
      <c r="K218" s="861"/>
      <c r="L218" s="861"/>
      <c r="M218" s="861"/>
      <c r="N218" s="861"/>
      <c r="O218" s="861"/>
      <c r="P218" s="861"/>
      <c r="Q218" s="861"/>
      <c r="R218" s="861"/>
      <c r="S218" s="861"/>
      <c r="T218" s="861"/>
      <c r="U218" s="861"/>
      <c r="V218" s="861"/>
      <c r="W218" s="861"/>
      <c r="X218" s="861"/>
      <c r="Y218" s="861"/>
      <c r="Z218" s="861"/>
      <c r="AA218" s="861"/>
      <c r="AB218" s="861"/>
      <c r="AC218" s="861"/>
      <c r="AD218" s="861"/>
      <c r="AE218" s="861"/>
      <c r="AF218" s="861"/>
      <c r="AG218" s="861"/>
    </row>
    <row r="219" spans="1:33" ht="17.25" customHeight="1">
      <c r="A219" s="861"/>
      <c r="B219" s="861"/>
      <c r="C219" s="861"/>
      <c r="D219" s="861"/>
      <c r="E219" s="861"/>
      <c r="F219" s="861"/>
      <c r="G219" s="861"/>
      <c r="H219" s="861"/>
      <c r="I219" s="861"/>
      <c r="J219" s="861"/>
      <c r="K219" s="861"/>
      <c r="L219" s="861"/>
      <c r="M219" s="861"/>
      <c r="N219" s="861"/>
      <c r="O219" s="861"/>
      <c r="P219" s="861"/>
      <c r="Q219" s="861"/>
      <c r="R219" s="861"/>
      <c r="S219" s="861"/>
      <c r="T219" s="861"/>
      <c r="U219" s="861"/>
      <c r="V219" s="861"/>
      <c r="W219" s="861"/>
      <c r="X219" s="861"/>
      <c r="Y219" s="861"/>
      <c r="Z219" s="861"/>
      <c r="AA219" s="861"/>
      <c r="AB219" s="861"/>
      <c r="AC219" s="861"/>
      <c r="AD219" s="861"/>
      <c r="AE219" s="861"/>
      <c r="AF219" s="861"/>
      <c r="AG219" s="861"/>
    </row>
    <row r="220" spans="1:33" ht="17.25" customHeight="1">
      <c r="A220" s="861"/>
      <c r="B220" s="861"/>
      <c r="C220" s="861"/>
      <c r="D220" s="861"/>
      <c r="E220" s="861"/>
      <c r="F220" s="861"/>
      <c r="G220" s="861"/>
      <c r="H220" s="861"/>
      <c r="I220" s="861"/>
      <c r="J220" s="861"/>
      <c r="K220" s="861"/>
      <c r="L220" s="861"/>
      <c r="M220" s="861"/>
      <c r="N220" s="861"/>
      <c r="O220" s="861"/>
      <c r="P220" s="861"/>
      <c r="Q220" s="861"/>
      <c r="R220" s="861"/>
      <c r="S220" s="861"/>
      <c r="T220" s="861"/>
      <c r="U220" s="861"/>
      <c r="V220" s="861"/>
      <c r="W220" s="861"/>
      <c r="X220" s="861"/>
      <c r="Y220" s="861"/>
      <c r="Z220" s="861"/>
      <c r="AA220" s="861"/>
      <c r="AB220" s="861"/>
      <c r="AC220" s="861"/>
      <c r="AD220" s="861"/>
      <c r="AE220" s="861"/>
      <c r="AF220" s="861"/>
      <c r="AG220" s="861"/>
    </row>
    <row r="221" spans="1:33" ht="17.25" customHeight="1">
      <c r="A221" s="861"/>
      <c r="B221" s="861"/>
      <c r="C221" s="861"/>
      <c r="D221" s="861"/>
      <c r="E221" s="861"/>
      <c r="F221" s="861"/>
      <c r="G221" s="861"/>
      <c r="H221" s="861"/>
      <c r="I221" s="861"/>
      <c r="J221" s="861"/>
      <c r="K221" s="861"/>
      <c r="L221" s="861"/>
      <c r="M221" s="861"/>
      <c r="N221" s="861"/>
      <c r="O221" s="861"/>
      <c r="P221" s="861"/>
      <c r="Q221" s="861"/>
      <c r="R221" s="861"/>
      <c r="S221" s="861"/>
      <c r="T221" s="861"/>
      <c r="U221" s="861"/>
      <c r="V221" s="861"/>
      <c r="W221" s="861"/>
      <c r="X221" s="861"/>
      <c r="Y221" s="861"/>
      <c r="Z221" s="861"/>
      <c r="AA221" s="861"/>
      <c r="AB221" s="861"/>
      <c r="AC221" s="861"/>
      <c r="AD221" s="861"/>
      <c r="AE221" s="861"/>
      <c r="AF221" s="861"/>
      <c r="AG221" s="861"/>
    </row>
    <row r="222" spans="1:33" ht="17.25" customHeight="1">
      <c r="A222" s="861"/>
      <c r="B222" s="861"/>
      <c r="C222" s="861"/>
      <c r="D222" s="861"/>
      <c r="E222" s="861"/>
      <c r="F222" s="861"/>
      <c r="G222" s="861"/>
      <c r="H222" s="861"/>
      <c r="I222" s="861"/>
      <c r="J222" s="861"/>
      <c r="K222" s="861"/>
      <c r="L222" s="861"/>
      <c r="M222" s="861"/>
      <c r="N222" s="861"/>
      <c r="O222" s="861"/>
      <c r="P222" s="861"/>
      <c r="Q222" s="861"/>
      <c r="R222" s="861"/>
      <c r="S222" s="861"/>
      <c r="T222" s="861"/>
      <c r="U222" s="861"/>
      <c r="V222" s="861"/>
      <c r="W222" s="861"/>
      <c r="X222" s="861"/>
      <c r="Y222" s="861"/>
      <c r="Z222" s="861"/>
      <c r="AA222" s="861"/>
      <c r="AB222" s="861"/>
      <c r="AC222" s="861"/>
      <c r="AD222" s="861"/>
      <c r="AE222" s="861"/>
      <c r="AF222" s="861"/>
      <c r="AG222" s="861"/>
    </row>
    <row r="223" spans="1:33" ht="17.25" customHeight="1">
      <c r="A223" s="861"/>
      <c r="B223" s="861"/>
      <c r="C223" s="861"/>
      <c r="D223" s="861"/>
      <c r="E223" s="861"/>
      <c r="F223" s="861"/>
      <c r="G223" s="861"/>
      <c r="H223" s="861"/>
      <c r="I223" s="861"/>
      <c r="J223" s="861"/>
      <c r="K223" s="861"/>
      <c r="L223" s="861"/>
      <c r="M223" s="861"/>
      <c r="N223" s="861"/>
      <c r="O223" s="861"/>
      <c r="P223" s="861"/>
      <c r="Q223" s="861"/>
      <c r="R223" s="861"/>
      <c r="S223" s="861"/>
      <c r="T223" s="861"/>
      <c r="U223" s="861"/>
      <c r="V223" s="861"/>
      <c r="W223" s="861"/>
      <c r="X223" s="861"/>
      <c r="Y223" s="861"/>
      <c r="Z223" s="861"/>
      <c r="AA223" s="861"/>
      <c r="AB223" s="861"/>
      <c r="AC223" s="861"/>
      <c r="AD223" s="861"/>
      <c r="AE223" s="861"/>
      <c r="AF223" s="861"/>
      <c r="AG223" s="861"/>
    </row>
    <row r="224" spans="1:33" ht="17.25" customHeight="1">
      <c r="A224" s="861"/>
      <c r="B224" s="861"/>
      <c r="C224" s="861"/>
      <c r="D224" s="861"/>
      <c r="E224" s="861"/>
      <c r="F224" s="861"/>
      <c r="G224" s="861"/>
      <c r="H224" s="861"/>
      <c r="I224" s="861"/>
      <c r="J224" s="861"/>
      <c r="K224" s="861"/>
      <c r="L224" s="861"/>
      <c r="M224" s="861"/>
      <c r="N224" s="861"/>
      <c r="O224" s="861"/>
      <c r="P224" s="861"/>
      <c r="Q224" s="861"/>
      <c r="R224" s="861"/>
      <c r="S224" s="861"/>
      <c r="T224" s="861"/>
      <c r="U224" s="861"/>
      <c r="V224" s="861"/>
      <c r="W224" s="861"/>
      <c r="X224" s="861"/>
      <c r="Y224" s="861"/>
      <c r="Z224" s="861"/>
      <c r="AA224" s="861"/>
      <c r="AB224" s="861"/>
      <c r="AC224" s="861"/>
      <c r="AD224" s="861"/>
      <c r="AE224" s="861"/>
      <c r="AF224" s="861"/>
      <c r="AG224" s="861"/>
    </row>
    <row r="225" spans="1:33" ht="17.25" customHeight="1">
      <c r="A225" s="861"/>
      <c r="B225" s="861"/>
      <c r="C225" s="861"/>
      <c r="D225" s="861"/>
      <c r="E225" s="861"/>
      <c r="F225" s="861"/>
      <c r="G225" s="861"/>
      <c r="H225" s="861"/>
      <c r="I225" s="861"/>
      <c r="J225" s="861"/>
      <c r="K225" s="861"/>
      <c r="L225" s="861"/>
      <c r="M225" s="861"/>
      <c r="N225" s="861"/>
      <c r="O225" s="861"/>
      <c r="P225" s="861"/>
      <c r="Q225" s="861"/>
      <c r="R225" s="861"/>
      <c r="S225" s="861"/>
      <c r="T225" s="861"/>
      <c r="U225" s="861"/>
      <c r="V225" s="861"/>
      <c r="W225" s="861"/>
      <c r="X225" s="861"/>
      <c r="Y225" s="861"/>
      <c r="Z225" s="861"/>
      <c r="AA225" s="861"/>
      <c r="AB225" s="861"/>
      <c r="AC225" s="861"/>
      <c r="AD225" s="861"/>
      <c r="AE225" s="861"/>
      <c r="AF225" s="861"/>
      <c r="AG225" s="861"/>
    </row>
    <row r="226" spans="1:33" ht="17.25" customHeight="1">
      <c r="A226" s="861"/>
      <c r="B226" s="861"/>
      <c r="C226" s="861"/>
      <c r="D226" s="861"/>
      <c r="E226" s="861"/>
      <c r="F226" s="861"/>
      <c r="G226" s="861"/>
      <c r="H226" s="861"/>
      <c r="I226" s="861"/>
      <c r="J226" s="861"/>
      <c r="K226" s="861"/>
      <c r="L226" s="861"/>
      <c r="M226" s="861"/>
      <c r="N226" s="861"/>
      <c r="O226" s="861"/>
      <c r="P226" s="861"/>
      <c r="Q226" s="861"/>
      <c r="R226" s="861"/>
      <c r="S226" s="861"/>
      <c r="T226" s="861"/>
      <c r="U226" s="861"/>
      <c r="V226" s="861"/>
      <c r="W226" s="861"/>
      <c r="X226" s="861"/>
      <c r="Y226" s="861"/>
      <c r="Z226" s="861"/>
      <c r="AA226" s="861"/>
      <c r="AB226" s="861"/>
      <c r="AC226" s="861"/>
      <c r="AD226" s="861"/>
      <c r="AE226" s="861"/>
      <c r="AF226" s="861"/>
      <c r="AG226" s="861"/>
    </row>
    <row r="227" spans="1:33" ht="17.25" customHeight="1">
      <c r="A227" s="861"/>
      <c r="B227" s="861"/>
      <c r="C227" s="861"/>
      <c r="D227" s="861"/>
      <c r="E227" s="861"/>
      <c r="F227" s="861"/>
      <c r="G227" s="861"/>
      <c r="H227" s="861"/>
      <c r="I227" s="861"/>
      <c r="J227" s="861"/>
      <c r="K227" s="861"/>
      <c r="L227" s="861"/>
      <c r="M227" s="861"/>
      <c r="N227" s="861"/>
      <c r="O227" s="861"/>
      <c r="P227" s="861"/>
      <c r="Q227" s="861"/>
      <c r="R227" s="861"/>
      <c r="S227" s="861"/>
      <c r="T227" s="861"/>
      <c r="U227" s="861"/>
      <c r="V227" s="861"/>
      <c r="W227" s="861"/>
      <c r="X227" s="861"/>
      <c r="Y227" s="861"/>
      <c r="Z227" s="861"/>
      <c r="AA227" s="861"/>
      <c r="AB227" s="861"/>
      <c r="AC227" s="861"/>
      <c r="AD227" s="861"/>
      <c r="AE227" s="861"/>
      <c r="AF227" s="861"/>
      <c r="AG227" s="861"/>
    </row>
    <row r="228" spans="1:33" ht="17.25" customHeight="1">
      <c r="A228" s="861"/>
      <c r="B228" s="861"/>
      <c r="C228" s="861"/>
      <c r="D228" s="861"/>
      <c r="E228" s="861"/>
      <c r="F228" s="861"/>
      <c r="G228" s="861"/>
      <c r="H228" s="861"/>
      <c r="I228" s="861"/>
      <c r="J228" s="861"/>
      <c r="K228" s="861"/>
      <c r="L228" s="861"/>
      <c r="M228" s="861"/>
      <c r="N228" s="861"/>
      <c r="O228" s="861"/>
      <c r="P228" s="861"/>
      <c r="Q228" s="861"/>
      <c r="R228" s="861"/>
      <c r="S228" s="861"/>
      <c r="T228" s="861"/>
      <c r="U228" s="861"/>
      <c r="V228" s="861"/>
      <c r="W228" s="861"/>
      <c r="X228" s="861"/>
      <c r="Y228" s="861"/>
      <c r="Z228" s="861"/>
      <c r="AA228" s="861"/>
      <c r="AB228" s="861"/>
      <c r="AC228" s="861"/>
      <c r="AD228" s="861"/>
      <c r="AE228" s="861"/>
      <c r="AF228" s="861"/>
      <c r="AG228" s="861"/>
    </row>
    <row r="229" spans="1:33" ht="17.25" customHeight="1">
      <c r="A229" s="861"/>
      <c r="B229" s="861"/>
      <c r="C229" s="861"/>
      <c r="D229" s="861"/>
      <c r="E229" s="861"/>
      <c r="F229" s="861"/>
      <c r="G229" s="861"/>
      <c r="H229" s="861"/>
      <c r="I229" s="861"/>
      <c r="J229" s="861"/>
      <c r="K229" s="861"/>
      <c r="L229" s="861"/>
      <c r="M229" s="861"/>
      <c r="N229" s="861"/>
      <c r="O229" s="861"/>
      <c r="P229" s="861"/>
      <c r="Q229" s="861"/>
      <c r="R229" s="861"/>
      <c r="S229" s="861"/>
      <c r="T229" s="861"/>
      <c r="U229" s="861"/>
      <c r="V229" s="861"/>
      <c r="W229" s="861"/>
      <c r="X229" s="861"/>
      <c r="Y229" s="861"/>
      <c r="Z229" s="861"/>
      <c r="AA229" s="861"/>
      <c r="AB229" s="861"/>
      <c r="AC229" s="861"/>
      <c r="AD229" s="861"/>
      <c r="AE229" s="861"/>
      <c r="AF229" s="861"/>
      <c r="AG229" s="861"/>
    </row>
    <row r="230" spans="1:33" ht="17.25" customHeight="1">
      <c r="A230" s="861"/>
      <c r="B230" s="861"/>
      <c r="C230" s="861"/>
      <c r="D230" s="861"/>
      <c r="E230" s="861"/>
      <c r="F230" s="861"/>
      <c r="G230" s="861"/>
      <c r="H230" s="861"/>
      <c r="I230" s="861"/>
      <c r="J230" s="861"/>
      <c r="K230" s="861"/>
      <c r="L230" s="861"/>
      <c r="M230" s="861"/>
      <c r="N230" s="861"/>
      <c r="O230" s="861"/>
      <c r="P230" s="861"/>
      <c r="Q230" s="861"/>
      <c r="R230" s="861"/>
      <c r="S230" s="861"/>
      <c r="T230" s="861"/>
      <c r="U230" s="861"/>
      <c r="V230" s="861"/>
      <c r="W230" s="861"/>
      <c r="X230" s="861"/>
      <c r="Y230" s="861"/>
      <c r="Z230" s="861"/>
      <c r="AA230" s="861"/>
      <c r="AB230" s="861"/>
      <c r="AC230" s="861"/>
      <c r="AD230" s="861"/>
      <c r="AE230" s="861"/>
      <c r="AF230" s="861"/>
      <c r="AG230" s="861"/>
    </row>
    <row r="231" spans="1:33" ht="17.25" customHeight="1">
      <c r="A231" s="861"/>
      <c r="B231" s="861"/>
      <c r="C231" s="861"/>
      <c r="D231" s="861"/>
      <c r="E231" s="861"/>
      <c r="F231" s="861"/>
      <c r="G231" s="861"/>
      <c r="H231" s="861"/>
      <c r="I231" s="861"/>
      <c r="J231" s="861"/>
      <c r="K231" s="861"/>
      <c r="L231" s="861"/>
      <c r="M231" s="861"/>
      <c r="N231" s="861"/>
      <c r="O231" s="861"/>
      <c r="P231" s="861"/>
      <c r="Q231" s="861"/>
      <c r="R231" s="861"/>
      <c r="S231" s="861"/>
      <c r="T231" s="861"/>
      <c r="U231" s="861"/>
      <c r="V231" s="861"/>
      <c r="W231" s="861"/>
      <c r="X231" s="861"/>
      <c r="Y231" s="861"/>
      <c r="Z231" s="861"/>
      <c r="AA231" s="861"/>
      <c r="AB231" s="861"/>
      <c r="AC231" s="861"/>
      <c r="AD231" s="861"/>
      <c r="AE231" s="861"/>
      <c r="AF231" s="861"/>
      <c r="AG231" s="861"/>
    </row>
    <row r="232" spans="1:33" ht="17.25" customHeight="1">
      <c r="A232" s="861"/>
      <c r="B232" s="861"/>
      <c r="C232" s="861"/>
      <c r="D232" s="861"/>
      <c r="E232" s="861"/>
      <c r="F232" s="861"/>
      <c r="G232" s="861"/>
      <c r="H232" s="861"/>
      <c r="I232" s="861"/>
      <c r="J232" s="861"/>
      <c r="K232" s="861"/>
      <c r="L232" s="861"/>
      <c r="M232" s="861"/>
      <c r="N232" s="861"/>
      <c r="O232" s="861"/>
      <c r="P232" s="861"/>
      <c r="Q232" s="861"/>
      <c r="R232" s="861"/>
      <c r="S232" s="861"/>
      <c r="T232" s="861"/>
      <c r="U232" s="861"/>
      <c r="V232" s="861"/>
      <c r="W232" s="861"/>
      <c r="X232" s="861"/>
      <c r="Y232" s="861"/>
      <c r="Z232" s="861"/>
      <c r="AA232" s="861"/>
      <c r="AB232" s="861"/>
      <c r="AC232" s="861"/>
      <c r="AD232" s="861"/>
      <c r="AE232" s="861"/>
      <c r="AF232" s="861"/>
      <c r="AG232" s="861"/>
    </row>
    <row r="233" spans="1:33" ht="17.25" customHeight="1">
      <c r="A233" s="861"/>
      <c r="B233" s="861"/>
      <c r="C233" s="861"/>
      <c r="D233" s="861"/>
      <c r="E233" s="861"/>
      <c r="F233" s="861"/>
      <c r="G233" s="861"/>
      <c r="H233" s="861"/>
      <c r="I233" s="861"/>
      <c r="J233" s="861"/>
      <c r="K233" s="861"/>
      <c r="L233" s="861"/>
      <c r="M233" s="861"/>
      <c r="N233" s="861"/>
      <c r="O233" s="861"/>
      <c r="P233" s="861"/>
      <c r="Q233" s="861"/>
      <c r="R233" s="861"/>
      <c r="S233" s="861"/>
      <c r="T233" s="861"/>
      <c r="U233" s="861"/>
      <c r="V233" s="861"/>
      <c r="W233" s="861"/>
      <c r="X233" s="861"/>
      <c r="Y233" s="861"/>
      <c r="Z233" s="861"/>
      <c r="AA233" s="861"/>
      <c r="AB233" s="861"/>
      <c r="AC233" s="861"/>
      <c r="AD233" s="861"/>
      <c r="AE233" s="861"/>
      <c r="AF233" s="861"/>
      <c r="AG233" s="861"/>
    </row>
    <row r="234" spans="1:33" ht="17.25" customHeight="1">
      <c r="A234" s="861"/>
      <c r="B234" s="861"/>
      <c r="C234" s="861"/>
      <c r="D234" s="861"/>
      <c r="E234" s="861"/>
      <c r="F234" s="861"/>
      <c r="G234" s="861"/>
      <c r="H234" s="861"/>
      <c r="I234" s="861"/>
      <c r="J234" s="861"/>
      <c r="K234" s="861"/>
      <c r="L234" s="861"/>
      <c r="M234" s="861"/>
      <c r="N234" s="861"/>
      <c r="O234" s="861"/>
      <c r="P234" s="861"/>
      <c r="Q234" s="861"/>
      <c r="R234" s="861"/>
      <c r="S234" s="861"/>
      <c r="T234" s="861"/>
      <c r="U234" s="861"/>
      <c r="V234" s="861"/>
      <c r="W234" s="861"/>
      <c r="X234" s="861"/>
      <c r="Y234" s="861"/>
      <c r="Z234" s="861"/>
      <c r="AA234" s="861"/>
      <c r="AB234" s="861"/>
      <c r="AC234" s="861"/>
      <c r="AD234" s="861"/>
      <c r="AE234" s="861"/>
      <c r="AF234" s="861"/>
      <c r="AG234" s="861"/>
    </row>
    <row r="235" spans="1:33" ht="17.25" customHeight="1">
      <c r="A235" s="861"/>
      <c r="B235" s="861"/>
      <c r="C235" s="861"/>
      <c r="D235" s="861"/>
      <c r="E235" s="861"/>
      <c r="F235" s="861"/>
      <c r="G235" s="861"/>
      <c r="H235" s="861"/>
      <c r="I235" s="861"/>
      <c r="J235" s="861"/>
      <c r="K235" s="861"/>
      <c r="L235" s="861"/>
      <c r="M235" s="861"/>
      <c r="N235" s="861"/>
      <c r="O235" s="861"/>
      <c r="P235" s="861"/>
      <c r="Q235" s="861"/>
      <c r="R235" s="861"/>
      <c r="S235" s="861"/>
      <c r="T235" s="861"/>
      <c r="U235" s="861"/>
      <c r="V235" s="861"/>
      <c r="W235" s="861"/>
      <c r="X235" s="861"/>
      <c r="Y235" s="861"/>
      <c r="Z235" s="861"/>
      <c r="AA235" s="861"/>
      <c r="AB235" s="861"/>
      <c r="AC235" s="861"/>
      <c r="AD235" s="861"/>
      <c r="AE235" s="861"/>
      <c r="AF235" s="861"/>
      <c r="AG235" s="861"/>
    </row>
    <row r="236" spans="1:33" ht="17.25" customHeight="1">
      <c r="A236" s="861"/>
      <c r="B236" s="861"/>
      <c r="C236" s="861"/>
      <c r="D236" s="861"/>
      <c r="E236" s="861"/>
      <c r="F236" s="861"/>
      <c r="G236" s="861"/>
      <c r="H236" s="861"/>
      <c r="I236" s="861"/>
      <c r="J236" s="861"/>
      <c r="K236" s="861"/>
      <c r="L236" s="861"/>
      <c r="M236" s="861"/>
      <c r="N236" s="861"/>
      <c r="O236" s="861"/>
      <c r="P236" s="861"/>
      <c r="Q236" s="861"/>
      <c r="R236" s="861"/>
      <c r="S236" s="861"/>
      <c r="T236" s="861"/>
      <c r="U236" s="861"/>
      <c r="V236" s="861"/>
      <c r="W236" s="861"/>
      <c r="X236" s="861"/>
      <c r="Y236" s="861"/>
      <c r="Z236" s="861"/>
      <c r="AA236" s="861"/>
      <c r="AB236" s="861"/>
      <c r="AC236" s="861"/>
      <c r="AD236" s="861"/>
      <c r="AE236" s="861"/>
      <c r="AF236" s="861"/>
      <c r="AG236" s="861"/>
    </row>
    <row r="237" spans="1:33" ht="17.25" customHeight="1">
      <c r="A237" s="861"/>
      <c r="B237" s="861"/>
      <c r="C237" s="861"/>
      <c r="D237" s="861"/>
      <c r="E237" s="861"/>
      <c r="F237" s="861"/>
      <c r="G237" s="861"/>
      <c r="H237" s="861"/>
      <c r="I237" s="861"/>
      <c r="J237" s="861"/>
      <c r="K237" s="861"/>
      <c r="L237" s="861"/>
      <c r="M237" s="861"/>
      <c r="N237" s="861"/>
      <c r="O237" s="861"/>
      <c r="P237" s="861"/>
      <c r="Q237" s="861"/>
      <c r="R237" s="861"/>
      <c r="S237" s="861"/>
      <c r="T237" s="861"/>
      <c r="U237" s="861"/>
      <c r="V237" s="861"/>
      <c r="W237" s="861"/>
      <c r="X237" s="861"/>
      <c r="Y237" s="861"/>
      <c r="Z237" s="861"/>
      <c r="AA237" s="861"/>
      <c r="AB237" s="861"/>
      <c r="AC237" s="861"/>
      <c r="AD237" s="861"/>
      <c r="AE237" s="861"/>
      <c r="AF237" s="861"/>
      <c r="AG237" s="861"/>
    </row>
    <row r="238" spans="1:33" ht="17.25" customHeight="1">
      <c r="A238" s="861"/>
      <c r="B238" s="861"/>
      <c r="C238" s="861"/>
      <c r="D238" s="861"/>
      <c r="E238" s="861"/>
      <c r="F238" s="861"/>
      <c r="G238" s="861"/>
      <c r="H238" s="861"/>
      <c r="I238" s="861"/>
      <c r="J238" s="861"/>
      <c r="K238" s="861"/>
      <c r="L238" s="861"/>
      <c r="M238" s="861"/>
      <c r="N238" s="861"/>
      <c r="O238" s="861"/>
      <c r="P238" s="861"/>
      <c r="Q238" s="861"/>
      <c r="R238" s="861"/>
      <c r="S238" s="861"/>
      <c r="T238" s="861"/>
      <c r="U238" s="861"/>
      <c r="V238" s="861"/>
      <c r="W238" s="861"/>
      <c r="X238" s="861"/>
      <c r="Y238" s="861"/>
      <c r="Z238" s="861"/>
      <c r="AA238" s="861"/>
      <c r="AB238" s="861"/>
      <c r="AC238" s="861"/>
      <c r="AD238" s="861"/>
      <c r="AE238" s="861"/>
      <c r="AF238" s="861"/>
      <c r="AG238" s="861"/>
    </row>
    <row r="239" spans="1:33" ht="17.25" customHeight="1">
      <c r="A239" s="861"/>
      <c r="B239" s="861"/>
      <c r="C239" s="861"/>
      <c r="D239" s="861"/>
      <c r="E239" s="861"/>
      <c r="F239" s="861"/>
      <c r="G239" s="861"/>
      <c r="H239" s="861"/>
      <c r="I239" s="861"/>
      <c r="J239" s="861"/>
      <c r="K239" s="861"/>
      <c r="L239" s="861"/>
      <c r="M239" s="861"/>
      <c r="N239" s="861"/>
      <c r="O239" s="861"/>
      <c r="P239" s="861"/>
      <c r="Q239" s="861"/>
      <c r="R239" s="861"/>
      <c r="S239" s="861"/>
      <c r="T239" s="861"/>
      <c r="U239" s="861"/>
      <c r="V239" s="861"/>
      <c r="W239" s="861"/>
      <c r="X239" s="861"/>
      <c r="Y239" s="861"/>
      <c r="Z239" s="861"/>
      <c r="AA239" s="861"/>
      <c r="AB239" s="861"/>
      <c r="AC239" s="861"/>
      <c r="AD239" s="861"/>
      <c r="AE239" s="861"/>
      <c r="AF239" s="861"/>
      <c r="AG239" s="861"/>
    </row>
    <row r="240" spans="1:33" ht="17.25" customHeight="1">
      <c r="A240" s="861"/>
      <c r="B240" s="861"/>
      <c r="C240" s="861"/>
      <c r="D240" s="861"/>
      <c r="E240" s="861"/>
      <c r="F240" s="861"/>
      <c r="G240" s="861"/>
      <c r="H240" s="861"/>
      <c r="I240" s="861"/>
      <c r="J240" s="861"/>
      <c r="K240" s="861"/>
      <c r="L240" s="861"/>
      <c r="M240" s="861"/>
      <c r="N240" s="861"/>
      <c r="O240" s="861"/>
      <c r="P240" s="861"/>
      <c r="Q240" s="861"/>
      <c r="R240" s="861"/>
      <c r="S240" s="861"/>
      <c r="T240" s="861"/>
      <c r="U240" s="861"/>
      <c r="V240" s="861"/>
      <c r="W240" s="861"/>
      <c r="X240" s="861"/>
      <c r="Y240" s="861"/>
      <c r="Z240" s="861"/>
      <c r="AA240" s="861"/>
      <c r="AB240" s="861"/>
      <c r="AC240" s="861"/>
      <c r="AD240" s="861"/>
      <c r="AE240" s="861"/>
      <c r="AF240" s="861"/>
      <c r="AG240" s="861"/>
    </row>
    <row r="241" spans="1:33" ht="17.25" customHeight="1">
      <c r="A241" s="861"/>
      <c r="B241" s="861"/>
      <c r="C241" s="861"/>
      <c r="D241" s="861"/>
      <c r="E241" s="861"/>
      <c r="F241" s="861"/>
      <c r="G241" s="861"/>
      <c r="H241" s="861"/>
      <c r="I241" s="861"/>
      <c r="J241" s="861"/>
      <c r="K241" s="861"/>
      <c r="L241" s="861"/>
      <c r="M241" s="861"/>
      <c r="N241" s="861"/>
      <c r="O241" s="861"/>
      <c r="P241" s="861"/>
      <c r="Q241" s="861"/>
      <c r="R241" s="861"/>
      <c r="S241" s="861"/>
      <c r="T241" s="861"/>
      <c r="U241" s="861"/>
      <c r="V241" s="861"/>
      <c r="W241" s="861"/>
      <c r="X241" s="861"/>
      <c r="Y241" s="861"/>
      <c r="Z241" s="861"/>
      <c r="AA241" s="861"/>
      <c r="AB241" s="861"/>
      <c r="AC241" s="861"/>
      <c r="AD241" s="861"/>
      <c r="AE241" s="861"/>
      <c r="AF241" s="861"/>
      <c r="AG241" s="861"/>
    </row>
    <row r="242" spans="1:33" ht="17.25" customHeight="1">
      <c r="A242" s="861"/>
      <c r="B242" s="861"/>
      <c r="C242" s="861"/>
      <c r="D242" s="861"/>
      <c r="E242" s="861"/>
      <c r="F242" s="861"/>
      <c r="G242" s="861"/>
      <c r="H242" s="861"/>
      <c r="I242" s="861"/>
      <c r="J242" s="861"/>
      <c r="K242" s="861"/>
      <c r="L242" s="861"/>
      <c r="M242" s="861"/>
      <c r="N242" s="861"/>
      <c r="O242" s="861"/>
      <c r="P242" s="861"/>
      <c r="Q242" s="861"/>
      <c r="R242" s="861"/>
      <c r="S242" s="861"/>
      <c r="T242" s="861"/>
      <c r="U242" s="861"/>
      <c r="V242" s="861"/>
      <c r="W242" s="861"/>
      <c r="X242" s="861"/>
      <c r="Y242" s="861"/>
      <c r="Z242" s="861"/>
      <c r="AA242" s="861"/>
      <c r="AB242" s="861"/>
      <c r="AC242" s="861"/>
      <c r="AD242" s="861"/>
      <c r="AE242" s="861"/>
      <c r="AF242" s="861"/>
      <c r="AG242" s="861"/>
    </row>
    <row r="243" spans="1:33" ht="17.25" customHeight="1">
      <c r="A243" s="861"/>
      <c r="B243" s="861"/>
      <c r="C243" s="861"/>
      <c r="D243" s="861"/>
      <c r="E243" s="861"/>
      <c r="F243" s="861"/>
      <c r="G243" s="861"/>
      <c r="H243" s="861"/>
      <c r="I243" s="861"/>
      <c r="J243" s="861"/>
      <c r="K243" s="861"/>
      <c r="L243" s="861"/>
      <c r="M243" s="861"/>
      <c r="N243" s="861"/>
      <c r="O243" s="861"/>
      <c r="P243" s="861"/>
      <c r="Q243" s="861"/>
      <c r="R243" s="861"/>
      <c r="S243" s="861"/>
      <c r="T243" s="861"/>
      <c r="U243" s="861"/>
      <c r="V243" s="861"/>
      <c r="W243" s="861"/>
      <c r="X243" s="861"/>
      <c r="Y243" s="861"/>
      <c r="Z243" s="861"/>
      <c r="AA243" s="861"/>
      <c r="AB243" s="861"/>
      <c r="AC243" s="861"/>
      <c r="AD243" s="861"/>
      <c r="AE243" s="861"/>
      <c r="AF243" s="861"/>
      <c r="AG243" s="861"/>
    </row>
    <row r="244" spans="1:33" ht="17.25" customHeight="1">
      <c r="A244" s="861"/>
      <c r="B244" s="861"/>
      <c r="C244" s="861"/>
      <c r="D244" s="861"/>
      <c r="E244" s="861"/>
      <c r="F244" s="861"/>
      <c r="G244" s="861"/>
      <c r="H244" s="861"/>
      <c r="I244" s="861"/>
      <c r="J244" s="861"/>
      <c r="K244" s="861"/>
      <c r="L244" s="861"/>
      <c r="M244" s="861"/>
      <c r="N244" s="861"/>
      <c r="O244" s="861"/>
      <c r="P244" s="861"/>
      <c r="Q244" s="861"/>
      <c r="R244" s="861"/>
      <c r="S244" s="861"/>
      <c r="T244" s="861"/>
      <c r="U244" s="861"/>
      <c r="V244" s="861"/>
      <c r="W244" s="861"/>
      <c r="X244" s="861"/>
      <c r="Y244" s="861"/>
      <c r="Z244" s="861"/>
      <c r="AA244" s="861"/>
      <c r="AB244" s="861"/>
      <c r="AC244" s="861"/>
      <c r="AD244" s="861"/>
      <c r="AE244" s="861"/>
      <c r="AF244" s="861"/>
      <c r="AG244" s="861"/>
    </row>
    <row r="245" spans="1:33" ht="17.25" customHeight="1">
      <c r="A245" s="861"/>
      <c r="B245" s="861"/>
      <c r="C245" s="861"/>
      <c r="D245" s="861"/>
      <c r="E245" s="861"/>
      <c r="F245" s="861"/>
      <c r="G245" s="861"/>
      <c r="H245" s="861"/>
      <c r="I245" s="861"/>
      <c r="J245" s="861"/>
      <c r="K245" s="861"/>
      <c r="L245" s="861"/>
      <c r="M245" s="861"/>
      <c r="N245" s="861"/>
      <c r="O245" s="861"/>
      <c r="P245" s="861"/>
      <c r="Q245" s="861"/>
      <c r="R245" s="861"/>
      <c r="S245" s="861"/>
      <c r="T245" s="861"/>
      <c r="U245" s="861"/>
      <c r="V245" s="861"/>
      <c r="W245" s="861"/>
      <c r="X245" s="861"/>
      <c r="Y245" s="861"/>
      <c r="Z245" s="861"/>
      <c r="AA245" s="861"/>
      <c r="AB245" s="861"/>
      <c r="AC245" s="861"/>
      <c r="AD245" s="861"/>
      <c r="AE245" s="861"/>
      <c r="AF245" s="861"/>
      <c r="AG245" s="861"/>
    </row>
    <row r="246" spans="1:33" ht="17.25" customHeight="1">
      <c r="A246" s="861"/>
      <c r="B246" s="861"/>
      <c r="C246" s="861"/>
      <c r="D246" s="861"/>
      <c r="E246" s="861"/>
      <c r="F246" s="861"/>
      <c r="G246" s="861"/>
      <c r="H246" s="861"/>
      <c r="I246" s="861"/>
      <c r="J246" s="861"/>
      <c r="K246" s="861"/>
      <c r="L246" s="861"/>
      <c r="M246" s="861"/>
      <c r="N246" s="861"/>
      <c r="O246" s="861"/>
      <c r="P246" s="861"/>
      <c r="Q246" s="861"/>
      <c r="R246" s="861"/>
      <c r="S246" s="861"/>
      <c r="T246" s="861"/>
      <c r="U246" s="861"/>
      <c r="V246" s="861"/>
      <c r="W246" s="861"/>
      <c r="X246" s="861"/>
      <c r="Y246" s="861"/>
      <c r="Z246" s="861"/>
      <c r="AA246" s="861"/>
      <c r="AB246" s="861"/>
      <c r="AC246" s="861"/>
      <c r="AD246" s="861"/>
      <c r="AE246" s="861"/>
      <c r="AF246" s="861"/>
      <c r="AG246" s="861"/>
    </row>
    <row r="247" spans="1:33" ht="17.25" customHeight="1">
      <c r="A247" s="861"/>
      <c r="B247" s="861"/>
      <c r="C247" s="861"/>
      <c r="D247" s="861"/>
      <c r="E247" s="861"/>
      <c r="F247" s="861"/>
      <c r="G247" s="861"/>
      <c r="H247" s="861"/>
      <c r="I247" s="861"/>
      <c r="J247" s="861"/>
      <c r="K247" s="861"/>
      <c r="L247" s="861"/>
      <c r="M247" s="861"/>
      <c r="N247" s="861"/>
      <c r="O247" s="861"/>
      <c r="P247" s="861"/>
      <c r="Q247" s="861"/>
      <c r="R247" s="861"/>
      <c r="S247" s="861"/>
      <c r="T247" s="861"/>
      <c r="U247" s="861"/>
      <c r="V247" s="861"/>
      <c r="W247" s="861"/>
      <c r="X247" s="861"/>
      <c r="Y247" s="861"/>
      <c r="Z247" s="861"/>
      <c r="AA247" s="861"/>
      <c r="AB247" s="861"/>
      <c r="AC247" s="861"/>
      <c r="AD247" s="861"/>
      <c r="AE247" s="861"/>
      <c r="AF247" s="861"/>
      <c r="AG247" s="861"/>
    </row>
    <row r="248" spans="1:33" ht="17.25" customHeight="1">
      <c r="A248" s="861"/>
      <c r="B248" s="861"/>
      <c r="C248" s="861"/>
      <c r="D248" s="861"/>
      <c r="E248" s="861"/>
      <c r="F248" s="861"/>
      <c r="G248" s="861"/>
      <c r="H248" s="861"/>
      <c r="I248" s="861"/>
      <c r="J248" s="861"/>
      <c r="K248" s="861"/>
      <c r="L248" s="861"/>
      <c r="M248" s="861"/>
      <c r="N248" s="861"/>
      <c r="O248" s="861"/>
      <c r="P248" s="861"/>
      <c r="Q248" s="861"/>
      <c r="R248" s="861"/>
      <c r="S248" s="861"/>
      <c r="T248" s="861"/>
      <c r="U248" s="861"/>
      <c r="V248" s="861"/>
      <c r="W248" s="861"/>
      <c r="X248" s="861"/>
      <c r="Y248" s="861"/>
      <c r="Z248" s="861"/>
      <c r="AA248" s="861"/>
      <c r="AB248" s="861"/>
      <c r="AC248" s="861"/>
      <c r="AD248" s="861"/>
      <c r="AE248" s="861"/>
      <c r="AF248" s="861"/>
      <c r="AG248" s="861"/>
    </row>
    <row r="249" spans="1:33" ht="17.25" customHeight="1">
      <c r="A249" s="861"/>
      <c r="B249" s="861"/>
      <c r="C249" s="861"/>
      <c r="D249" s="861"/>
      <c r="E249" s="861"/>
      <c r="F249" s="861"/>
      <c r="G249" s="861"/>
      <c r="H249" s="861"/>
      <c r="I249" s="861"/>
      <c r="J249" s="861"/>
      <c r="K249" s="861"/>
      <c r="L249" s="861"/>
      <c r="M249" s="861"/>
      <c r="N249" s="861"/>
      <c r="O249" s="861"/>
      <c r="P249" s="861"/>
      <c r="Q249" s="861"/>
      <c r="R249" s="861"/>
      <c r="S249" s="861"/>
      <c r="T249" s="861"/>
      <c r="U249" s="861"/>
      <c r="V249" s="861"/>
      <c r="W249" s="861"/>
      <c r="X249" s="861"/>
      <c r="Y249" s="861"/>
      <c r="Z249" s="861"/>
      <c r="AA249" s="861"/>
      <c r="AB249" s="861"/>
      <c r="AC249" s="861"/>
      <c r="AD249" s="861"/>
      <c r="AE249" s="861"/>
      <c r="AF249" s="861"/>
      <c r="AG249" s="861"/>
    </row>
    <row r="250" spans="1:33" ht="17.25" customHeight="1">
      <c r="A250" s="861"/>
      <c r="B250" s="861"/>
      <c r="C250" s="861"/>
      <c r="D250" s="861"/>
      <c r="E250" s="861"/>
      <c r="F250" s="861"/>
      <c r="G250" s="861"/>
      <c r="H250" s="861"/>
      <c r="I250" s="861"/>
      <c r="J250" s="861"/>
      <c r="K250" s="861"/>
      <c r="L250" s="861"/>
      <c r="M250" s="861"/>
      <c r="N250" s="861"/>
      <c r="O250" s="861"/>
      <c r="P250" s="861"/>
      <c r="Q250" s="861"/>
      <c r="R250" s="861"/>
      <c r="S250" s="861"/>
      <c r="T250" s="861"/>
      <c r="U250" s="861"/>
      <c r="V250" s="861"/>
      <c r="W250" s="861"/>
      <c r="X250" s="861"/>
      <c r="Y250" s="861"/>
      <c r="Z250" s="861"/>
      <c r="AA250" s="861"/>
      <c r="AB250" s="861"/>
      <c r="AC250" s="861"/>
      <c r="AD250" s="861"/>
      <c r="AE250" s="861"/>
      <c r="AF250" s="861"/>
      <c r="AG250" s="861"/>
    </row>
    <row r="251" spans="1:33" ht="17.25" customHeight="1">
      <c r="A251" s="861"/>
      <c r="B251" s="861"/>
      <c r="C251" s="861"/>
      <c r="D251" s="861"/>
      <c r="E251" s="861"/>
      <c r="F251" s="861"/>
      <c r="G251" s="861"/>
      <c r="H251" s="861"/>
      <c r="I251" s="861"/>
      <c r="J251" s="861"/>
      <c r="K251" s="861"/>
      <c r="L251" s="861"/>
      <c r="M251" s="861"/>
      <c r="N251" s="861"/>
      <c r="O251" s="861"/>
      <c r="P251" s="861"/>
      <c r="Q251" s="861"/>
      <c r="R251" s="861"/>
      <c r="S251" s="861"/>
      <c r="T251" s="861"/>
      <c r="U251" s="861"/>
      <c r="V251" s="861"/>
      <c r="W251" s="861"/>
      <c r="X251" s="861"/>
      <c r="Y251" s="861"/>
      <c r="Z251" s="861"/>
      <c r="AA251" s="861"/>
      <c r="AB251" s="861"/>
      <c r="AC251" s="861"/>
      <c r="AD251" s="861"/>
      <c r="AE251" s="861"/>
      <c r="AF251" s="861"/>
      <c r="AG251" s="861"/>
    </row>
    <row r="252" spans="1:33" ht="17.25" customHeight="1">
      <c r="A252" s="861"/>
      <c r="B252" s="861"/>
      <c r="C252" s="861"/>
      <c r="D252" s="861"/>
      <c r="E252" s="861"/>
      <c r="F252" s="861"/>
      <c r="G252" s="861"/>
      <c r="H252" s="861"/>
      <c r="I252" s="861"/>
      <c r="J252" s="861"/>
      <c r="K252" s="861"/>
      <c r="L252" s="861"/>
      <c r="M252" s="861"/>
      <c r="N252" s="861"/>
      <c r="O252" s="861"/>
      <c r="P252" s="861"/>
      <c r="Q252" s="861"/>
      <c r="R252" s="861"/>
      <c r="S252" s="861"/>
      <c r="T252" s="861"/>
      <c r="U252" s="861"/>
      <c r="V252" s="861"/>
      <c r="W252" s="861"/>
      <c r="X252" s="861"/>
      <c r="Y252" s="861"/>
      <c r="Z252" s="861"/>
      <c r="AA252" s="861"/>
      <c r="AB252" s="861"/>
      <c r="AC252" s="861"/>
      <c r="AD252" s="861"/>
      <c r="AE252" s="861"/>
      <c r="AF252" s="861"/>
      <c r="AG252" s="861"/>
    </row>
    <row r="253" spans="1:33" ht="17.25" customHeight="1">
      <c r="A253" s="861"/>
      <c r="B253" s="861"/>
      <c r="C253" s="861"/>
      <c r="D253" s="861"/>
      <c r="E253" s="861"/>
      <c r="F253" s="861"/>
      <c r="G253" s="861"/>
      <c r="H253" s="861"/>
      <c r="I253" s="861"/>
      <c r="J253" s="861"/>
      <c r="K253" s="861"/>
      <c r="L253" s="861"/>
      <c r="M253" s="861"/>
      <c r="N253" s="861"/>
      <c r="O253" s="861"/>
      <c r="P253" s="861"/>
      <c r="Q253" s="861"/>
      <c r="R253" s="861"/>
      <c r="S253" s="861"/>
      <c r="T253" s="861"/>
      <c r="U253" s="861"/>
      <c r="V253" s="861"/>
      <c r="W253" s="861"/>
      <c r="X253" s="861"/>
      <c r="Y253" s="861"/>
      <c r="Z253" s="861"/>
      <c r="AA253" s="861"/>
      <c r="AB253" s="861"/>
      <c r="AC253" s="861"/>
      <c r="AD253" s="861"/>
      <c r="AE253" s="861"/>
      <c r="AF253" s="861"/>
      <c r="AG253" s="861"/>
    </row>
    <row r="254" spans="1:33" ht="17.25" customHeight="1">
      <c r="A254" s="861"/>
      <c r="B254" s="861"/>
      <c r="C254" s="861"/>
      <c r="D254" s="861"/>
      <c r="E254" s="861"/>
      <c r="F254" s="861"/>
      <c r="G254" s="861"/>
      <c r="H254" s="861"/>
      <c r="I254" s="861"/>
      <c r="J254" s="861"/>
      <c r="K254" s="861"/>
      <c r="L254" s="861"/>
      <c r="M254" s="861"/>
      <c r="N254" s="861"/>
      <c r="O254" s="861"/>
      <c r="P254" s="861"/>
      <c r="Q254" s="861"/>
      <c r="R254" s="861"/>
      <c r="S254" s="861"/>
      <c r="T254" s="861"/>
      <c r="U254" s="861"/>
      <c r="V254" s="861"/>
      <c r="W254" s="861"/>
      <c r="X254" s="861"/>
      <c r="Y254" s="861"/>
      <c r="Z254" s="861"/>
      <c r="AA254" s="861"/>
      <c r="AB254" s="861"/>
      <c r="AC254" s="861"/>
      <c r="AD254" s="861"/>
      <c r="AE254" s="861"/>
      <c r="AF254" s="861"/>
      <c r="AG254" s="861"/>
    </row>
    <row r="255" spans="1:33" ht="17.25" customHeight="1">
      <c r="A255" s="861"/>
      <c r="B255" s="861"/>
      <c r="C255" s="861"/>
      <c r="D255" s="861"/>
      <c r="E255" s="861"/>
      <c r="F255" s="861"/>
      <c r="G255" s="861"/>
      <c r="H255" s="861"/>
      <c r="I255" s="861"/>
      <c r="J255" s="861"/>
      <c r="K255" s="861"/>
      <c r="L255" s="861"/>
      <c r="M255" s="861"/>
      <c r="N255" s="861"/>
      <c r="O255" s="861"/>
      <c r="P255" s="861"/>
      <c r="Q255" s="861"/>
      <c r="R255" s="861"/>
      <c r="S255" s="861"/>
      <c r="T255" s="861"/>
      <c r="U255" s="861"/>
      <c r="V255" s="861"/>
      <c r="W255" s="861"/>
      <c r="X255" s="861"/>
      <c r="Y255" s="861"/>
      <c r="Z255" s="861"/>
      <c r="AA255" s="861"/>
      <c r="AB255" s="861"/>
      <c r="AC255" s="861"/>
      <c r="AD255" s="861"/>
      <c r="AE255" s="861"/>
      <c r="AF255" s="861"/>
      <c r="AG255" s="861"/>
    </row>
    <row r="256" spans="1:33" ht="17.25" customHeight="1">
      <c r="A256" s="861"/>
      <c r="B256" s="861"/>
      <c r="C256" s="861"/>
      <c r="D256" s="861"/>
      <c r="E256" s="861"/>
      <c r="F256" s="861"/>
      <c r="G256" s="861"/>
      <c r="H256" s="861"/>
      <c r="I256" s="861"/>
      <c r="J256" s="861"/>
      <c r="K256" s="861"/>
      <c r="L256" s="861"/>
      <c r="M256" s="861"/>
      <c r="N256" s="861"/>
      <c r="O256" s="861"/>
      <c r="P256" s="861"/>
      <c r="Q256" s="861"/>
      <c r="R256" s="861"/>
      <c r="S256" s="861"/>
      <c r="T256" s="861"/>
      <c r="U256" s="861"/>
      <c r="V256" s="861"/>
      <c r="W256" s="861"/>
      <c r="X256" s="861"/>
      <c r="Y256" s="861"/>
      <c r="Z256" s="861"/>
      <c r="AA256" s="861"/>
      <c r="AB256" s="861"/>
      <c r="AC256" s="861"/>
      <c r="AD256" s="861"/>
      <c r="AE256" s="861"/>
      <c r="AF256" s="861"/>
      <c r="AG256" s="861"/>
    </row>
    <row r="257" spans="1:33" ht="17.25" customHeight="1">
      <c r="A257" s="861"/>
      <c r="B257" s="861"/>
      <c r="C257" s="861"/>
      <c r="D257" s="861"/>
      <c r="E257" s="861"/>
      <c r="F257" s="861"/>
      <c r="G257" s="861"/>
      <c r="H257" s="861"/>
      <c r="I257" s="861"/>
      <c r="J257" s="861"/>
      <c r="K257" s="861"/>
      <c r="L257" s="861"/>
      <c r="M257" s="861"/>
      <c r="N257" s="861"/>
      <c r="O257" s="861"/>
      <c r="P257" s="861"/>
      <c r="Q257" s="861"/>
      <c r="R257" s="861"/>
      <c r="S257" s="861"/>
      <c r="T257" s="861"/>
      <c r="U257" s="861"/>
      <c r="V257" s="861"/>
      <c r="W257" s="861"/>
      <c r="X257" s="861"/>
      <c r="Y257" s="861"/>
      <c r="Z257" s="861"/>
      <c r="AA257" s="861"/>
      <c r="AB257" s="861"/>
      <c r="AC257" s="861"/>
      <c r="AD257" s="861"/>
      <c r="AE257" s="861"/>
      <c r="AF257" s="861"/>
      <c r="AG257" s="861"/>
    </row>
    <row r="258" spans="1:33" ht="17.25" customHeight="1">
      <c r="A258" s="861"/>
      <c r="B258" s="861"/>
      <c r="C258" s="861"/>
      <c r="D258" s="861"/>
      <c r="E258" s="861"/>
      <c r="F258" s="861"/>
      <c r="G258" s="861"/>
      <c r="H258" s="861"/>
      <c r="I258" s="861"/>
      <c r="J258" s="861"/>
      <c r="K258" s="861"/>
      <c r="L258" s="861"/>
      <c r="M258" s="861"/>
      <c r="N258" s="861"/>
      <c r="O258" s="861"/>
      <c r="P258" s="861"/>
      <c r="Q258" s="861"/>
      <c r="R258" s="861"/>
      <c r="S258" s="861"/>
      <c r="T258" s="861"/>
      <c r="U258" s="861"/>
      <c r="V258" s="861"/>
      <c r="W258" s="861"/>
      <c r="X258" s="861"/>
      <c r="Y258" s="861"/>
      <c r="Z258" s="861"/>
      <c r="AA258" s="861"/>
      <c r="AB258" s="861"/>
      <c r="AC258" s="861"/>
      <c r="AD258" s="861"/>
      <c r="AE258" s="861"/>
      <c r="AF258" s="861"/>
      <c r="AG258" s="861"/>
    </row>
    <row r="259" spans="1:33" ht="17.25" customHeight="1">
      <c r="A259" s="861"/>
      <c r="B259" s="861"/>
      <c r="C259" s="861"/>
      <c r="D259" s="861"/>
      <c r="E259" s="861"/>
      <c r="F259" s="861"/>
      <c r="G259" s="861"/>
      <c r="H259" s="861"/>
      <c r="I259" s="861"/>
      <c r="J259" s="861"/>
      <c r="K259" s="861"/>
      <c r="L259" s="861"/>
      <c r="M259" s="861"/>
      <c r="N259" s="861"/>
      <c r="O259" s="861"/>
      <c r="P259" s="861"/>
      <c r="Q259" s="861"/>
      <c r="R259" s="861"/>
      <c r="S259" s="861"/>
      <c r="T259" s="861"/>
      <c r="U259" s="861"/>
      <c r="V259" s="861"/>
      <c r="W259" s="861"/>
      <c r="X259" s="861"/>
      <c r="Y259" s="861"/>
      <c r="Z259" s="861"/>
      <c r="AA259" s="861"/>
      <c r="AB259" s="861"/>
      <c r="AC259" s="861"/>
      <c r="AD259" s="861"/>
      <c r="AE259" s="861"/>
      <c r="AF259" s="861"/>
      <c r="AG259" s="861"/>
    </row>
    <row r="260" spans="1:33" ht="17.25" customHeight="1">
      <c r="A260" s="861"/>
      <c r="B260" s="861"/>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c r="AA260" s="861"/>
      <c r="AB260" s="861"/>
      <c r="AC260" s="861"/>
      <c r="AD260" s="861"/>
      <c r="AE260" s="861"/>
      <c r="AF260" s="861"/>
      <c r="AG260" s="861"/>
    </row>
    <row r="261" spans="1:33" ht="17.25" customHeight="1">
      <c r="A261" s="861"/>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861"/>
      <c r="AF261" s="861"/>
      <c r="AG261" s="861"/>
    </row>
    <row r="262" spans="1:33" ht="17.25" customHeight="1">
      <c r="A262" s="861"/>
      <c r="B262" s="861"/>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c r="AA262" s="861"/>
      <c r="AB262" s="861"/>
      <c r="AC262" s="861"/>
      <c r="AD262" s="861"/>
      <c r="AE262" s="861"/>
      <c r="AF262" s="861"/>
      <c r="AG262" s="861"/>
    </row>
    <row r="263" spans="1:33" ht="17.25" customHeight="1">
      <c r="A263" s="861"/>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c r="AA263" s="861"/>
      <c r="AB263" s="861"/>
      <c r="AC263" s="861"/>
      <c r="AD263" s="861"/>
      <c r="AE263" s="861"/>
      <c r="AF263" s="861"/>
      <c r="AG263" s="861"/>
    </row>
    <row r="264" spans="1:33" ht="17.25" customHeight="1">
      <c r="A264" s="861"/>
      <c r="B264" s="861"/>
      <c r="C264" s="861"/>
      <c r="D264" s="861"/>
      <c r="E264" s="861"/>
      <c r="F264" s="861"/>
      <c r="G264" s="861"/>
      <c r="H264" s="861"/>
      <c r="I264" s="861"/>
      <c r="J264" s="861"/>
      <c r="K264" s="861"/>
      <c r="L264" s="861"/>
      <c r="M264" s="861"/>
      <c r="N264" s="861"/>
      <c r="O264" s="861"/>
      <c r="P264" s="861"/>
      <c r="Q264" s="861"/>
      <c r="R264" s="861"/>
      <c r="S264" s="861"/>
      <c r="T264" s="861"/>
      <c r="U264" s="861"/>
      <c r="V264" s="861"/>
      <c r="W264" s="861"/>
      <c r="X264" s="861"/>
      <c r="Y264" s="861"/>
      <c r="Z264" s="861"/>
      <c r="AA264" s="861"/>
      <c r="AB264" s="861"/>
      <c r="AC264" s="861"/>
      <c r="AD264" s="861"/>
      <c r="AE264" s="861"/>
      <c r="AF264" s="861"/>
      <c r="AG264" s="861"/>
    </row>
    <row r="265" spans="1:33" ht="17.25" customHeight="1">
      <c r="A265" s="861"/>
      <c r="B265" s="861"/>
      <c r="C265" s="861"/>
      <c r="D265" s="861"/>
      <c r="E265" s="861"/>
      <c r="F265" s="861"/>
      <c r="G265" s="861"/>
      <c r="H265" s="861"/>
      <c r="I265" s="861"/>
      <c r="J265" s="861"/>
      <c r="K265" s="861"/>
      <c r="L265" s="861"/>
      <c r="M265" s="861"/>
      <c r="N265" s="861"/>
      <c r="O265" s="861"/>
      <c r="P265" s="861"/>
      <c r="Q265" s="861"/>
      <c r="R265" s="861"/>
      <c r="S265" s="861"/>
      <c r="T265" s="861"/>
      <c r="U265" s="861"/>
      <c r="V265" s="861"/>
      <c r="W265" s="861"/>
      <c r="X265" s="861"/>
      <c r="Y265" s="861"/>
      <c r="Z265" s="861"/>
      <c r="AA265" s="861"/>
      <c r="AB265" s="861"/>
      <c r="AC265" s="861"/>
      <c r="AD265" s="861"/>
      <c r="AE265" s="861"/>
      <c r="AF265" s="861"/>
      <c r="AG265" s="861"/>
    </row>
    <row r="266" spans="1:33" ht="17.25" customHeight="1">
      <c r="A266" s="861"/>
      <c r="B266" s="861"/>
      <c r="C266" s="861"/>
      <c r="D266" s="861"/>
      <c r="E266" s="861"/>
      <c r="F266" s="861"/>
      <c r="G266" s="861"/>
      <c r="H266" s="861"/>
      <c r="I266" s="861"/>
      <c r="J266" s="861"/>
      <c r="K266" s="861"/>
      <c r="L266" s="861"/>
      <c r="M266" s="861"/>
      <c r="N266" s="861"/>
      <c r="O266" s="861"/>
      <c r="P266" s="861"/>
      <c r="Q266" s="861"/>
      <c r="R266" s="861"/>
      <c r="S266" s="861"/>
      <c r="T266" s="861"/>
      <c r="U266" s="861"/>
      <c r="V266" s="861"/>
      <c r="W266" s="861"/>
      <c r="X266" s="861"/>
      <c r="Y266" s="861"/>
      <c r="Z266" s="861"/>
      <c r="AA266" s="861"/>
      <c r="AB266" s="861"/>
      <c r="AC266" s="861"/>
      <c r="AD266" s="861"/>
      <c r="AE266" s="861"/>
      <c r="AF266" s="861"/>
      <c r="AG266" s="861"/>
    </row>
    <row r="267" spans="1:33" ht="17.25" customHeight="1">
      <c r="A267" s="861"/>
      <c r="B267" s="861"/>
      <c r="C267" s="861"/>
      <c r="D267" s="861"/>
      <c r="E267" s="861"/>
      <c r="F267" s="861"/>
      <c r="G267" s="861"/>
      <c r="H267" s="861"/>
      <c r="I267" s="861"/>
      <c r="J267" s="861"/>
      <c r="K267" s="861"/>
      <c r="L267" s="861"/>
      <c r="M267" s="861"/>
      <c r="N267" s="861"/>
      <c r="O267" s="861"/>
      <c r="P267" s="861"/>
      <c r="Q267" s="861"/>
      <c r="R267" s="861"/>
      <c r="S267" s="861"/>
      <c r="T267" s="861"/>
      <c r="U267" s="861"/>
      <c r="V267" s="861"/>
      <c r="W267" s="861"/>
      <c r="X267" s="861"/>
      <c r="Y267" s="861"/>
      <c r="Z267" s="861"/>
      <c r="AA267" s="861"/>
      <c r="AB267" s="861"/>
      <c r="AC267" s="861"/>
      <c r="AD267" s="861"/>
      <c r="AE267" s="861"/>
      <c r="AF267" s="861"/>
      <c r="AG267" s="861"/>
    </row>
    <row r="268" spans="1:33" ht="17.25" customHeight="1">
      <c r="A268" s="861"/>
      <c r="B268" s="861"/>
      <c r="C268" s="861"/>
      <c r="D268" s="861"/>
      <c r="E268" s="861"/>
      <c r="F268" s="861"/>
      <c r="G268" s="861"/>
      <c r="H268" s="861"/>
      <c r="I268" s="861"/>
      <c r="J268" s="861"/>
      <c r="K268" s="861"/>
      <c r="L268" s="861"/>
      <c r="M268" s="861"/>
      <c r="N268" s="861"/>
      <c r="O268" s="861"/>
      <c r="P268" s="861"/>
      <c r="Q268" s="861"/>
      <c r="R268" s="861"/>
      <c r="S268" s="861"/>
      <c r="T268" s="861"/>
      <c r="U268" s="861"/>
      <c r="V268" s="861"/>
      <c r="W268" s="861"/>
      <c r="X268" s="861"/>
      <c r="Y268" s="861"/>
      <c r="Z268" s="861"/>
      <c r="AA268" s="861"/>
      <c r="AB268" s="861"/>
      <c r="AC268" s="861"/>
      <c r="AD268" s="861"/>
      <c r="AE268" s="861"/>
      <c r="AF268" s="861"/>
      <c r="AG268" s="861"/>
    </row>
    <row r="269" spans="1:33" ht="17.25" customHeight="1">
      <c r="A269" s="861"/>
      <c r="B269" s="861"/>
      <c r="C269" s="861"/>
      <c r="D269" s="861"/>
      <c r="E269" s="861"/>
      <c r="F269" s="861"/>
      <c r="G269" s="861"/>
      <c r="H269" s="861"/>
      <c r="I269" s="861"/>
      <c r="J269" s="861"/>
      <c r="K269" s="861"/>
      <c r="L269" s="861"/>
      <c r="M269" s="861"/>
      <c r="N269" s="861"/>
      <c r="O269" s="861"/>
      <c r="P269" s="861"/>
      <c r="Q269" s="861"/>
      <c r="R269" s="861"/>
      <c r="S269" s="861"/>
      <c r="T269" s="861"/>
      <c r="U269" s="861"/>
      <c r="V269" s="861"/>
      <c r="W269" s="861"/>
      <c r="X269" s="861"/>
      <c r="Y269" s="861"/>
      <c r="Z269" s="861"/>
      <c r="AA269" s="861"/>
      <c r="AB269" s="861"/>
      <c r="AC269" s="861"/>
      <c r="AD269" s="861"/>
      <c r="AE269" s="861"/>
      <c r="AF269" s="861"/>
      <c r="AG269" s="861"/>
    </row>
    <row r="270" spans="1:33" ht="17.25" customHeight="1">
      <c r="A270" s="861"/>
      <c r="B270" s="861"/>
      <c r="C270" s="861"/>
      <c r="D270" s="861"/>
      <c r="E270" s="861"/>
      <c r="F270" s="861"/>
      <c r="G270" s="861"/>
      <c r="H270" s="861"/>
      <c r="I270" s="861"/>
      <c r="J270" s="861"/>
      <c r="K270" s="861"/>
      <c r="L270" s="861"/>
      <c r="M270" s="861"/>
      <c r="N270" s="861"/>
      <c r="O270" s="861"/>
      <c r="P270" s="861"/>
      <c r="Q270" s="861"/>
      <c r="R270" s="861"/>
      <c r="S270" s="861"/>
      <c r="T270" s="861"/>
      <c r="U270" s="861"/>
      <c r="V270" s="861"/>
      <c r="W270" s="861"/>
      <c r="X270" s="861"/>
      <c r="Y270" s="861"/>
      <c r="Z270" s="861"/>
      <c r="AA270" s="861"/>
      <c r="AB270" s="861"/>
      <c r="AC270" s="861"/>
      <c r="AD270" s="861"/>
      <c r="AE270" s="861"/>
      <c r="AF270" s="861"/>
      <c r="AG270" s="861"/>
    </row>
    <row r="271" spans="1:33" ht="17.25" customHeight="1">
      <c r="A271" s="861"/>
      <c r="B271" s="861"/>
      <c r="C271" s="861"/>
      <c r="D271" s="861"/>
      <c r="E271" s="861"/>
      <c r="F271" s="861"/>
      <c r="G271" s="861"/>
      <c r="H271" s="861"/>
      <c r="I271" s="861"/>
      <c r="J271" s="861"/>
      <c r="K271" s="861"/>
      <c r="L271" s="861"/>
      <c r="M271" s="861"/>
      <c r="N271" s="861"/>
      <c r="O271" s="861"/>
      <c r="P271" s="861"/>
      <c r="Q271" s="861"/>
      <c r="R271" s="861"/>
      <c r="S271" s="861"/>
      <c r="T271" s="861"/>
      <c r="U271" s="861"/>
      <c r="V271" s="861"/>
      <c r="W271" s="861"/>
      <c r="X271" s="861"/>
      <c r="Y271" s="861"/>
      <c r="Z271" s="861"/>
      <c r="AA271" s="861"/>
      <c r="AB271" s="861"/>
      <c r="AC271" s="861"/>
      <c r="AD271" s="861"/>
      <c r="AE271" s="861"/>
      <c r="AF271" s="861"/>
      <c r="AG271" s="861"/>
    </row>
    <row r="272" spans="1:33" ht="17.25" customHeight="1">
      <c r="A272" s="861"/>
      <c r="B272" s="861"/>
      <c r="C272" s="861"/>
      <c r="D272" s="861"/>
      <c r="E272" s="861"/>
      <c r="F272" s="861"/>
      <c r="G272" s="861"/>
      <c r="H272" s="861"/>
      <c r="I272" s="861"/>
      <c r="J272" s="861"/>
      <c r="K272" s="861"/>
      <c r="L272" s="861"/>
      <c r="M272" s="861"/>
      <c r="N272" s="861"/>
      <c r="O272" s="861"/>
      <c r="P272" s="861"/>
      <c r="Q272" s="861"/>
      <c r="R272" s="861"/>
      <c r="S272" s="861"/>
      <c r="T272" s="861"/>
      <c r="U272" s="861"/>
      <c r="V272" s="861"/>
      <c r="W272" s="861"/>
      <c r="X272" s="861"/>
      <c r="Y272" s="861"/>
      <c r="Z272" s="861"/>
      <c r="AA272" s="861"/>
      <c r="AB272" s="861"/>
      <c r="AC272" s="861"/>
      <c r="AD272" s="861"/>
      <c r="AE272" s="861"/>
      <c r="AF272" s="861"/>
      <c r="AG272" s="861"/>
    </row>
    <row r="273" spans="1:33" ht="17.25" customHeight="1">
      <c r="A273" s="861"/>
      <c r="B273" s="861"/>
      <c r="C273" s="861"/>
      <c r="D273" s="861"/>
      <c r="E273" s="861"/>
      <c r="F273" s="861"/>
      <c r="G273" s="861"/>
      <c r="H273" s="861"/>
      <c r="I273" s="861"/>
      <c r="J273" s="861"/>
      <c r="K273" s="861"/>
      <c r="L273" s="861"/>
      <c r="M273" s="861"/>
      <c r="N273" s="861"/>
      <c r="O273" s="861"/>
      <c r="P273" s="861"/>
      <c r="Q273" s="861"/>
      <c r="R273" s="861"/>
      <c r="S273" s="861"/>
      <c r="T273" s="861"/>
      <c r="U273" s="861"/>
      <c r="V273" s="861"/>
      <c r="W273" s="861"/>
      <c r="X273" s="861"/>
      <c r="Y273" s="861"/>
      <c r="Z273" s="861"/>
      <c r="AA273" s="861"/>
      <c r="AB273" s="861"/>
      <c r="AC273" s="861"/>
      <c r="AD273" s="861"/>
      <c r="AE273" s="861"/>
      <c r="AF273" s="861"/>
      <c r="AG273" s="861"/>
    </row>
    <row r="274" spans="1:33" ht="17.25" customHeight="1">
      <c r="A274" s="861"/>
      <c r="B274" s="861"/>
      <c r="C274" s="861"/>
      <c r="D274" s="861"/>
      <c r="E274" s="861"/>
      <c r="F274" s="861"/>
      <c r="G274" s="861"/>
      <c r="H274" s="861"/>
      <c r="I274" s="861"/>
      <c r="J274" s="861"/>
      <c r="K274" s="861"/>
      <c r="L274" s="861"/>
      <c r="M274" s="861"/>
      <c r="N274" s="861"/>
      <c r="O274" s="861"/>
      <c r="P274" s="861"/>
      <c r="Q274" s="861"/>
      <c r="R274" s="861"/>
      <c r="S274" s="861"/>
      <c r="T274" s="861"/>
      <c r="U274" s="861"/>
      <c r="V274" s="861"/>
      <c r="W274" s="861"/>
      <c r="X274" s="861"/>
      <c r="Y274" s="861"/>
      <c r="Z274" s="861"/>
      <c r="AA274" s="861"/>
      <c r="AB274" s="861"/>
      <c r="AC274" s="861"/>
      <c r="AD274" s="861"/>
      <c r="AE274" s="861"/>
      <c r="AF274" s="861"/>
      <c r="AG274" s="861"/>
    </row>
    <row r="275" spans="1:33" ht="17.25" customHeight="1">
      <c r="A275" s="861"/>
      <c r="B275" s="861"/>
      <c r="C275" s="861"/>
      <c r="D275" s="861"/>
      <c r="E275" s="861"/>
      <c r="F275" s="861"/>
      <c r="G275" s="861"/>
      <c r="H275" s="861"/>
      <c r="I275" s="861"/>
      <c r="J275" s="861"/>
      <c r="K275" s="861"/>
      <c r="L275" s="861"/>
      <c r="M275" s="861"/>
      <c r="N275" s="861"/>
      <c r="O275" s="861"/>
      <c r="P275" s="861"/>
      <c r="Q275" s="861"/>
      <c r="R275" s="861"/>
      <c r="S275" s="861"/>
      <c r="T275" s="861"/>
      <c r="U275" s="861"/>
      <c r="V275" s="861"/>
      <c r="W275" s="861"/>
      <c r="X275" s="861"/>
      <c r="Y275" s="861"/>
      <c r="Z275" s="861"/>
      <c r="AA275" s="861"/>
      <c r="AB275" s="861"/>
      <c r="AC275" s="861"/>
      <c r="AD275" s="861"/>
      <c r="AE275" s="861"/>
      <c r="AF275" s="861"/>
      <c r="AG275" s="861"/>
    </row>
    <row r="276" spans="1:33" ht="17.25" customHeight="1">
      <c r="A276" s="861"/>
      <c r="B276" s="861"/>
      <c r="C276" s="861"/>
      <c r="D276" s="861"/>
      <c r="E276" s="861"/>
      <c r="F276" s="861"/>
      <c r="G276" s="861"/>
      <c r="H276" s="861"/>
      <c r="I276" s="861"/>
      <c r="J276" s="861"/>
      <c r="K276" s="861"/>
      <c r="L276" s="861"/>
      <c r="M276" s="861"/>
      <c r="N276" s="861"/>
      <c r="O276" s="861"/>
      <c r="P276" s="861"/>
      <c r="Q276" s="861"/>
      <c r="R276" s="861"/>
      <c r="S276" s="861"/>
      <c r="T276" s="861"/>
      <c r="U276" s="861"/>
      <c r="V276" s="861"/>
      <c r="W276" s="861"/>
      <c r="X276" s="861"/>
      <c r="Y276" s="861"/>
      <c r="Z276" s="861"/>
      <c r="AA276" s="861"/>
      <c r="AB276" s="861"/>
      <c r="AC276" s="861"/>
      <c r="AD276" s="861"/>
      <c r="AE276" s="861"/>
      <c r="AF276" s="861"/>
      <c r="AG276" s="861"/>
    </row>
    <row r="277" spans="1:33" ht="17.25" customHeight="1">
      <c r="A277" s="861"/>
      <c r="B277" s="861"/>
      <c r="C277" s="861"/>
      <c r="D277" s="861"/>
      <c r="E277" s="861"/>
      <c r="F277" s="861"/>
      <c r="G277" s="861"/>
      <c r="H277" s="861"/>
      <c r="I277" s="861"/>
      <c r="J277" s="861"/>
      <c r="K277" s="861"/>
      <c r="L277" s="861"/>
      <c r="M277" s="861"/>
      <c r="N277" s="861"/>
      <c r="O277" s="861"/>
      <c r="P277" s="861"/>
      <c r="Q277" s="861"/>
      <c r="R277" s="861"/>
      <c r="S277" s="861"/>
      <c r="T277" s="861"/>
      <c r="U277" s="861"/>
      <c r="V277" s="861"/>
      <c r="W277" s="861"/>
      <c r="X277" s="861"/>
      <c r="Y277" s="861"/>
      <c r="Z277" s="861"/>
      <c r="AA277" s="861"/>
      <c r="AB277" s="861"/>
      <c r="AC277" s="861"/>
      <c r="AD277" s="861"/>
      <c r="AE277" s="861"/>
      <c r="AF277" s="861"/>
      <c r="AG277" s="861"/>
    </row>
    <row r="278" spans="1:33" ht="17.25" customHeight="1">
      <c r="A278" s="861"/>
      <c r="B278" s="861"/>
      <c r="C278" s="861"/>
      <c r="D278" s="861"/>
      <c r="E278" s="861"/>
      <c r="F278" s="861"/>
      <c r="G278" s="861"/>
      <c r="H278" s="861"/>
      <c r="I278" s="861"/>
      <c r="J278" s="861"/>
      <c r="K278" s="861"/>
      <c r="L278" s="861"/>
      <c r="M278" s="861"/>
      <c r="N278" s="861"/>
      <c r="O278" s="861"/>
      <c r="P278" s="861"/>
      <c r="Q278" s="861"/>
      <c r="R278" s="861"/>
      <c r="S278" s="861"/>
      <c r="T278" s="861"/>
      <c r="U278" s="861"/>
      <c r="V278" s="861"/>
      <c r="W278" s="861"/>
      <c r="X278" s="861"/>
      <c r="Y278" s="861"/>
      <c r="Z278" s="861"/>
      <c r="AA278" s="861"/>
      <c r="AB278" s="861"/>
      <c r="AC278" s="861"/>
      <c r="AD278" s="861"/>
      <c r="AE278" s="861"/>
      <c r="AF278" s="861"/>
      <c r="AG278" s="861"/>
    </row>
    <row r="279" spans="1:33" ht="17.25" customHeight="1">
      <c r="A279" s="861"/>
      <c r="B279" s="861"/>
      <c r="C279" s="861"/>
      <c r="D279" s="861"/>
      <c r="E279" s="861"/>
      <c r="F279" s="861"/>
      <c r="G279" s="861"/>
      <c r="H279" s="861"/>
      <c r="I279" s="861"/>
      <c r="J279" s="861"/>
      <c r="K279" s="861"/>
      <c r="L279" s="861"/>
      <c r="M279" s="861"/>
      <c r="N279" s="861"/>
      <c r="O279" s="861"/>
      <c r="P279" s="861"/>
      <c r="Q279" s="861"/>
      <c r="R279" s="861"/>
      <c r="S279" s="861"/>
      <c r="T279" s="861"/>
      <c r="U279" s="861"/>
      <c r="V279" s="861"/>
      <c r="W279" s="861"/>
      <c r="X279" s="861"/>
      <c r="Y279" s="861"/>
      <c r="Z279" s="861"/>
      <c r="AA279" s="861"/>
      <c r="AB279" s="861"/>
      <c r="AC279" s="861"/>
      <c r="AD279" s="861"/>
      <c r="AE279" s="861"/>
      <c r="AF279" s="861"/>
      <c r="AG279" s="861"/>
    </row>
    <row r="280" spans="1:33" ht="17.25" customHeight="1">
      <c r="A280" s="861"/>
      <c r="B280" s="861"/>
      <c r="C280" s="861"/>
      <c r="D280" s="861"/>
      <c r="E280" s="861"/>
      <c r="F280" s="861"/>
      <c r="G280" s="861"/>
      <c r="H280" s="861"/>
      <c r="I280" s="861"/>
      <c r="J280" s="861"/>
      <c r="K280" s="861"/>
      <c r="L280" s="861"/>
      <c r="M280" s="861"/>
      <c r="N280" s="861"/>
      <c r="O280" s="861"/>
      <c r="P280" s="861"/>
      <c r="Q280" s="861"/>
      <c r="R280" s="861"/>
      <c r="S280" s="861"/>
      <c r="T280" s="861"/>
      <c r="U280" s="861"/>
      <c r="V280" s="861"/>
      <c r="W280" s="861"/>
      <c r="X280" s="861"/>
      <c r="Y280" s="861"/>
      <c r="Z280" s="861"/>
      <c r="AA280" s="861"/>
      <c r="AB280" s="861"/>
      <c r="AC280" s="861"/>
      <c r="AD280" s="861"/>
      <c r="AE280" s="861"/>
      <c r="AF280" s="861"/>
      <c r="AG280" s="861"/>
    </row>
    <row r="281" spans="1:33" ht="17.25" customHeight="1">
      <c r="A281" s="861"/>
      <c r="B281" s="861"/>
      <c r="C281" s="861"/>
      <c r="D281" s="861"/>
      <c r="E281" s="861"/>
      <c r="F281" s="861"/>
      <c r="G281" s="861"/>
      <c r="H281" s="861"/>
      <c r="I281" s="861"/>
      <c r="J281" s="861"/>
      <c r="K281" s="861"/>
      <c r="L281" s="861"/>
      <c r="M281" s="861"/>
      <c r="N281" s="861"/>
      <c r="O281" s="861"/>
      <c r="P281" s="861"/>
      <c r="Q281" s="861"/>
      <c r="R281" s="861"/>
      <c r="S281" s="861"/>
      <c r="T281" s="861"/>
      <c r="U281" s="861"/>
      <c r="V281" s="861"/>
      <c r="W281" s="861"/>
      <c r="X281" s="861"/>
      <c r="Y281" s="861"/>
      <c r="Z281" s="861"/>
      <c r="AA281" s="861"/>
      <c r="AB281" s="861"/>
      <c r="AC281" s="861"/>
      <c r="AD281" s="861"/>
      <c r="AE281" s="861"/>
      <c r="AF281" s="861"/>
      <c r="AG281" s="861"/>
    </row>
    <row r="282" spans="1:33" ht="17.25" customHeight="1">
      <c r="A282" s="861"/>
      <c r="B282" s="861"/>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c r="AA282" s="861"/>
      <c r="AB282" s="861"/>
      <c r="AC282" s="861"/>
      <c r="AD282" s="861"/>
      <c r="AE282" s="861"/>
      <c r="AF282" s="861"/>
      <c r="AG282" s="861"/>
    </row>
    <row r="283" spans="1:33" ht="17.25" customHeight="1">
      <c r="A283" s="861"/>
      <c r="B283" s="861"/>
      <c r="C283" s="861"/>
      <c r="D283" s="861"/>
      <c r="E283" s="861"/>
      <c r="F283" s="861"/>
      <c r="G283" s="861"/>
      <c r="H283" s="861"/>
      <c r="I283" s="861"/>
      <c r="J283" s="861"/>
      <c r="K283" s="861"/>
      <c r="L283" s="861"/>
      <c r="M283" s="861"/>
      <c r="N283" s="861"/>
      <c r="O283" s="861"/>
      <c r="P283" s="861"/>
      <c r="Q283" s="861"/>
      <c r="R283" s="861"/>
      <c r="S283" s="861"/>
      <c r="T283" s="861"/>
      <c r="U283" s="861"/>
      <c r="V283" s="861"/>
      <c r="W283" s="861"/>
      <c r="X283" s="861"/>
      <c r="Y283" s="861"/>
      <c r="Z283" s="861"/>
      <c r="AA283" s="861"/>
      <c r="AB283" s="861"/>
      <c r="AC283" s="861"/>
      <c r="AD283" s="861"/>
      <c r="AE283" s="861"/>
      <c r="AF283" s="861"/>
      <c r="AG283" s="861"/>
    </row>
    <row r="284" spans="1:33" ht="17.25" customHeight="1">
      <c r="A284" s="861"/>
      <c r="B284" s="861"/>
      <c r="C284" s="861"/>
      <c r="D284" s="861"/>
      <c r="E284" s="861"/>
      <c r="F284" s="861"/>
      <c r="G284" s="861"/>
      <c r="H284" s="861"/>
      <c r="I284" s="861"/>
      <c r="J284" s="861"/>
      <c r="K284" s="861"/>
      <c r="L284" s="861"/>
      <c r="M284" s="861"/>
      <c r="N284" s="861"/>
      <c r="O284" s="861"/>
      <c r="P284" s="861"/>
      <c r="Q284" s="861"/>
      <c r="R284" s="861"/>
      <c r="S284" s="861"/>
      <c r="T284" s="861"/>
      <c r="U284" s="861"/>
      <c r="V284" s="861"/>
      <c r="W284" s="861"/>
      <c r="X284" s="861"/>
      <c r="Y284" s="861"/>
      <c r="Z284" s="861"/>
      <c r="AA284" s="861"/>
      <c r="AB284" s="861"/>
      <c r="AC284" s="861"/>
      <c r="AD284" s="861"/>
      <c r="AE284" s="861"/>
      <c r="AF284" s="861"/>
      <c r="AG284" s="861"/>
    </row>
    <row r="285" spans="1:33" ht="17.25" customHeight="1">
      <c r="A285" s="861"/>
      <c r="B285" s="861"/>
      <c r="C285" s="861"/>
      <c r="D285" s="861"/>
      <c r="E285" s="861"/>
      <c r="F285" s="861"/>
      <c r="G285" s="861"/>
      <c r="H285" s="861"/>
      <c r="I285" s="861"/>
      <c r="J285" s="861"/>
      <c r="K285" s="861"/>
      <c r="L285" s="861"/>
      <c r="M285" s="861"/>
      <c r="N285" s="861"/>
      <c r="O285" s="861"/>
      <c r="P285" s="861"/>
      <c r="Q285" s="861"/>
      <c r="R285" s="861"/>
      <c r="S285" s="861"/>
      <c r="T285" s="861"/>
      <c r="U285" s="861"/>
      <c r="V285" s="861"/>
      <c r="W285" s="861"/>
      <c r="X285" s="861"/>
      <c r="Y285" s="861"/>
      <c r="Z285" s="861"/>
      <c r="AA285" s="861"/>
      <c r="AB285" s="861"/>
      <c r="AC285" s="861"/>
      <c r="AD285" s="861"/>
      <c r="AE285" s="861"/>
      <c r="AF285" s="861"/>
      <c r="AG285" s="861"/>
    </row>
    <row r="286" spans="1:33" ht="17.25" customHeight="1">
      <c r="A286" s="861"/>
      <c r="B286" s="861"/>
      <c r="C286" s="861"/>
      <c r="D286" s="861"/>
      <c r="E286" s="861"/>
      <c r="F286" s="861"/>
      <c r="G286" s="861"/>
      <c r="H286" s="861"/>
      <c r="I286" s="861"/>
      <c r="J286" s="861"/>
      <c r="K286" s="861"/>
      <c r="L286" s="861"/>
      <c r="M286" s="861"/>
      <c r="N286" s="861"/>
      <c r="O286" s="861"/>
      <c r="P286" s="861"/>
      <c r="Q286" s="861"/>
      <c r="R286" s="861"/>
      <c r="S286" s="861"/>
      <c r="T286" s="861"/>
      <c r="U286" s="861"/>
      <c r="V286" s="861"/>
      <c r="W286" s="861"/>
      <c r="X286" s="861"/>
      <c r="Y286" s="861"/>
      <c r="Z286" s="861"/>
      <c r="AA286" s="861"/>
      <c r="AB286" s="861"/>
      <c r="AC286" s="861"/>
      <c r="AD286" s="861"/>
      <c r="AE286" s="861"/>
      <c r="AF286" s="861"/>
      <c r="AG286" s="861"/>
    </row>
    <row r="287" spans="1:33" ht="17.25" customHeight="1">
      <c r="A287" s="861"/>
      <c r="B287" s="861"/>
      <c r="C287" s="861"/>
      <c r="D287" s="861"/>
      <c r="E287" s="861"/>
      <c r="F287" s="861"/>
      <c r="G287" s="861"/>
      <c r="H287" s="861"/>
      <c r="I287" s="861"/>
      <c r="J287" s="861"/>
      <c r="K287" s="861"/>
      <c r="L287" s="861"/>
      <c r="M287" s="861"/>
      <c r="N287" s="861"/>
      <c r="O287" s="861"/>
      <c r="P287" s="861"/>
      <c r="Q287" s="861"/>
      <c r="R287" s="861"/>
      <c r="S287" s="861"/>
      <c r="T287" s="861"/>
      <c r="U287" s="861"/>
      <c r="V287" s="861"/>
      <c r="W287" s="861"/>
      <c r="X287" s="861"/>
      <c r="Y287" s="861"/>
      <c r="Z287" s="861"/>
      <c r="AA287" s="861"/>
      <c r="AB287" s="861"/>
      <c r="AC287" s="861"/>
      <c r="AD287" s="861"/>
      <c r="AE287" s="861"/>
      <c r="AF287" s="861"/>
      <c r="AG287" s="861"/>
    </row>
    <row r="288" spans="1:33" ht="17.25" customHeight="1">
      <c r="A288" s="861"/>
      <c r="B288" s="861"/>
      <c r="C288" s="861"/>
      <c r="D288" s="861"/>
      <c r="E288" s="861"/>
      <c r="F288" s="861"/>
      <c r="G288" s="861"/>
      <c r="H288" s="861"/>
      <c r="I288" s="861"/>
      <c r="J288" s="861"/>
      <c r="K288" s="861"/>
      <c r="L288" s="861"/>
      <c r="M288" s="861"/>
      <c r="N288" s="861"/>
      <c r="O288" s="861"/>
      <c r="P288" s="861"/>
      <c r="Q288" s="861"/>
      <c r="R288" s="861"/>
      <c r="S288" s="861"/>
      <c r="T288" s="861"/>
      <c r="U288" s="861"/>
      <c r="V288" s="861"/>
      <c r="W288" s="861"/>
      <c r="X288" s="861"/>
      <c r="Y288" s="861"/>
      <c r="Z288" s="861"/>
      <c r="AA288" s="861"/>
      <c r="AB288" s="861"/>
      <c r="AC288" s="861"/>
      <c r="AD288" s="861"/>
      <c r="AE288" s="861"/>
      <c r="AF288" s="861"/>
      <c r="AG288" s="861"/>
    </row>
    <row r="289" spans="1:33" ht="17.25" customHeight="1">
      <c r="A289" s="861"/>
      <c r="B289" s="861"/>
      <c r="C289" s="861"/>
      <c r="D289" s="861"/>
      <c r="E289" s="861"/>
      <c r="F289" s="861"/>
      <c r="G289" s="861"/>
      <c r="H289" s="861"/>
      <c r="I289" s="861"/>
      <c r="J289" s="861"/>
      <c r="K289" s="861"/>
      <c r="L289" s="861"/>
      <c r="M289" s="861"/>
      <c r="N289" s="861"/>
      <c r="O289" s="861"/>
      <c r="P289" s="861"/>
      <c r="Q289" s="861"/>
      <c r="R289" s="861"/>
      <c r="S289" s="861"/>
      <c r="T289" s="861"/>
      <c r="U289" s="861"/>
      <c r="V289" s="861"/>
      <c r="W289" s="861"/>
      <c r="X289" s="861"/>
      <c r="Y289" s="861"/>
      <c r="Z289" s="861"/>
      <c r="AA289" s="861"/>
      <c r="AB289" s="861"/>
      <c r="AC289" s="861"/>
      <c r="AD289" s="861"/>
      <c r="AE289" s="861"/>
      <c r="AF289" s="861"/>
      <c r="AG289" s="861"/>
    </row>
    <row r="290" spans="1:33" ht="17.25" customHeight="1">
      <c r="A290" s="861"/>
      <c r="B290" s="861"/>
      <c r="C290" s="861"/>
      <c r="D290" s="861"/>
      <c r="E290" s="861"/>
      <c r="F290" s="861"/>
      <c r="G290" s="861"/>
      <c r="H290" s="861"/>
      <c r="I290" s="861"/>
      <c r="J290" s="861"/>
      <c r="K290" s="861"/>
      <c r="L290" s="861"/>
      <c r="M290" s="861"/>
      <c r="N290" s="861"/>
      <c r="O290" s="861"/>
      <c r="P290" s="861"/>
      <c r="Q290" s="861"/>
      <c r="R290" s="861"/>
      <c r="S290" s="861"/>
      <c r="T290" s="861"/>
      <c r="U290" s="861"/>
      <c r="V290" s="861"/>
      <c r="W290" s="861"/>
      <c r="X290" s="861"/>
      <c r="Y290" s="861"/>
      <c r="Z290" s="861"/>
      <c r="AA290" s="861"/>
      <c r="AB290" s="861"/>
      <c r="AC290" s="861"/>
      <c r="AD290" s="861"/>
      <c r="AE290" s="861"/>
      <c r="AF290" s="861"/>
      <c r="AG290" s="861"/>
    </row>
    <row r="291" spans="1:33" ht="17.25" customHeight="1">
      <c r="A291" s="861"/>
      <c r="B291" s="861"/>
      <c r="C291" s="861"/>
      <c r="D291" s="861"/>
      <c r="E291" s="861"/>
      <c r="F291" s="861"/>
      <c r="G291" s="861"/>
      <c r="H291" s="861"/>
      <c r="I291" s="861"/>
      <c r="J291" s="861"/>
      <c r="K291" s="861"/>
      <c r="L291" s="861"/>
      <c r="M291" s="861"/>
      <c r="N291" s="861"/>
      <c r="O291" s="861"/>
      <c r="P291" s="861"/>
      <c r="Q291" s="861"/>
      <c r="R291" s="861"/>
      <c r="S291" s="861"/>
      <c r="T291" s="861"/>
      <c r="U291" s="861"/>
      <c r="V291" s="861"/>
      <c r="W291" s="861"/>
      <c r="X291" s="861"/>
      <c r="Y291" s="861"/>
      <c r="Z291" s="861"/>
      <c r="AA291" s="861"/>
      <c r="AB291" s="861"/>
      <c r="AC291" s="861"/>
      <c r="AD291" s="861"/>
      <c r="AE291" s="861"/>
      <c r="AF291" s="861"/>
      <c r="AG291" s="861"/>
    </row>
    <row r="292" spans="1:33" ht="17.25" customHeight="1">
      <c r="A292" s="861"/>
      <c r="B292" s="861"/>
      <c r="C292" s="861"/>
      <c r="D292" s="861"/>
      <c r="E292" s="861"/>
      <c r="F292" s="861"/>
      <c r="G292" s="861"/>
      <c r="H292" s="861"/>
      <c r="I292" s="861"/>
      <c r="J292" s="861"/>
      <c r="K292" s="861"/>
      <c r="L292" s="861"/>
      <c r="M292" s="861"/>
      <c r="N292" s="861"/>
      <c r="O292" s="861"/>
      <c r="P292" s="861"/>
      <c r="Q292" s="861"/>
      <c r="R292" s="861"/>
      <c r="S292" s="861"/>
      <c r="T292" s="861"/>
      <c r="U292" s="861"/>
      <c r="V292" s="861"/>
      <c r="W292" s="861"/>
      <c r="X292" s="861"/>
      <c r="Y292" s="861"/>
      <c r="Z292" s="861"/>
      <c r="AA292" s="861"/>
      <c r="AB292" s="861"/>
      <c r="AC292" s="861"/>
      <c r="AD292" s="861"/>
      <c r="AE292" s="861"/>
      <c r="AF292" s="861"/>
      <c r="AG292" s="861"/>
    </row>
    <row r="293" spans="1:33" ht="17.25" customHeight="1">
      <c r="A293" s="861"/>
      <c r="B293" s="861"/>
      <c r="C293" s="861"/>
      <c r="D293" s="861"/>
      <c r="E293" s="861"/>
      <c r="F293" s="861"/>
      <c r="G293" s="861"/>
      <c r="H293" s="861"/>
      <c r="I293" s="861"/>
      <c r="J293" s="861"/>
      <c r="K293" s="861"/>
      <c r="L293" s="861"/>
      <c r="M293" s="861"/>
      <c r="N293" s="861"/>
      <c r="O293" s="861"/>
      <c r="P293" s="861"/>
      <c r="Q293" s="861"/>
      <c r="R293" s="861"/>
      <c r="S293" s="861"/>
      <c r="T293" s="861"/>
      <c r="U293" s="861"/>
      <c r="V293" s="861"/>
      <c r="W293" s="861"/>
      <c r="X293" s="861"/>
      <c r="Y293" s="861"/>
      <c r="Z293" s="861"/>
      <c r="AA293" s="861"/>
      <c r="AB293" s="861"/>
      <c r="AC293" s="861"/>
      <c r="AD293" s="861"/>
      <c r="AE293" s="861"/>
      <c r="AF293" s="861"/>
      <c r="AG293" s="861"/>
    </row>
    <row r="294" spans="1:33" ht="17.25" customHeight="1">
      <c r="A294" s="861"/>
      <c r="B294" s="861"/>
      <c r="C294" s="861"/>
      <c r="D294" s="861"/>
      <c r="E294" s="861"/>
      <c r="F294" s="861"/>
      <c r="G294" s="861"/>
      <c r="H294" s="861"/>
      <c r="I294" s="861"/>
      <c r="J294" s="861"/>
      <c r="K294" s="861"/>
      <c r="L294" s="861"/>
      <c r="M294" s="861"/>
      <c r="N294" s="861"/>
      <c r="O294" s="861"/>
      <c r="P294" s="861"/>
      <c r="Q294" s="861"/>
      <c r="R294" s="861"/>
      <c r="S294" s="861"/>
      <c r="T294" s="861"/>
      <c r="U294" s="861"/>
      <c r="V294" s="861"/>
      <c r="W294" s="861"/>
      <c r="X294" s="861"/>
      <c r="Y294" s="861"/>
      <c r="Z294" s="861"/>
      <c r="AA294" s="861"/>
      <c r="AB294" s="861"/>
      <c r="AC294" s="861"/>
      <c r="AD294" s="861"/>
      <c r="AE294" s="861"/>
      <c r="AF294" s="861"/>
      <c r="AG294" s="861"/>
    </row>
    <row r="295" spans="1:33" ht="17.25" customHeight="1">
      <c r="A295" s="861"/>
      <c r="B295" s="861"/>
      <c r="C295" s="861"/>
      <c r="D295" s="861"/>
      <c r="E295" s="861"/>
      <c r="F295" s="861"/>
      <c r="G295" s="861"/>
      <c r="H295" s="861"/>
      <c r="I295" s="861"/>
      <c r="J295" s="861"/>
      <c r="K295" s="861"/>
      <c r="L295" s="861"/>
      <c r="M295" s="861"/>
      <c r="N295" s="861"/>
      <c r="O295" s="861"/>
      <c r="P295" s="861"/>
      <c r="Q295" s="861"/>
      <c r="R295" s="861"/>
      <c r="S295" s="861"/>
      <c r="T295" s="861"/>
      <c r="U295" s="861"/>
      <c r="V295" s="861"/>
      <c r="W295" s="861"/>
      <c r="X295" s="861"/>
      <c r="Y295" s="861"/>
      <c r="Z295" s="861"/>
      <c r="AA295" s="861"/>
      <c r="AB295" s="861"/>
      <c r="AC295" s="861"/>
      <c r="AD295" s="861"/>
      <c r="AE295" s="861"/>
      <c r="AF295" s="861"/>
      <c r="AG295" s="861"/>
    </row>
    <row r="296" spans="1:33" ht="17.25" customHeight="1">
      <c r="A296" s="861"/>
      <c r="B296" s="861"/>
      <c r="C296" s="861"/>
      <c r="D296" s="861"/>
      <c r="E296" s="861"/>
      <c r="F296" s="861"/>
      <c r="G296" s="861"/>
      <c r="H296" s="861"/>
      <c r="I296" s="861"/>
      <c r="J296" s="861"/>
      <c r="K296" s="861"/>
      <c r="L296" s="861"/>
      <c r="M296" s="861"/>
      <c r="N296" s="861"/>
      <c r="O296" s="861"/>
      <c r="P296" s="861"/>
      <c r="Q296" s="861"/>
      <c r="R296" s="861"/>
      <c r="S296" s="861"/>
      <c r="T296" s="861"/>
      <c r="U296" s="861"/>
      <c r="V296" s="861"/>
      <c r="W296" s="861"/>
      <c r="X296" s="861"/>
      <c r="Y296" s="861"/>
      <c r="Z296" s="861"/>
      <c r="AA296" s="861"/>
      <c r="AB296" s="861"/>
      <c r="AC296" s="861"/>
      <c r="AD296" s="861"/>
      <c r="AE296" s="861"/>
      <c r="AF296" s="861"/>
      <c r="AG296" s="861"/>
    </row>
    <row r="297" spans="1:33" ht="17.25" customHeight="1">
      <c r="A297" s="861"/>
      <c r="B297" s="861"/>
      <c r="C297" s="861"/>
      <c r="D297" s="861"/>
      <c r="E297" s="861"/>
      <c r="F297" s="861"/>
      <c r="G297" s="861"/>
      <c r="H297" s="861"/>
      <c r="I297" s="861"/>
      <c r="J297" s="861"/>
      <c r="K297" s="861"/>
      <c r="L297" s="861"/>
      <c r="M297" s="861"/>
      <c r="N297" s="861"/>
      <c r="O297" s="861"/>
      <c r="P297" s="861"/>
      <c r="Q297" s="861"/>
      <c r="R297" s="861"/>
      <c r="S297" s="861"/>
      <c r="T297" s="861"/>
      <c r="U297" s="861"/>
      <c r="V297" s="861"/>
      <c r="W297" s="861"/>
      <c r="X297" s="861"/>
      <c r="Y297" s="861"/>
      <c r="Z297" s="861"/>
      <c r="AA297" s="861"/>
      <c r="AB297" s="861"/>
      <c r="AC297" s="861"/>
      <c r="AD297" s="861"/>
      <c r="AE297" s="861"/>
      <c r="AF297" s="861"/>
      <c r="AG297" s="861"/>
    </row>
    <row r="298" spans="1:33" ht="17.25" customHeight="1">
      <c r="A298" s="861"/>
      <c r="B298" s="861"/>
      <c r="C298" s="861"/>
      <c r="D298" s="861"/>
      <c r="E298" s="861"/>
      <c r="F298" s="861"/>
      <c r="G298" s="861"/>
      <c r="H298" s="861"/>
      <c r="I298" s="861"/>
      <c r="J298" s="861"/>
      <c r="K298" s="861"/>
      <c r="L298" s="861"/>
      <c r="M298" s="861"/>
      <c r="N298" s="861"/>
      <c r="O298" s="861"/>
      <c r="P298" s="861"/>
      <c r="Q298" s="861"/>
      <c r="R298" s="861"/>
      <c r="S298" s="861"/>
      <c r="T298" s="861"/>
      <c r="U298" s="861"/>
      <c r="V298" s="861"/>
      <c r="W298" s="861"/>
      <c r="X298" s="861"/>
      <c r="Y298" s="861"/>
      <c r="Z298" s="861"/>
      <c r="AA298" s="861"/>
      <c r="AB298" s="861"/>
      <c r="AC298" s="861"/>
      <c r="AD298" s="861"/>
      <c r="AE298" s="861"/>
      <c r="AF298" s="861"/>
      <c r="AG298" s="861"/>
    </row>
    <row r="299" spans="1:33" ht="17.25" customHeight="1">
      <c r="A299" s="861"/>
      <c r="B299" s="861"/>
      <c r="C299" s="861"/>
      <c r="D299" s="861"/>
      <c r="E299" s="861"/>
      <c r="F299" s="861"/>
      <c r="G299" s="861"/>
      <c r="H299" s="861"/>
      <c r="I299" s="861"/>
      <c r="J299" s="861"/>
      <c r="K299" s="861"/>
      <c r="L299" s="861"/>
      <c r="M299" s="861"/>
      <c r="N299" s="861"/>
      <c r="O299" s="861"/>
      <c r="P299" s="861"/>
      <c r="Q299" s="861"/>
      <c r="R299" s="861"/>
      <c r="S299" s="861"/>
      <c r="T299" s="861"/>
      <c r="U299" s="861"/>
      <c r="V299" s="861"/>
      <c r="W299" s="861"/>
      <c r="X299" s="861"/>
      <c r="Y299" s="861"/>
      <c r="Z299" s="861"/>
      <c r="AA299" s="861"/>
      <c r="AB299" s="861"/>
      <c r="AC299" s="861"/>
      <c r="AD299" s="861"/>
      <c r="AE299" s="861"/>
      <c r="AF299" s="861"/>
      <c r="AG299" s="861"/>
    </row>
    <row r="300" spans="1:33" ht="17.25" customHeight="1">
      <c r="A300" s="861"/>
      <c r="B300" s="861"/>
      <c r="C300" s="861"/>
      <c r="D300" s="861"/>
      <c r="E300" s="861"/>
      <c r="F300" s="861"/>
      <c r="G300" s="861"/>
      <c r="H300" s="861"/>
      <c r="I300" s="861"/>
      <c r="J300" s="861"/>
      <c r="K300" s="861"/>
      <c r="L300" s="861"/>
      <c r="M300" s="861"/>
      <c r="N300" s="861"/>
      <c r="O300" s="861"/>
      <c r="P300" s="861"/>
      <c r="Q300" s="861"/>
      <c r="R300" s="861"/>
      <c r="S300" s="861"/>
      <c r="T300" s="861"/>
      <c r="U300" s="861"/>
      <c r="V300" s="861"/>
      <c r="W300" s="861"/>
      <c r="X300" s="861"/>
      <c r="Y300" s="861"/>
      <c r="Z300" s="861"/>
      <c r="AA300" s="861"/>
      <c r="AB300" s="861"/>
      <c r="AC300" s="861"/>
      <c r="AD300" s="861"/>
      <c r="AE300" s="861"/>
      <c r="AF300" s="861"/>
      <c r="AG300" s="861"/>
    </row>
    <row r="301" spans="1:33" ht="17.25" customHeight="1">
      <c r="A301" s="861"/>
      <c r="B301" s="861"/>
      <c r="C301" s="861"/>
      <c r="D301" s="861"/>
      <c r="E301" s="861"/>
      <c r="F301" s="861"/>
      <c r="G301" s="861"/>
      <c r="H301" s="861"/>
      <c r="I301" s="861"/>
      <c r="J301" s="861"/>
      <c r="K301" s="861"/>
      <c r="L301" s="861"/>
      <c r="M301" s="861"/>
      <c r="N301" s="861"/>
      <c r="O301" s="861"/>
      <c r="P301" s="861"/>
      <c r="Q301" s="861"/>
      <c r="R301" s="861"/>
      <c r="S301" s="861"/>
      <c r="T301" s="861"/>
      <c r="U301" s="861"/>
      <c r="V301" s="861"/>
      <c r="W301" s="861"/>
      <c r="X301" s="861"/>
      <c r="Y301" s="861"/>
      <c r="Z301" s="861"/>
      <c r="AA301" s="861"/>
      <c r="AB301" s="861"/>
      <c r="AC301" s="861"/>
      <c r="AD301" s="861"/>
      <c r="AE301" s="861"/>
      <c r="AF301" s="861"/>
      <c r="AG301" s="861"/>
    </row>
    <row r="302" spans="1:33" ht="17.25" customHeight="1">
      <c r="A302" s="861"/>
      <c r="B302" s="861"/>
      <c r="C302" s="861"/>
      <c r="D302" s="861"/>
      <c r="E302" s="861"/>
      <c r="F302" s="861"/>
      <c r="G302" s="861"/>
      <c r="H302" s="861"/>
      <c r="I302" s="861"/>
      <c r="J302" s="861"/>
      <c r="K302" s="861"/>
      <c r="L302" s="861"/>
      <c r="M302" s="861"/>
      <c r="N302" s="861"/>
      <c r="O302" s="861"/>
      <c r="P302" s="861"/>
      <c r="Q302" s="861"/>
      <c r="R302" s="861"/>
      <c r="S302" s="861"/>
      <c r="T302" s="861"/>
      <c r="U302" s="861"/>
      <c r="V302" s="861"/>
      <c r="W302" s="861"/>
      <c r="X302" s="861"/>
      <c r="Y302" s="861"/>
      <c r="Z302" s="861"/>
      <c r="AA302" s="861"/>
      <c r="AB302" s="861"/>
      <c r="AC302" s="861"/>
      <c r="AD302" s="861"/>
      <c r="AE302" s="861"/>
      <c r="AF302" s="861"/>
      <c r="AG302" s="861"/>
    </row>
    <row r="303" spans="1:33" ht="17.25" customHeight="1">
      <c r="A303" s="861"/>
      <c r="B303" s="861"/>
      <c r="C303" s="861"/>
      <c r="D303" s="861"/>
      <c r="E303" s="861"/>
      <c r="F303" s="861"/>
      <c r="G303" s="861"/>
      <c r="H303" s="861"/>
      <c r="I303" s="861"/>
      <c r="J303" s="861"/>
      <c r="K303" s="861"/>
      <c r="L303" s="861"/>
      <c r="M303" s="861"/>
      <c r="N303" s="861"/>
      <c r="O303" s="861"/>
      <c r="P303" s="861"/>
      <c r="Q303" s="861"/>
      <c r="R303" s="861"/>
      <c r="S303" s="861"/>
      <c r="T303" s="861"/>
      <c r="U303" s="861"/>
      <c r="V303" s="861"/>
      <c r="W303" s="861"/>
      <c r="X303" s="861"/>
      <c r="Y303" s="861"/>
      <c r="Z303" s="861"/>
      <c r="AA303" s="861"/>
      <c r="AB303" s="861"/>
      <c r="AC303" s="861"/>
      <c r="AD303" s="861"/>
      <c r="AE303" s="861"/>
      <c r="AF303" s="861"/>
      <c r="AG303" s="861"/>
    </row>
    <row r="304" spans="1:33" ht="17.25" customHeight="1">
      <c r="A304" s="861"/>
      <c r="B304" s="861"/>
      <c r="C304" s="861"/>
      <c r="D304" s="861"/>
      <c r="E304" s="861"/>
      <c r="F304" s="861"/>
      <c r="G304" s="861"/>
      <c r="H304" s="861"/>
      <c r="I304" s="861"/>
      <c r="J304" s="861"/>
      <c r="K304" s="861"/>
      <c r="L304" s="861"/>
      <c r="M304" s="861"/>
      <c r="N304" s="861"/>
      <c r="O304" s="861"/>
      <c r="P304" s="861"/>
      <c r="Q304" s="861"/>
      <c r="R304" s="861"/>
      <c r="S304" s="861"/>
      <c r="T304" s="861"/>
      <c r="U304" s="861"/>
      <c r="V304" s="861"/>
      <c r="W304" s="861"/>
      <c r="X304" s="861"/>
      <c r="Y304" s="861"/>
      <c r="Z304" s="861"/>
      <c r="AA304" s="861"/>
      <c r="AB304" s="861"/>
      <c r="AC304" s="861"/>
      <c r="AD304" s="861"/>
      <c r="AE304" s="861"/>
      <c r="AF304" s="861"/>
      <c r="AG304" s="861"/>
    </row>
    <row r="305" spans="1:33" ht="17.25" customHeight="1">
      <c r="A305" s="861"/>
      <c r="B305" s="861"/>
      <c r="C305" s="861"/>
      <c r="D305" s="861"/>
      <c r="E305" s="861"/>
      <c r="F305" s="861"/>
      <c r="G305" s="861"/>
      <c r="H305" s="861"/>
      <c r="I305" s="861"/>
      <c r="J305" s="861"/>
      <c r="K305" s="861"/>
      <c r="L305" s="861"/>
      <c r="M305" s="861"/>
      <c r="N305" s="861"/>
      <c r="O305" s="861"/>
      <c r="P305" s="861"/>
      <c r="Q305" s="861"/>
      <c r="R305" s="861"/>
      <c r="S305" s="861"/>
      <c r="T305" s="861"/>
      <c r="U305" s="861"/>
      <c r="V305" s="861"/>
      <c r="W305" s="861"/>
      <c r="X305" s="861"/>
      <c r="Y305" s="861"/>
      <c r="Z305" s="861"/>
      <c r="AA305" s="861"/>
      <c r="AB305" s="861"/>
      <c r="AC305" s="861"/>
      <c r="AD305" s="861"/>
      <c r="AE305" s="861"/>
      <c r="AF305" s="861"/>
      <c r="AG305" s="861"/>
    </row>
    <row r="306" spans="1:33" ht="17.25" customHeight="1">
      <c r="A306" s="861"/>
      <c r="B306" s="861"/>
      <c r="C306" s="861"/>
      <c r="D306" s="861"/>
      <c r="E306" s="861"/>
      <c r="F306" s="861"/>
      <c r="G306" s="861"/>
      <c r="H306" s="861"/>
      <c r="I306" s="861"/>
      <c r="J306" s="861"/>
      <c r="K306" s="861"/>
      <c r="L306" s="861"/>
      <c r="M306" s="861"/>
      <c r="N306" s="861"/>
      <c r="O306" s="861"/>
      <c r="P306" s="861"/>
      <c r="Q306" s="861"/>
      <c r="R306" s="861"/>
      <c r="S306" s="861"/>
      <c r="T306" s="861"/>
      <c r="U306" s="861"/>
      <c r="V306" s="861"/>
      <c r="W306" s="861"/>
      <c r="X306" s="861"/>
      <c r="Y306" s="861"/>
      <c r="Z306" s="861"/>
      <c r="AA306" s="861"/>
      <c r="AB306" s="861"/>
      <c r="AC306" s="861"/>
      <c r="AD306" s="861"/>
      <c r="AE306" s="861"/>
      <c r="AF306" s="861"/>
      <c r="AG306" s="861"/>
    </row>
    <row r="307" spans="1:33" ht="17.25" customHeight="1">
      <c r="A307" s="861"/>
      <c r="B307" s="861"/>
      <c r="C307" s="861"/>
      <c r="D307" s="861"/>
      <c r="E307" s="861"/>
      <c r="F307" s="861"/>
      <c r="G307" s="861"/>
      <c r="H307" s="861"/>
      <c r="I307" s="861"/>
      <c r="J307" s="861"/>
      <c r="K307" s="861"/>
      <c r="L307" s="861"/>
      <c r="M307" s="861"/>
      <c r="N307" s="861"/>
      <c r="O307" s="861"/>
      <c r="P307" s="861"/>
      <c r="Q307" s="861"/>
      <c r="R307" s="861"/>
      <c r="S307" s="861"/>
      <c r="T307" s="861"/>
      <c r="U307" s="861"/>
      <c r="V307" s="861"/>
      <c r="W307" s="861"/>
      <c r="X307" s="861"/>
      <c r="Y307" s="861"/>
      <c r="Z307" s="861"/>
      <c r="AA307" s="861"/>
      <c r="AB307" s="861"/>
      <c r="AC307" s="861"/>
      <c r="AD307" s="861"/>
      <c r="AE307" s="861"/>
      <c r="AF307" s="861"/>
      <c r="AG307" s="861"/>
    </row>
    <row r="308" spans="1:33" ht="17.25" customHeight="1">
      <c r="A308" s="861"/>
      <c r="B308" s="861"/>
      <c r="C308" s="861"/>
      <c r="D308" s="861"/>
      <c r="E308" s="861"/>
      <c r="F308" s="861"/>
      <c r="G308" s="861"/>
      <c r="H308" s="861"/>
      <c r="I308" s="861"/>
      <c r="J308" s="861"/>
      <c r="K308" s="861"/>
      <c r="L308" s="861"/>
      <c r="M308" s="861"/>
      <c r="N308" s="861"/>
      <c r="O308" s="861"/>
      <c r="P308" s="861"/>
      <c r="Q308" s="861"/>
      <c r="R308" s="861"/>
      <c r="S308" s="861"/>
      <c r="T308" s="861"/>
      <c r="U308" s="861"/>
      <c r="V308" s="861"/>
      <c r="W308" s="861"/>
      <c r="X308" s="861"/>
      <c r="Y308" s="861"/>
      <c r="Z308" s="861"/>
      <c r="AA308" s="861"/>
      <c r="AB308" s="861"/>
      <c r="AC308" s="861"/>
      <c r="AD308" s="861"/>
      <c r="AE308" s="861"/>
      <c r="AF308" s="861"/>
      <c r="AG308" s="861"/>
    </row>
    <row r="309" spans="1:33" ht="17.25" customHeight="1">
      <c r="A309" s="861"/>
      <c r="B309" s="861"/>
      <c r="C309" s="861"/>
      <c r="D309" s="861"/>
      <c r="E309" s="861"/>
      <c r="F309" s="861"/>
      <c r="G309" s="861"/>
      <c r="H309" s="861"/>
      <c r="I309" s="861"/>
      <c r="J309" s="861"/>
      <c r="K309" s="861"/>
      <c r="L309" s="861"/>
      <c r="M309" s="861"/>
      <c r="N309" s="861"/>
      <c r="O309" s="861"/>
      <c r="P309" s="861"/>
      <c r="Q309" s="861"/>
      <c r="R309" s="861"/>
      <c r="S309" s="861"/>
      <c r="T309" s="861"/>
      <c r="U309" s="861"/>
      <c r="V309" s="861"/>
      <c r="W309" s="861"/>
      <c r="X309" s="861"/>
      <c r="Y309" s="861"/>
      <c r="Z309" s="861"/>
      <c r="AA309" s="861"/>
      <c r="AB309" s="861"/>
      <c r="AC309" s="861"/>
      <c r="AD309" s="861"/>
      <c r="AE309" s="861"/>
      <c r="AF309" s="861"/>
      <c r="AG309" s="861"/>
    </row>
    <row r="310" spans="1:33" ht="17.25" customHeight="1">
      <c r="A310" s="861"/>
      <c r="B310" s="861"/>
      <c r="C310" s="861"/>
      <c r="D310" s="861"/>
      <c r="E310" s="861"/>
      <c r="F310" s="861"/>
      <c r="G310" s="861"/>
      <c r="H310" s="861"/>
      <c r="I310" s="861"/>
      <c r="J310" s="861"/>
      <c r="K310" s="861"/>
      <c r="L310" s="861"/>
      <c r="M310" s="861"/>
      <c r="N310" s="861"/>
      <c r="O310" s="861"/>
      <c r="P310" s="861"/>
      <c r="Q310" s="861"/>
      <c r="R310" s="861"/>
      <c r="S310" s="861"/>
      <c r="T310" s="861"/>
      <c r="U310" s="861"/>
      <c r="V310" s="861"/>
      <c r="W310" s="861"/>
      <c r="X310" s="861"/>
      <c r="Y310" s="861"/>
      <c r="Z310" s="861"/>
      <c r="AA310" s="861"/>
      <c r="AB310" s="861"/>
      <c r="AC310" s="861"/>
      <c r="AD310" s="861"/>
      <c r="AE310" s="861"/>
      <c r="AF310" s="861"/>
      <c r="AG310" s="861"/>
    </row>
    <row r="311" spans="1:33" ht="17.25" customHeight="1">
      <c r="A311" s="861"/>
      <c r="B311" s="861"/>
      <c r="C311" s="861"/>
      <c r="D311" s="861"/>
      <c r="E311" s="861"/>
      <c r="F311" s="861"/>
      <c r="G311" s="861"/>
      <c r="H311" s="861"/>
      <c r="I311" s="861"/>
      <c r="J311" s="861"/>
      <c r="K311" s="861"/>
      <c r="L311" s="861"/>
      <c r="M311" s="861"/>
      <c r="N311" s="861"/>
      <c r="O311" s="861"/>
      <c r="P311" s="861"/>
      <c r="Q311" s="861"/>
      <c r="R311" s="861"/>
      <c r="S311" s="861"/>
      <c r="T311" s="861"/>
      <c r="U311" s="861"/>
      <c r="V311" s="861"/>
      <c r="W311" s="861"/>
      <c r="X311" s="861"/>
      <c r="Y311" s="861"/>
      <c r="Z311" s="861"/>
      <c r="AA311" s="861"/>
      <c r="AB311" s="861"/>
      <c r="AC311" s="861"/>
      <c r="AD311" s="861"/>
      <c r="AE311" s="861"/>
      <c r="AF311" s="861"/>
      <c r="AG311" s="861"/>
    </row>
    <row r="312" spans="1:33" ht="17.25" customHeight="1">
      <c r="A312" s="861"/>
      <c r="B312" s="861"/>
      <c r="C312" s="861"/>
      <c r="D312" s="861"/>
      <c r="E312" s="861"/>
      <c r="F312" s="861"/>
      <c r="G312" s="861"/>
      <c r="H312" s="861"/>
      <c r="I312" s="861"/>
      <c r="J312" s="861"/>
      <c r="K312" s="861"/>
      <c r="L312" s="861"/>
      <c r="M312" s="861"/>
      <c r="N312" s="861"/>
      <c r="O312" s="861"/>
      <c r="P312" s="861"/>
      <c r="Q312" s="861"/>
      <c r="R312" s="861"/>
      <c r="S312" s="861"/>
      <c r="T312" s="861"/>
      <c r="U312" s="861"/>
      <c r="V312" s="861"/>
      <c r="W312" s="861"/>
      <c r="X312" s="861"/>
      <c r="Y312" s="861"/>
      <c r="Z312" s="861"/>
      <c r="AA312" s="861"/>
      <c r="AB312" s="861"/>
      <c r="AC312" s="861"/>
      <c r="AD312" s="861"/>
      <c r="AE312" s="861"/>
      <c r="AF312" s="861"/>
      <c r="AG312" s="861"/>
    </row>
    <row r="313" spans="1:33" ht="17.25" customHeight="1">
      <c r="A313" s="861"/>
      <c r="B313" s="861"/>
      <c r="C313" s="861"/>
      <c r="D313" s="861"/>
      <c r="E313" s="861"/>
      <c r="F313" s="861"/>
      <c r="G313" s="861"/>
      <c r="H313" s="861"/>
      <c r="I313" s="861"/>
      <c r="J313" s="861"/>
      <c r="K313" s="861"/>
      <c r="L313" s="861"/>
      <c r="M313" s="861"/>
      <c r="N313" s="861"/>
      <c r="O313" s="861"/>
      <c r="P313" s="861"/>
      <c r="Q313" s="861"/>
      <c r="R313" s="861"/>
      <c r="S313" s="861"/>
      <c r="T313" s="861"/>
      <c r="U313" s="861"/>
      <c r="V313" s="861"/>
      <c r="W313" s="861"/>
      <c r="X313" s="861"/>
      <c r="Y313" s="861"/>
      <c r="Z313" s="861"/>
      <c r="AA313" s="861"/>
      <c r="AB313" s="861"/>
      <c r="AC313" s="861"/>
      <c r="AD313" s="861"/>
      <c r="AE313" s="861"/>
      <c r="AF313" s="861"/>
      <c r="AG313" s="861"/>
    </row>
    <row r="314" spans="1:33" ht="17.25" customHeight="1">
      <c r="A314" s="861"/>
      <c r="B314" s="861"/>
      <c r="C314" s="861"/>
      <c r="D314" s="861"/>
      <c r="E314" s="861"/>
      <c r="F314" s="861"/>
      <c r="G314" s="861"/>
      <c r="H314" s="861"/>
      <c r="I314" s="861"/>
      <c r="J314" s="861"/>
      <c r="K314" s="861"/>
      <c r="L314" s="861"/>
      <c r="M314" s="861"/>
      <c r="N314" s="861"/>
      <c r="O314" s="861"/>
      <c r="P314" s="861"/>
      <c r="Q314" s="861"/>
      <c r="R314" s="861"/>
      <c r="S314" s="861"/>
      <c r="T314" s="861"/>
      <c r="U314" s="861"/>
      <c r="V314" s="861"/>
      <c r="W314" s="861"/>
      <c r="X314" s="861"/>
      <c r="Y314" s="861"/>
      <c r="Z314" s="861"/>
      <c r="AA314" s="861"/>
      <c r="AB314" s="861"/>
      <c r="AC314" s="861"/>
      <c r="AD314" s="861"/>
      <c r="AE314" s="861"/>
      <c r="AF314" s="861"/>
      <c r="AG314" s="861"/>
    </row>
    <row r="315" spans="1:33" ht="17.25" customHeight="1">
      <c r="A315" s="861"/>
      <c r="B315" s="861"/>
      <c r="C315" s="861"/>
      <c r="D315" s="861"/>
      <c r="E315" s="861"/>
      <c r="F315" s="861"/>
      <c r="G315" s="861"/>
      <c r="H315" s="861"/>
      <c r="I315" s="861"/>
      <c r="J315" s="861"/>
      <c r="K315" s="861"/>
      <c r="L315" s="861"/>
      <c r="M315" s="861"/>
      <c r="N315" s="861"/>
      <c r="O315" s="861"/>
      <c r="P315" s="861"/>
      <c r="Q315" s="861"/>
      <c r="R315" s="861"/>
      <c r="S315" s="861"/>
      <c r="T315" s="861"/>
      <c r="U315" s="861"/>
      <c r="V315" s="861"/>
      <c r="W315" s="861"/>
      <c r="X315" s="861"/>
      <c r="Y315" s="861"/>
      <c r="Z315" s="861"/>
      <c r="AA315" s="861"/>
      <c r="AB315" s="861"/>
      <c r="AC315" s="861"/>
      <c r="AD315" s="861"/>
      <c r="AE315" s="861"/>
      <c r="AF315" s="861"/>
      <c r="AG315" s="861"/>
    </row>
    <row r="316" spans="1:33" ht="17.25" customHeight="1">
      <c r="A316" s="861"/>
      <c r="B316" s="861"/>
      <c r="C316" s="861"/>
      <c r="D316" s="861"/>
      <c r="E316" s="861"/>
      <c r="F316" s="861"/>
      <c r="G316" s="861"/>
      <c r="H316" s="861"/>
      <c r="I316" s="861"/>
      <c r="J316" s="861"/>
      <c r="K316" s="861"/>
      <c r="L316" s="861"/>
      <c r="M316" s="861"/>
      <c r="N316" s="861"/>
      <c r="O316" s="861"/>
      <c r="P316" s="861"/>
      <c r="Q316" s="861"/>
      <c r="R316" s="861"/>
      <c r="S316" s="861"/>
      <c r="T316" s="861"/>
      <c r="U316" s="861"/>
      <c r="V316" s="861"/>
      <c r="W316" s="861"/>
      <c r="X316" s="861"/>
      <c r="Y316" s="861"/>
      <c r="Z316" s="861"/>
      <c r="AA316" s="861"/>
      <c r="AB316" s="861"/>
      <c r="AC316" s="861"/>
      <c r="AD316" s="861"/>
      <c r="AE316" s="861"/>
      <c r="AF316" s="861"/>
      <c r="AG316" s="861"/>
    </row>
    <row r="317" spans="1:33" ht="17.25" customHeight="1">
      <c r="A317" s="861"/>
      <c r="B317" s="861"/>
      <c r="C317" s="861"/>
      <c r="D317" s="861"/>
      <c r="E317" s="861"/>
      <c r="F317" s="861"/>
      <c r="G317" s="861"/>
      <c r="H317" s="861"/>
      <c r="I317" s="861"/>
      <c r="J317" s="861"/>
      <c r="K317" s="861"/>
      <c r="L317" s="861"/>
      <c r="M317" s="861"/>
      <c r="N317" s="861"/>
      <c r="O317" s="861"/>
      <c r="P317" s="861"/>
      <c r="Q317" s="861"/>
      <c r="R317" s="861"/>
      <c r="S317" s="861"/>
      <c r="T317" s="861"/>
      <c r="U317" s="861"/>
      <c r="V317" s="861"/>
      <c r="W317" s="861"/>
      <c r="X317" s="861"/>
      <c r="Y317" s="861"/>
      <c r="Z317" s="861"/>
      <c r="AA317" s="861"/>
      <c r="AB317" s="861"/>
      <c r="AC317" s="861"/>
      <c r="AD317" s="861"/>
      <c r="AE317" s="861"/>
      <c r="AF317" s="861"/>
      <c r="AG317" s="861"/>
    </row>
    <row r="318" spans="1:33" ht="17.25" customHeight="1">
      <c r="A318" s="861"/>
      <c r="B318" s="861"/>
      <c r="C318" s="861"/>
      <c r="D318" s="861"/>
      <c r="E318" s="861"/>
      <c r="F318" s="861"/>
      <c r="G318" s="861"/>
      <c r="H318" s="861"/>
      <c r="I318" s="861"/>
      <c r="J318" s="861"/>
      <c r="K318" s="861"/>
      <c r="L318" s="861"/>
      <c r="M318" s="861"/>
      <c r="N318" s="861"/>
      <c r="O318" s="861"/>
      <c r="P318" s="861"/>
      <c r="Q318" s="861"/>
      <c r="R318" s="861"/>
      <c r="S318" s="861"/>
      <c r="T318" s="861"/>
      <c r="U318" s="861"/>
      <c r="V318" s="861"/>
      <c r="W318" s="861"/>
      <c r="X318" s="861"/>
      <c r="Y318" s="861"/>
      <c r="Z318" s="861"/>
      <c r="AA318" s="861"/>
      <c r="AB318" s="861"/>
      <c r="AC318" s="861"/>
      <c r="AD318" s="861"/>
      <c r="AE318" s="861"/>
      <c r="AF318" s="861"/>
      <c r="AG318" s="861"/>
    </row>
    <row r="319" spans="1:33" ht="17.25" customHeight="1">
      <c r="A319" s="861"/>
      <c r="B319" s="861"/>
      <c r="C319" s="861"/>
      <c r="D319" s="861"/>
      <c r="E319" s="861"/>
      <c r="F319" s="861"/>
      <c r="G319" s="861"/>
      <c r="H319" s="861"/>
      <c r="I319" s="861"/>
      <c r="J319" s="861"/>
      <c r="K319" s="861"/>
      <c r="L319" s="861"/>
      <c r="M319" s="861"/>
      <c r="N319" s="861"/>
      <c r="O319" s="861"/>
      <c r="P319" s="861"/>
      <c r="Q319" s="861"/>
      <c r="R319" s="861"/>
      <c r="S319" s="861"/>
      <c r="T319" s="861"/>
      <c r="U319" s="861"/>
      <c r="V319" s="861"/>
      <c r="W319" s="861"/>
      <c r="X319" s="861"/>
      <c r="Y319" s="861"/>
      <c r="Z319" s="861"/>
      <c r="AA319" s="861"/>
      <c r="AB319" s="861"/>
      <c r="AC319" s="861"/>
      <c r="AD319" s="861"/>
      <c r="AE319" s="861"/>
      <c r="AF319" s="861"/>
      <c r="AG319" s="861"/>
    </row>
    <row r="320" spans="1:33" ht="17.25" customHeight="1">
      <c r="A320" s="861"/>
      <c r="B320" s="861"/>
      <c r="C320" s="861"/>
      <c r="D320" s="861"/>
      <c r="E320" s="861"/>
      <c r="F320" s="861"/>
      <c r="G320" s="861"/>
      <c r="H320" s="861"/>
      <c r="I320" s="861"/>
      <c r="J320" s="861"/>
      <c r="K320" s="861"/>
      <c r="L320" s="861"/>
      <c r="M320" s="861"/>
      <c r="N320" s="861"/>
      <c r="O320" s="861"/>
      <c r="P320" s="861"/>
      <c r="Q320" s="861"/>
      <c r="R320" s="861"/>
      <c r="S320" s="861"/>
      <c r="T320" s="861"/>
      <c r="U320" s="861"/>
      <c r="V320" s="861"/>
      <c r="W320" s="861"/>
      <c r="X320" s="861"/>
      <c r="Y320" s="861"/>
      <c r="Z320" s="861"/>
      <c r="AA320" s="861"/>
      <c r="AB320" s="861"/>
      <c r="AC320" s="861"/>
      <c r="AD320" s="861"/>
      <c r="AE320" s="861"/>
      <c r="AF320" s="861"/>
      <c r="AG320" s="861"/>
    </row>
    <row r="321" spans="1:33" ht="17.25" customHeight="1">
      <c r="A321" s="861"/>
      <c r="B321" s="861"/>
      <c r="C321" s="861"/>
      <c r="D321" s="861"/>
      <c r="E321" s="861"/>
      <c r="F321" s="861"/>
      <c r="G321" s="861"/>
      <c r="H321" s="861"/>
      <c r="I321" s="861"/>
      <c r="J321" s="861"/>
      <c r="K321" s="861"/>
      <c r="L321" s="861"/>
      <c r="M321" s="861"/>
      <c r="N321" s="861"/>
      <c r="O321" s="861"/>
      <c r="P321" s="861"/>
      <c r="Q321" s="861"/>
      <c r="R321" s="861"/>
      <c r="S321" s="861"/>
      <c r="T321" s="861"/>
      <c r="U321" s="861"/>
      <c r="V321" s="861"/>
      <c r="W321" s="861"/>
      <c r="X321" s="861"/>
      <c r="Y321" s="861"/>
      <c r="Z321" s="861"/>
      <c r="AA321" s="861"/>
      <c r="AB321" s="861"/>
      <c r="AC321" s="861"/>
      <c r="AD321" s="861"/>
      <c r="AE321" s="861"/>
      <c r="AF321" s="861"/>
      <c r="AG321" s="861"/>
    </row>
    <row r="322" spans="1:33" ht="17.25" customHeight="1">
      <c r="A322" s="861"/>
      <c r="B322" s="861"/>
      <c r="C322" s="861"/>
      <c r="D322" s="861"/>
      <c r="E322" s="861"/>
      <c r="F322" s="861"/>
      <c r="G322" s="861"/>
      <c r="H322" s="861"/>
      <c r="I322" s="861"/>
      <c r="J322" s="861"/>
      <c r="K322" s="861"/>
      <c r="L322" s="861"/>
      <c r="M322" s="861"/>
      <c r="N322" s="861"/>
      <c r="O322" s="861"/>
      <c r="P322" s="861"/>
      <c r="Q322" s="861"/>
      <c r="R322" s="861"/>
      <c r="S322" s="861"/>
      <c r="T322" s="861"/>
      <c r="U322" s="861"/>
      <c r="V322" s="861"/>
      <c r="W322" s="861"/>
      <c r="X322" s="861"/>
      <c r="Y322" s="861"/>
      <c r="Z322" s="861"/>
      <c r="AA322" s="861"/>
      <c r="AB322" s="861"/>
      <c r="AC322" s="861"/>
      <c r="AD322" s="861"/>
      <c r="AE322" s="861"/>
      <c r="AF322" s="861"/>
      <c r="AG322" s="861"/>
    </row>
    <row r="323" spans="1:33" ht="17.25" customHeight="1">
      <c r="A323" s="861"/>
      <c r="B323" s="861"/>
      <c r="C323" s="861"/>
      <c r="D323" s="861"/>
      <c r="E323" s="861"/>
      <c r="F323" s="861"/>
      <c r="G323" s="861"/>
      <c r="H323" s="861"/>
      <c r="I323" s="861"/>
      <c r="J323" s="861"/>
      <c r="K323" s="861"/>
      <c r="L323" s="861"/>
      <c r="M323" s="861"/>
      <c r="N323" s="861"/>
      <c r="O323" s="861"/>
      <c r="P323" s="861"/>
      <c r="Q323" s="861"/>
      <c r="R323" s="861"/>
      <c r="S323" s="861"/>
      <c r="T323" s="861"/>
      <c r="U323" s="861"/>
      <c r="V323" s="861"/>
      <c r="W323" s="861"/>
      <c r="X323" s="861"/>
      <c r="Y323" s="861"/>
      <c r="Z323" s="861"/>
      <c r="AA323" s="861"/>
      <c r="AB323" s="861"/>
      <c r="AC323" s="861"/>
      <c r="AD323" s="861"/>
      <c r="AE323" s="861"/>
      <c r="AF323" s="861"/>
      <c r="AG323" s="861"/>
    </row>
    <row r="324" spans="1:33" ht="17.25" customHeight="1">
      <c r="A324" s="861"/>
      <c r="B324" s="861"/>
      <c r="C324" s="861"/>
      <c r="D324" s="861"/>
      <c r="E324" s="861"/>
      <c r="F324" s="861"/>
      <c r="G324" s="861"/>
      <c r="H324" s="861"/>
      <c r="I324" s="861"/>
      <c r="J324" s="861"/>
      <c r="K324" s="861"/>
      <c r="L324" s="861"/>
      <c r="M324" s="861"/>
      <c r="N324" s="861"/>
      <c r="O324" s="861"/>
      <c r="P324" s="861"/>
      <c r="Q324" s="861"/>
      <c r="R324" s="861"/>
      <c r="S324" s="861"/>
      <c r="T324" s="861"/>
      <c r="U324" s="861"/>
      <c r="V324" s="861"/>
      <c r="W324" s="861"/>
      <c r="X324" s="861"/>
      <c r="Y324" s="861"/>
      <c r="Z324" s="861"/>
      <c r="AA324" s="861"/>
      <c r="AB324" s="861"/>
      <c r="AC324" s="861"/>
      <c r="AD324" s="861"/>
      <c r="AE324" s="861"/>
      <c r="AF324" s="861"/>
      <c r="AG324" s="861"/>
    </row>
    <row r="325" spans="1:33" ht="17.25" customHeight="1">
      <c r="A325" s="861"/>
      <c r="B325" s="861"/>
      <c r="C325" s="861"/>
      <c r="D325" s="861"/>
      <c r="E325" s="861"/>
      <c r="F325" s="861"/>
      <c r="G325" s="861"/>
      <c r="H325" s="861"/>
      <c r="I325" s="861"/>
      <c r="J325" s="861"/>
      <c r="K325" s="861"/>
      <c r="L325" s="861"/>
      <c r="M325" s="861"/>
      <c r="N325" s="861"/>
      <c r="O325" s="861"/>
      <c r="P325" s="861"/>
      <c r="Q325" s="861"/>
      <c r="R325" s="861"/>
      <c r="S325" s="861"/>
      <c r="T325" s="861"/>
      <c r="U325" s="861"/>
      <c r="V325" s="861"/>
      <c r="W325" s="861"/>
      <c r="X325" s="861"/>
      <c r="Y325" s="861"/>
      <c r="Z325" s="861"/>
      <c r="AA325" s="861"/>
      <c r="AB325" s="861"/>
      <c r="AC325" s="861"/>
      <c r="AD325" s="861"/>
      <c r="AE325" s="861"/>
      <c r="AF325" s="861"/>
      <c r="AG325" s="861"/>
    </row>
    <row r="326" spans="1:33" ht="17.25" customHeight="1">
      <c r="A326" s="861"/>
      <c r="B326" s="861"/>
      <c r="C326" s="861"/>
      <c r="D326" s="861"/>
      <c r="E326" s="861"/>
      <c r="F326" s="861"/>
      <c r="G326" s="861"/>
      <c r="H326" s="861"/>
      <c r="I326" s="861"/>
      <c r="J326" s="861"/>
      <c r="K326" s="861"/>
      <c r="L326" s="861"/>
      <c r="M326" s="861"/>
      <c r="N326" s="861"/>
      <c r="O326" s="861"/>
      <c r="P326" s="861"/>
      <c r="Q326" s="861"/>
      <c r="R326" s="861"/>
      <c r="S326" s="861"/>
      <c r="T326" s="861"/>
      <c r="U326" s="861"/>
      <c r="V326" s="861"/>
      <c r="W326" s="861"/>
      <c r="X326" s="861"/>
      <c r="Y326" s="861"/>
      <c r="Z326" s="861"/>
      <c r="AA326" s="861"/>
      <c r="AB326" s="861"/>
      <c r="AC326" s="861"/>
      <c r="AD326" s="861"/>
      <c r="AE326" s="861"/>
      <c r="AF326" s="861"/>
      <c r="AG326" s="861"/>
    </row>
    <row r="327" spans="1:33" ht="17.25" customHeight="1">
      <c r="A327" s="861"/>
      <c r="B327" s="861"/>
      <c r="C327" s="861"/>
      <c r="D327" s="861"/>
      <c r="E327" s="861"/>
      <c r="F327" s="861"/>
      <c r="G327" s="861"/>
      <c r="H327" s="861"/>
      <c r="I327" s="861"/>
      <c r="J327" s="861"/>
      <c r="K327" s="861"/>
      <c r="L327" s="861"/>
      <c r="M327" s="861"/>
      <c r="N327" s="861"/>
      <c r="O327" s="861"/>
      <c r="P327" s="861"/>
      <c r="Q327" s="861"/>
      <c r="R327" s="861"/>
      <c r="S327" s="861"/>
      <c r="T327" s="861"/>
      <c r="U327" s="861"/>
      <c r="V327" s="861"/>
      <c r="W327" s="861"/>
      <c r="X327" s="861"/>
      <c r="Y327" s="861"/>
      <c r="Z327" s="861"/>
      <c r="AA327" s="861"/>
      <c r="AB327" s="861"/>
      <c r="AC327" s="861"/>
      <c r="AD327" s="861"/>
      <c r="AE327" s="861"/>
      <c r="AF327" s="861"/>
      <c r="AG327" s="861"/>
    </row>
    <row r="328" spans="1:33" ht="17.25" customHeight="1">
      <c r="A328" s="861"/>
      <c r="B328" s="861"/>
      <c r="C328" s="861"/>
      <c r="D328" s="861"/>
      <c r="E328" s="861"/>
      <c r="F328" s="861"/>
      <c r="G328" s="861"/>
      <c r="H328" s="861"/>
      <c r="I328" s="861"/>
      <c r="J328" s="861"/>
      <c r="K328" s="861"/>
      <c r="L328" s="861"/>
      <c r="M328" s="861"/>
      <c r="N328" s="861"/>
      <c r="O328" s="861"/>
      <c r="P328" s="861"/>
      <c r="Q328" s="861"/>
      <c r="R328" s="861"/>
      <c r="S328" s="861"/>
      <c r="T328" s="861"/>
      <c r="U328" s="861"/>
      <c r="V328" s="861"/>
      <c r="W328" s="861"/>
      <c r="X328" s="861"/>
      <c r="Y328" s="861"/>
      <c r="Z328" s="861"/>
      <c r="AA328" s="861"/>
      <c r="AB328" s="861"/>
      <c r="AC328" s="861"/>
      <c r="AD328" s="861"/>
      <c r="AE328" s="861"/>
      <c r="AF328" s="861"/>
      <c r="AG328" s="861"/>
    </row>
    <row r="329" spans="1:33" ht="17.25" customHeight="1">
      <c r="A329" s="861"/>
      <c r="B329" s="861"/>
      <c r="C329" s="861"/>
      <c r="D329" s="861"/>
      <c r="E329" s="861"/>
      <c r="F329" s="861"/>
      <c r="G329" s="861"/>
      <c r="H329" s="861"/>
      <c r="I329" s="861"/>
      <c r="J329" s="861"/>
      <c r="K329" s="861"/>
      <c r="L329" s="861"/>
      <c r="M329" s="861"/>
      <c r="N329" s="861"/>
      <c r="O329" s="861"/>
      <c r="P329" s="861"/>
      <c r="Q329" s="861"/>
      <c r="R329" s="861"/>
      <c r="S329" s="861"/>
      <c r="T329" s="861"/>
      <c r="U329" s="861"/>
      <c r="V329" s="861"/>
      <c r="W329" s="861"/>
      <c r="X329" s="861"/>
      <c r="Y329" s="861"/>
      <c r="Z329" s="861"/>
      <c r="AA329" s="861"/>
      <c r="AB329" s="861"/>
      <c r="AC329" s="861"/>
      <c r="AD329" s="861"/>
      <c r="AE329" s="861"/>
      <c r="AF329" s="861"/>
      <c r="AG329" s="861"/>
    </row>
    <row r="330" spans="1:33" ht="17.25" customHeight="1">
      <c r="A330" s="861"/>
      <c r="B330" s="861"/>
      <c r="C330" s="861"/>
      <c r="D330" s="861"/>
      <c r="E330" s="861"/>
      <c r="F330" s="861"/>
      <c r="G330" s="861"/>
      <c r="H330" s="861"/>
      <c r="I330" s="861"/>
      <c r="J330" s="861"/>
      <c r="K330" s="861"/>
      <c r="L330" s="861"/>
      <c r="M330" s="861"/>
      <c r="N330" s="861"/>
      <c r="O330" s="861"/>
      <c r="P330" s="861"/>
      <c r="Q330" s="861"/>
      <c r="R330" s="861"/>
      <c r="S330" s="861"/>
      <c r="T330" s="861"/>
      <c r="U330" s="861"/>
      <c r="V330" s="861"/>
      <c r="W330" s="861"/>
      <c r="X330" s="861"/>
      <c r="Y330" s="861"/>
      <c r="Z330" s="861"/>
      <c r="AA330" s="861"/>
      <c r="AB330" s="861"/>
      <c r="AC330" s="861"/>
      <c r="AD330" s="861"/>
      <c r="AE330" s="861"/>
      <c r="AF330" s="861"/>
      <c r="AG330" s="861"/>
    </row>
    <row r="331" spans="1:33" ht="17.25" customHeight="1">
      <c r="A331" s="861"/>
      <c r="B331" s="861"/>
      <c r="C331" s="861"/>
      <c r="D331" s="861"/>
      <c r="E331" s="861"/>
      <c r="F331" s="861"/>
      <c r="G331" s="861"/>
      <c r="H331" s="861"/>
      <c r="I331" s="861"/>
      <c r="J331" s="861"/>
      <c r="K331" s="861"/>
      <c r="L331" s="861"/>
      <c r="M331" s="861"/>
      <c r="N331" s="861"/>
      <c r="O331" s="861"/>
      <c r="P331" s="861"/>
      <c r="Q331" s="861"/>
      <c r="R331" s="861"/>
      <c r="S331" s="861"/>
      <c r="T331" s="861"/>
      <c r="U331" s="861"/>
      <c r="V331" s="861"/>
      <c r="W331" s="861"/>
      <c r="X331" s="861"/>
      <c r="Y331" s="861"/>
      <c r="Z331" s="861"/>
      <c r="AA331" s="861"/>
      <c r="AB331" s="861"/>
      <c r="AC331" s="861"/>
      <c r="AD331" s="861"/>
      <c r="AE331" s="861"/>
      <c r="AF331" s="861"/>
      <c r="AG331" s="861"/>
    </row>
    <row r="332" spans="1:33" ht="17.25" customHeight="1">
      <c r="A332" s="861"/>
      <c r="B332" s="861"/>
      <c r="C332" s="861"/>
      <c r="D332" s="861"/>
      <c r="E332" s="861"/>
      <c r="F332" s="861"/>
      <c r="G332" s="861"/>
      <c r="H332" s="861"/>
      <c r="I332" s="861"/>
      <c r="J332" s="861"/>
      <c r="K332" s="861"/>
      <c r="L332" s="861"/>
      <c r="M332" s="861"/>
      <c r="N332" s="861"/>
      <c r="O332" s="861"/>
      <c r="P332" s="861"/>
      <c r="Q332" s="861"/>
      <c r="R332" s="861"/>
      <c r="S332" s="861"/>
      <c r="T332" s="861"/>
      <c r="U332" s="861"/>
      <c r="V332" s="861"/>
      <c r="W332" s="861"/>
      <c r="X332" s="861"/>
      <c r="Y332" s="861"/>
      <c r="Z332" s="861"/>
      <c r="AA332" s="861"/>
      <c r="AB332" s="861"/>
      <c r="AC332" s="861"/>
      <c r="AD332" s="861"/>
      <c r="AE332" s="861"/>
      <c r="AF332" s="861"/>
      <c r="AG332" s="861"/>
    </row>
    <row r="333" spans="1:33" ht="17.25" customHeight="1">
      <c r="A333" s="861"/>
      <c r="B333" s="861"/>
      <c r="C333" s="861"/>
      <c r="D333" s="861"/>
      <c r="E333" s="861"/>
      <c r="F333" s="861"/>
      <c r="G333" s="861"/>
      <c r="H333" s="861"/>
      <c r="I333" s="861"/>
      <c r="J333" s="861"/>
      <c r="K333" s="861"/>
      <c r="L333" s="861"/>
      <c r="M333" s="861"/>
      <c r="N333" s="861"/>
      <c r="O333" s="861"/>
      <c r="P333" s="861"/>
      <c r="Q333" s="861"/>
      <c r="R333" s="861"/>
      <c r="S333" s="861"/>
      <c r="T333" s="861"/>
      <c r="U333" s="861"/>
      <c r="V333" s="861"/>
      <c r="W333" s="861"/>
      <c r="X333" s="861"/>
      <c r="Y333" s="861"/>
      <c r="Z333" s="861"/>
      <c r="AA333" s="861"/>
      <c r="AB333" s="861"/>
      <c r="AC333" s="861"/>
      <c r="AD333" s="861"/>
      <c r="AE333" s="861"/>
      <c r="AF333" s="861"/>
      <c r="AG333" s="861"/>
    </row>
    <row r="334" spans="1:33" ht="17.25" customHeight="1">
      <c r="A334" s="861"/>
      <c r="B334" s="861"/>
      <c r="C334" s="861"/>
      <c r="D334" s="861"/>
      <c r="E334" s="861"/>
      <c r="F334" s="861"/>
      <c r="G334" s="861"/>
      <c r="H334" s="861"/>
      <c r="I334" s="861"/>
      <c r="J334" s="861"/>
      <c r="K334" s="861"/>
      <c r="L334" s="861"/>
      <c r="M334" s="861"/>
      <c r="N334" s="861"/>
      <c r="O334" s="861"/>
      <c r="P334" s="861"/>
      <c r="Q334" s="861"/>
      <c r="R334" s="861"/>
      <c r="S334" s="861"/>
      <c r="T334" s="861"/>
      <c r="U334" s="861"/>
      <c r="V334" s="861"/>
      <c r="W334" s="861"/>
      <c r="X334" s="861"/>
      <c r="Y334" s="861"/>
      <c r="Z334" s="861"/>
      <c r="AA334" s="861"/>
      <c r="AB334" s="861"/>
      <c r="AC334" s="861"/>
      <c r="AD334" s="861"/>
      <c r="AE334" s="861"/>
      <c r="AF334" s="861"/>
      <c r="AG334" s="861"/>
    </row>
    <row r="335" spans="1:33" ht="17.25" customHeight="1">
      <c r="A335" s="861"/>
      <c r="B335" s="861"/>
      <c r="C335" s="861"/>
      <c r="D335" s="861"/>
      <c r="E335" s="861"/>
      <c r="F335" s="861"/>
      <c r="G335" s="861"/>
      <c r="H335" s="861"/>
      <c r="I335" s="861"/>
      <c r="J335" s="861"/>
      <c r="K335" s="861"/>
      <c r="L335" s="861"/>
      <c r="M335" s="861"/>
      <c r="N335" s="861"/>
      <c r="O335" s="861"/>
      <c r="P335" s="861"/>
      <c r="Q335" s="861"/>
      <c r="R335" s="861"/>
      <c r="S335" s="861"/>
      <c r="T335" s="861"/>
      <c r="U335" s="861"/>
      <c r="V335" s="861"/>
      <c r="W335" s="861"/>
      <c r="X335" s="861"/>
      <c r="Y335" s="861"/>
      <c r="Z335" s="861"/>
      <c r="AA335" s="861"/>
      <c r="AB335" s="861"/>
      <c r="AC335" s="861"/>
      <c r="AD335" s="861"/>
      <c r="AE335" s="861"/>
      <c r="AF335" s="861"/>
      <c r="AG335" s="861"/>
    </row>
    <row r="336" spans="1:33" ht="17.25" customHeight="1">
      <c r="A336" s="861"/>
      <c r="B336" s="861"/>
      <c r="C336" s="861"/>
      <c r="D336" s="861"/>
      <c r="E336" s="861"/>
      <c r="F336" s="861"/>
      <c r="G336" s="861"/>
      <c r="H336" s="861"/>
      <c r="I336" s="861"/>
      <c r="J336" s="861"/>
      <c r="K336" s="861"/>
      <c r="L336" s="861"/>
      <c r="M336" s="861"/>
      <c r="N336" s="861"/>
      <c r="O336" s="861"/>
      <c r="P336" s="861"/>
      <c r="Q336" s="861"/>
      <c r="R336" s="861"/>
      <c r="S336" s="861"/>
      <c r="T336" s="861"/>
      <c r="U336" s="861"/>
      <c r="V336" s="861"/>
      <c r="W336" s="861"/>
      <c r="X336" s="861"/>
      <c r="Y336" s="861"/>
      <c r="Z336" s="861"/>
      <c r="AA336" s="861"/>
      <c r="AB336" s="861"/>
      <c r="AC336" s="861"/>
      <c r="AD336" s="861"/>
      <c r="AE336" s="861"/>
      <c r="AF336" s="861"/>
      <c r="AG336" s="861"/>
    </row>
    <row r="337" spans="1:33" ht="17.25" customHeight="1">
      <c r="A337" s="861"/>
      <c r="B337" s="861"/>
      <c r="C337" s="861"/>
      <c r="D337" s="861"/>
      <c r="E337" s="861"/>
      <c r="F337" s="861"/>
      <c r="G337" s="861"/>
      <c r="H337" s="861"/>
      <c r="I337" s="861"/>
      <c r="J337" s="861"/>
      <c r="K337" s="861"/>
      <c r="L337" s="861"/>
      <c r="M337" s="861"/>
      <c r="N337" s="861"/>
      <c r="O337" s="861"/>
      <c r="P337" s="861"/>
      <c r="Q337" s="861"/>
      <c r="R337" s="861"/>
      <c r="S337" s="861"/>
      <c r="T337" s="861"/>
      <c r="U337" s="861"/>
      <c r="V337" s="861"/>
      <c r="W337" s="861"/>
      <c r="X337" s="861"/>
      <c r="Y337" s="861"/>
      <c r="Z337" s="861"/>
      <c r="AA337" s="861"/>
      <c r="AB337" s="861"/>
      <c r="AC337" s="861"/>
      <c r="AD337" s="861"/>
      <c r="AE337" s="861"/>
      <c r="AF337" s="861"/>
      <c r="AG337" s="861"/>
    </row>
    <row r="338" spans="1:33" ht="17.25" customHeight="1">
      <c r="A338" s="861"/>
      <c r="B338" s="861"/>
      <c r="C338" s="861"/>
      <c r="D338" s="861"/>
      <c r="E338" s="861"/>
      <c r="F338" s="861"/>
      <c r="G338" s="861"/>
      <c r="H338" s="861"/>
      <c r="I338" s="861"/>
      <c r="J338" s="861"/>
      <c r="K338" s="861"/>
      <c r="L338" s="861"/>
      <c r="M338" s="861"/>
      <c r="N338" s="861"/>
      <c r="O338" s="861"/>
      <c r="P338" s="861"/>
      <c r="Q338" s="861"/>
      <c r="R338" s="861"/>
      <c r="S338" s="861"/>
      <c r="T338" s="861"/>
      <c r="U338" s="861"/>
      <c r="V338" s="861"/>
      <c r="W338" s="861"/>
      <c r="X338" s="861"/>
      <c r="Y338" s="861"/>
      <c r="Z338" s="861"/>
      <c r="AA338" s="861"/>
      <c r="AB338" s="861"/>
      <c r="AC338" s="861"/>
      <c r="AD338" s="861"/>
      <c r="AE338" s="861"/>
      <c r="AF338" s="861"/>
      <c r="AG338" s="861"/>
    </row>
    <row r="339" spans="1:33" ht="17.25" customHeight="1">
      <c r="A339" s="861"/>
      <c r="B339" s="861"/>
      <c r="C339" s="861"/>
      <c r="D339" s="861"/>
      <c r="E339" s="861"/>
      <c r="F339" s="861"/>
      <c r="G339" s="861"/>
      <c r="H339" s="861"/>
      <c r="I339" s="861"/>
      <c r="J339" s="861"/>
      <c r="K339" s="861"/>
      <c r="L339" s="861"/>
      <c r="M339" s="861"/>
      <c r="N339" s="861"/>
      <c r="O339" s="861"/>
      <c r="P339" s="861"/>
      <c r="Q339" s="861"/>
      <c r="R339" s="861"/>
      <c r="S339" s="861"/>
      <c r="T339" s="861"/>
      <c r="U339" s="861"/>
      <c r="V339" s="861"/>
      <c r="W339" s="861"/>
      <c r="X339" s="861"/>
      <c r="Y339" s="861"/>
      <c r="Z339" s="861"/>
      <c r="AA339" s="861"/>
      <c r="AB339" s="861"/>
      <c r="AC339" s="861"/>
      <c r="AD339" s="861"/>
      <c r="AE339" s="861"/>
      <c r="AF339" s="861"/>
      <c r="AG339" s="861"/>
    </row>
    <row r="340" spans="1:33" ht="17.25" customHeight="1">
      <c r="A340" s="861"/>
      <c r="B340" s="861"/>
      <c r="C340" s="861"/>
      <c r="D340" s="861"/>
      <c r="E340" s="861"/>
      <c r="F340" s="861"/>
      <c r="G340" s="861"/>
      <c r="H340" s="861"/>
      <c r="I340" s="861"/>
      <c r="J340" s="861"/>
      <c r="K340" s="861"/>
      <c r="L340" s="861"/>
      <c r="M340" s="861"/>
      <c r="N340" s="861"/>
      <c r="O340" s="861"/>
      <c r="P340" s="861"/>
      <c r="Q340" s="861"/>
      <c r="R340" s="861"/>
      <c r="S340" s="861"/>
      <c r="T340" s="861"/>
      <c r="U340" s="861"/>
      <c r="V340" s="861"/>
      <c r="W340" s="861"/>
      <c r="X340" s="861"/>
      <c r="Y340" s="861"/>
      <c r="Z340" s="861"/>
      <c r="AA340" s="861"/>
      <c r="AB340" s="861"/>
      <c r="AC340" s="861"/>
      <c r="AD340" s="861"/>
      <c r="AE340" s="861"/>
      <c r="AF340" s="861"/>
      <c r="AG340" s="861"/>
    </row>
    <row r="341" spans="1:33" ht="17.25" customHeight="1">
      <c r="A341" s="861"/>
      <c r="B341" s="861"/>
      <c r="C341" s="861"/>
      <c r="D341" s="861"/>
      <c r="E341" s="861"/>
      <c r="F341" s="861"/>
      <c r="G341" s="861"/>
      <c r="H341" s="861"/>
      <c r="I341" s="861"/>
      <c r="J341" s="861"/>
      <c r="K341" s="861"/>
      <c r="L341" s="861"/>
      <c r="M341" s="861"/>
      <c r="N341" s="861"/>
      <c r="O341" s="861"/>
      <c r="P341" s="861"/>
      <c r="Q341" s="861"/>
      <c r="R341" s="861"/>
      <c r="S341" s="861"/>
      <c r="T341" s="861"/>
      <c r="U341" s="861"/>
      <c r="V341" s="861"/>
      <c r="W341" s="861"/>
      <c r="X341" s="861"/>
      <c r="Y341" s="861"/>
      <c r="Z341" s="861"/>
      <c r="AA341" s="861"/>
      <c r="AB341" s="861"/>
      <c r="AC341" s="861"/>
      <c r="AD341" s="861"/>
      <c r="AE341" s="861"/>
      <c r="AF341" s="861"/>
      <c r="AG341" s="861"/>
    </row>
    <row r="342" spans="1:33" ht="17.25" customHeight="1">
      <c r="A342" s="861"/>
      <c r="B342" s="861"/>
      <c r="C342" s="861"/>
      <c r="D342" s="861"/>
      <c r="E342" s="861"/>
      <c r="F342" s="861"/>
      <c r="G342" s="861"/>
      <c r="H342" s="861"/>
      <c r="I342" s="861"/>
      <c r="J342" s="861"/>
      <c r="K342" s="861"/>
      <c r="L342" s="861"/>
      <c r="M342" s="861"/>
      <c r="N342" s="861"/>
      <c r="O342" s="861"/>
      <c r="P342" s="861"/>
      <c r="Q342" s="861"/>
      <c r="R342" s="861"/>
      <c r="S342" s="861"/>
      <c r="T342" s="861"/>
      <c r="U342" s="861"/>
      <c r="V342" s="861"/>
      <c r="W342" s="861"/>
      <c r="X342" s="861"/>
      <c r="Y342" s="861"/>
      <c r="Z342" s="861"/>
      <c r="AA342" s="861"/>
      <c r="AB342" s="861"/>
      <c r="AC342" s="861"/>
      <c r="AD342" s="861"/>
      <c r="AE342" s="861"/>
      <c r="AF342" s="861"/>
      <c r="AG342" s="861"/>
    </row>
    <row r="343" spans="1:33" ht="17.25" customHeight="1">
      <c r="A343" s="861"/>
      <c r="B343" s="861"/>
      <c r="C343" s="861"/>
      <c r="D343" s="861"/>
      <c r="E343" s="861"/>
      <c r="F343" s="861"/>
      <c r="G343" s="861"/>
      <c r="H343" s="861"/>
      <c r="I343" s="861"/>
      <c r="J343" s="861"/>
      <c r="K343" s="861"/>
      <c r="L343" s="861"/>
      <c r="M343" s="861"/>
      <c r="N343" s="861"/>
      <c r="O343" s="861"/>
      <c r="P343" s="861"/>
      <c r="Q343" s="861"/>
      <c r="R343" s="861"/>
      <c r="S343" s="861"/>
      <c r="T343" s="861"/>
      <c r="U343" s="861"/>
      <c r="V343" s="861"/>
      <c r="W343" s="861"/>
      <c r="X343" s="861"/>
      <c r="Y343" s="861"/>
      <c r="Z343" s="861"/>
      <c r="AA343" s="861"/>
      <c r="AB343" s="861"/>
      <c r="AC343" s="861"/>
      <c r="AD343" s="861"/>
      <c r="AE343" s="861"/>
      <c r="AF343" s="861"/>
      <c r="AG343" s="861"/>
    </row>
    <row r="344" spans="1:33" ht="17.25" customHeight="1">
      <c r="A344" s="861"/>
      <c r="B344" s="861"/>
      <c r="C344" s="861"/>
      <c r="D344" s="861"/>
      <c r="E344" s="861"/>
      <c r="F344" s="861"/>
      <c r="G344" s="861"/>
      <c r="H344" s="861"/>
      <c r="I344" s="861"/>
      <c r="J344" s="861"/>
      <c r="K344" s="861"/>
      <c r="L344" s="861"/>
      <c r="M344" s="861"/>
      <c r="N344" s="861"/>
      <c r="O344" s="861"/>
      <c r="P344" s="861"/>
      <c r="Q344" s="861"/>
      <c r="R344" s="861"/>
      <c r="S344" s="861"/>
      <c r="T344" s="861"/>
      <c r="U344" s="861"/>
      <c r="V344" s="861"/>
      <c r="W344" s="861"/>
      <c r="X344" s="861"/>
      <c r="Y344" s="861"/>
      <c r="Z344" s="861"/>
      <c r="AA344" s="861"/>
      <c r="AB344" s="861"/>
      <c r="AC344" s="861"/>
      <c r="AD344" s="861"/>
      <c r="AE344" s="861"/>
      <c r="AF344" s="861"/>
      <c r="AG344" s="861"/>
    </row>
    <row r="345" spans="1:33" ht="17.25" customHeight="1">
      <c r="A345" s="861"/>
      <c r="B345" s="861"/>
      <c r="C345" s="861"/>
      <c r="D345" s="861"/>
      <c r="E345" s="861"/>
      <c r="F345" s="861"/>
      <c r="G345" s="861"/>
      <c r="H345" s="861"/>
      <c r="I345" s="861"/>
      <c r="J345" s="861"/>
      <c r="K345" s="861"/>
      <c r="L345" s="861"/>
      <c r="M345" s="861"/>
      <c r="N345" s="861"/>
      <c r="O345" s="861"/>
      <c r="P345" s="861"/>
      <c r="Q345" s="861"/>
      <c r="R345" s="861"/>
      <c r="S345" s="861"/>
      <c r="T345" s="861"/>
      <c r="U345" s="861"/>
      <c r="V345" s="861"/>
      <c r="W345" s="861"/>
      <c r="X345" s="861"/>
      <c r="Y345" s="861"/>
      <c r="Z345" s="861"/>
      <c r="AA345" s="861"/>
      <c r="AB345" s="861"/>
      <c r="AC345" s="861"/>
      <c r="AD345" s="861"/>
      <c r="AE345" s="861"/>
      <c r="AF345" s="861"/>
      <c r="AG345" s="861"/>
    </row>
    <row r="346" spans="1:33" ht="17.25" customHeight="1">
      <c r="A346" s="861"/>
      <c r="B346" s="861"/>
      <c r="C346" s="861"/>
      <c r="D346" s="861"/>
      <c r="E346" s="861"/>
      <c r="F346" s="861"/>
      <c r="G346" s="861"/>
      <c r="H346" s="861"/>
      <c r="I346" s="861"/>
      <c r="J346" s="861"/>
      <c r="K346" s="861"/>
      <c r="L346" s="861"/>
      <c r="M346" s="861"/>
      <c r="N346" s="861"/>
      <c r="O346" s="861"/>
      <c r="P346" s="861"/>
      <c r="Q346" s="861"/>
      <c r="R346" s="861"/>
      <c r="S346" s="861"/>
      <c r="T346" s="861"/>
      <c r="U346" s="861"/>
      <c r="V346" s="861"/>
      <c r="W346" s="861"/>
      <c r="X346" s="861"/>
      <c r="Y346" s="861"/>
      <c r="Z346" s="861"/>
      <c r="AA346" s="861"/>
      <c r="AB346" s="861"/>
      <c r="AC346" s="861"/>
      <c r="AD346" s="861"/>
      <c r="AE346" s="861"/>
      <c r="AF346" s="861"/>
      <c r="AG346" s="861"/>
    </row>
    <row r="347" spans="1:33" ht="17.25" customHeight="1">
      <c r="A347" s="861"/>
      <c r="B347" s="861"/>
      <c r="C347" s="861"/>
      <c r="D347" s="861"/>
      <c r="E347" s="861"/>
      <c r="F347" s="861"/>
      <c r="G347" s="861"/>
      <c r="H347" s="861"/>
      <c r="I347" s="861"/>
      <c r="J347" s="861"/>
      <c r="K347" s="861"/>
      <c r="L347" s="861"/>
      <c r="M347" s="861"/>
      <c r="N347" s="861"/>
      <c r="O347" s="861"/>
      <c r="P347" s="861"/>
      <c r="Q347" s="861"/>
      <c r="R347" s="861"/>
      <c r="S347" s="861"/>
      <c r="T347" s="861"/>
      <c r="U347" s="861"/>
      <c r="V347" s="861"/>
      <c r="W347" s="861"/>
      <c r="X347" s="861"/>
      <c r="Y347" s="861"/>
      <c r="Z347" s="861"/>
      <c r="AA347" s="861"/>
      <c r="AB347" s="861"/>
      <c r="AC347" s="861"/>
      <c r="AD347" s="861"/>
      <c r="AE347" s="861"/>
      <c r="AF347" s="861"/>
      <c r="AG347" s="861"/>
    </row>
    <row r="348" spans="1:33" ht="17.25" customHeight="1">
      <c r="A348" s="861"/>
      <c r="B348" s="861"/>
      <c r="C348" s="861"/>
      <c r="D348" s="861"/>
      <c r="E348" s="861"/>
      <c r="F348" s="861"/>
      <c r="G348" s="861"/>
      <c r="H348" s="861"/>
      <c r="I348" s="861"/>
      <c r="J348" s="861"/>
      <c r="K348" s="861"/>
      <c r="L348" s="861"/>
      <c r="M348" s="861"/>
      <c r="N348" s="861"/>
      <c r="O348" s="861"/>
      <c r="P348" s="861"/>
      <c r="Q348" s="861"/>
      <c r="R348" s="861"/>
      <c r="S348" s="861"/>
      <c r="T348" s="861"/>
      <c r="U348" s="861"/>
      <c r="V348" s="861"/>
      <c r="W348" s="861"/>
      <c r="X348" s="861"/>
      <c r="Y348" s="861"/>
      <c r="Z348" s="861"/>
      <c r="AA348" s="861"/>
      <c r="AB348" s="861"/>
      <c r="AC348" s="861"/>
      <c r="AD348" s="861"/>
      <c r="AE348" s="861"/>
      <c r="AF348" s="861"/>
      <c r="AG348" s="861"/>
    </row>
    <row r="349" spans="1:33" ht="17.25" customHeight="1">
      <c r="A349" s="861"/>
      <c r="B349" s="861"/>
      <c r="C349" s="861"/>
      <c r="D349" s="861"/>
      <c r="E349" s="861"/>
      <c r="F349" s="861"/>
      <c r="G349" s="861"/>
      <c r="H349" s="861"/>
      <c r="I349" s="861"/>
      <c r="J349" s="861"/>
      <c r="K349" s="861"/>
      <c r="L349" s="861"/>
      <c r="M349" s="861"/>
      <c r="N349" s="861"/>
      <c r="O349" s="861"/>
      <c r="P349" s="861"/>
      <c r="Q349" s="861"/>
      <c r="R349" s="861"/>
      <c r="S349" s="861"/>
      <c r="T349" s="861"/>
      <c r="U349" s="861"/>
      <c r="V349" s="861"/>
      <c r="W349" s="861"/>
      <c r="X349" s="861"/>
      <c r="Y349" s="861"/>
      <c r="Z349" s="861"/>
      <c r="AA349" s="861"/>
      <c r="AB349" s="861"/>
      <c r="AC349" s="861"/>
      <c r="AD349" s="861"/>
      <c r="AE349" s="861"/>
      <c r="AF349" s="861"/>
      <c r="AG349" s="861"/>
    </row>
    <row r="350" spans="1:33" ht="17.25" customHeight="1">
      <c r="A350" s="861"/>
      <c r="B350" s="861"/>
      <c r="C350" s="861"/>
      <c r="D350" s="861"/>
      <c r="E350" s="861"/>
      <c r="F350" s="861"/>
      <c r="G350" s="861"/>
      <c r="H350" s="861"/>
      <c r="I350" s="861"/>
      <c r="J350" s="861"/>
      <c r="K350" s="861"/>
      <c r="L350" s="861"/>
      <c r="M350" s="861"/>
      <c r="N350" s="861"/>
      <c r="O350" s="861"/>
      <c r="P350" s="861"/>
      <c r="Q350" s="861"/>
      <c r="R350" s="861"/>
      <c r="S350" s="861"/>
      <c r="T350" s="861"/>
      <c r="U350" s="861"/>
      <c r="V350" s="861"/>
      <c r="W350" s="861"/>
      <c r="X350" s="861"/>
      <c r="Y350" s="861"/>
      <c r="Z350" s="861"/>
      <c r="AA350" s="861"/>
      <c r="AB350" s="861"/>
      <c r="AC350" s="861"/>
      <c r="AD350" s="861"/>
      <c r="AE350" s="861"/>
      <c r="AF350" s="861"/>
      <c r="AG350" s="861"/>
    </row>
    <row r="351" spans="1:33" ht="17.25" customHeight="1">
      <c r="A351" s="861"/>
      <c r="B351" s="861"/>
      <c r="C351" s="861"/>
      <c r="D351" s="861"/>
      <c r="E351" s="861"/>
      <c r="F351" s="861"/>
      <c r="G351" s="861"/>
      <c r="H351" s="861"/>
      <c r="I351" s="861"/>
      <c r="J351" s="861"/>
      <c r="K351" s="861"/>
      <c r="L351" s="861"/>
      <c r="M351" s="861"/>
      <c r="N351" s="861"/>
      <c r="O351" s="861"/>
      <c r="P351" s="861"/>
      <c r="Q351" s="861"/>
      <c r="R351" s="861"/>
      <c r="S351" s="861"/>
      <c r="T351" s="861"/>
      <c r="U351" s="861"/>
      <c r="V351" s="861"/>
      <c r="W351" s="861"/>
      <c r="X351" s="861"/>
      <c r="Y351" s="861"/>
      <c r="Z351" s="861"/>
      <c r="AA351" s="861"/>
      <c r="AB351" s="861"/>
      <c r="AC351" s="861"/>
      <c r="AD351" s="861"/>
      <c r="AE351" s="861"/>
      <c r="AF351" s="861"/>
      <c r="AG351" s="861"/>
    </row>
    <row r="352" spans="1:33" ht="17.25" customHeight="1">
      <c r="A352" s="861"/>
      <c r="B352" s="861"/>
      <c r="C352" s="861"/>
      <c r="D352" s="861"/>
      <c r="E352" s="861"/>
      <c r="F352" s="861"/>
      <c r="G352" s="861"/>
      <c r="H352" s="861"/>
      <c r="I352" s="861"/>
      <c r="J352" s="861"/>
      <c r="K352" s="861"/>
      <c r="L352" s="861"/>
      <c r="M352" s="861"/>
      <c r="N352" s="861"/>
      <c r="O352" s="861"/>
      <c r="P352" s="861"/>
      <c r="Q352" s="861"/>
      <c r="R352" s="861"/>
      <c r="S352" s="861"/>
      <c r="T352" s="861"/>
      <c r="U352" s="861"/>
      <c r="V352" s="861"/>
      <c r="W352" s="861"/>
      <c r="X352" s="861"/>
      <c r="Y352" s="861"/>
      <c r="Z352" s="861"/>
      <c r="AA352" s="861"/>
      <c r="AB352" s="861"/>
      <c r="AC352" s="861"/>
      <c r="AD352" s="861"/>
      <c r="AE352" s="861"/>
      <c r="AF352" s="861"/>
      <c r="AG352" s="861"/>
    </row>
    <row r="353" spans="1:33" ht="17.25" customHeight="1">
      <c r="A353" s="861"/>
      <c r="B353" s="861"/>
      <c r="C353" s="861"/>
      <c r="D353" s="861"/>
      <c r="E353" s="861"/>
      <c r="F353" s="861"/>
      <c r="G353" s="861"/>
      <c r="H353" s="861"/>
      <c r="I353" s="861"/>
      <c r="J353" s="861"/>
      <c r="K353" s="861"/>
      <c r="L353" s="861"/>
      <c r="M353" s="861"/>
      <c r="N353" s="861"/>
      <c r="O353" s="861"/>
      <c r="P353" s="861"/>
      <c r="Q353" s="861"/>
      <c r="R353" s="861"/>
      <c r="S353" s="861"/>
      <c r="T353" s="861"/>
      <c r="U353" s="861"/>
      <c r="V353" s="861"/>
      <c r="W353" s="861"/>
      <c r="X353" s="861"/>
      <c r="Y353" s="861"/>
      <c r="Z353" s="861"/>
      <c r="AA353" s="861"/>
      <c r="AB353" s="861"/>
      <c r="AC353" s="861"/>
      <c r="AD353" s="861"/>
      <c r="AE353" s="861"/>
      <c r="AF353" s="861"/>
      <c r="AG353" s="861"/>
    </row>
    <row r="354" spans="1:33" ht="17.25" customHeight="1">
      <c r="A354" s="861"/>
      <c r="B354" s="861"/>
      <c r="C354" s="861"/>
      <c r="D354" s="861"/>
      <c r="E354" s="861"/>
      <c r="F354" s="861"/>
      <c r="G354" s="861"/>
      <c r="H354" s="861"/>
      <c r="I354" s="861"/>
      <c r="J354" s="861"/>
      <c r="K354" s="861"/>
      <c r="L354" s="861"/>
      <c r="M354" s="861"/>
      <c r="N354" s="861"/>
      <c r="O354" s="861"/>
      <c r="P354" s="861"/>
      <c r="Q354" s="861"/>
      <c r="R354" s="861"/>
      <c r="S354" s="861"/>
      <c r="T354" s="861"/>
      <c r="U354" s="861"/>
      <c r="V354" s="861"/>
      <c r="W354" s="861"/>
      <c r="X354" s="861"/>
      <c r="Y354" s="861"/>
      <c r="Z354" s="861"/>
      <c r="AA354" s="861"/>
      <c r="AB354" s="861"/>
      <c r="AC354" s="861"/>
      <c r="AD354" s="861"/>
      <c r="AE354" s="861"/>
      <c r="AF354" s="861"/>
      <c r="AG354" s="861"/>
    </row>
    <row r="355" spans="1:33" ht="17.25" customHeight="1">
      <c r="A355" s="861"/>
      <c r="B355" s="861"/>
      <c r="C355" s="861"/>
      <c r="D355" s="861"/>
      <c r="E355" s="861"/>
      <c r="F355" s="861"/>
      <c r="G355" s="861"/>
      <c r="H355" s="861"/>
      <c r="I355" s="861"/>
      <c r="J355" s="861"/>
      <c r="K355" s="861"/>
      <c r="L355" s="861"/>
      <c r="M355" s="861"/>
      <c r="N355" s="861"/>
      <c r="O355" s="861"/>
      <c r="P355" s="861"/>
      <c r="Q355" s="861"/>
      <c r="R355" s="861"/>
      <c r="S355" s="861"/>
      <c r="T355" s="861"/>
      <c r="U355" s="861"/>
      <c r="V355" s="861"/>
      <c r="W355" s="861"/>
      <c r="X355" s="861"/>
      <c r="Y355" s="861"/>
      <c r="Z355" s="861"/>
      <c r="AA355" s="861"/>
      <c r="AB355" s="861"/>
      <c r="AC355" s="861"/>
      <c r="AD355" s="861"/>
      <c r="AE355" s="861"/>
      <c r="AF355" s="861"/>
      <c r="AG355" s="861"/>
    </row>
    <row r="356" spans="1:33" ht="17.25" customHeight="1">
      <c r="A356" s="861"/>
      <c r="B356" s="861"/>
      <c r="C356" s="861"/>
      <c r="D356" s="861"/>
      <c r="E356" s="861"/>
      <c r="F356" s="861"/>
      <c r="G356" s="861"/>
      <c r="H356" s="861"/>
      <c r="I356" s="861"/>
      <c r="J356" s="861"/>
      <c r="K356" s="861"/>
      <c r="L356" s="861"/>
      <c r="M356" s="861"/>
      <c r="N356" s="861"/>
      <c r="O356" s="861"/>
      <c r="P356" s="861"/>
      <c r="Q356" s="861"/>
      <c r="R356" s="861"/>
      <c r="S356" s="861"/>
      <c r="T356" s="861"/>
      <c r="U356" s="861"/>
      <c r="V356" s="861"/>
      <c r="W356" s="861"/>
      <c r="X356" s="861"/>
      <c r="Y356" s="861"/>
      <c r="Z356" s="861"/>
      <c r="AA356" s="861"/>
      <c r="AB356" s="861"/>
      <c r="AC356" s="861"/>
      <c r="AD356" s="861"/>
      <c r="AE356" s="861"/>
      <c r="AF356" s="861"/>
      <c r="AG356" s="861"/>
    </row>
    <row r="357" spans="1:33" ht="17.25" customHeight="1">
      <c r="A357" s="861"/>
      <c r="B357" s="861"/>
      <c r="C357" s="861"/>
      <c r="D357" s="861"/>
      <c r="E357" s="861"/>
      <c r="F357" s="861"/>
      <c r="G357" s="861"/>
      <c r="H357" s="861"/>
      <c r="I357" s="861"/>
      <c r="J357" s="861"/>
      <c r="K357" s="861"/>
      <c r="L357" s="861"/>
      <c r="M357" s="861"/>
      <c r="N357" s="861"/>
      <c r="O357" s="861"/>
      <c r="P357" s="861"/>
      <c r="Q357" s="861"/>
      <c r="R357" s="861"/>
      <c r="S357" s="861"/>
      <c r="T357" s="861"/>
      <c r="U357" s="861"/>
      <c r="V357" s="861"/>
      <c r="W357" s="861"/>
      <c r="X357" s="861"/>
      <c r="Y357" s="861"/>
      <c r="Z357" s="861"/>
      <c r="AA357" s="861"/>
      <c r="AB357" s="861"/>
      <c r="AC357" s="861"/>
      <c r="AD357" s="861"/>
      <c r="AE357" s="861"/>
      <c r="AF357" s="861"/>
      <c r="AG357" s="861"/>
    </row>
    <row r="358" spans="1:33" ht="17.25" customHeight="1">
      <c r="A358" s="861"/>
      <c r="B358" s="861"/>
      <c r="C358" s="861"/>
      <c r="D358" s="861"/>
      <c r="E358" s="861"/>
      <c r="F358" s="861"/>
      <c r="G358" s="861"/>
      <c r="H358" s="861"/>
      <c r="I358" s="861"/>
      <c r="J358" s="861"/>
      <c r="K358" s="861"/>
      <c r="L358" s="861"/>
      <c r="M358" s="861"/>
      <c r="N358" s="861"/>
      <c r="O358" s="861"/>
      <c r="P358" s="861"/>
      <c r="Q358" s="861"/>
      <c r="R358" s="861"/>
      <c r="S358" s="861"/>
      <c r="T358" s="861"/>
      <c r="U358" s="861"/>
      <c r="V358" s="861"/>
      <c r="W358" s="861"/>
      <c r="X358" s="861"/>
      <c r="Y358" s="861"/>
      <c r="Z358" s="861"/>
      <c r="AA358" s="861"/>
      <c r="AB358" s="861"/>
      <c r="AC358" s="861"/>
      <c r="AD358" s="861"/>
      <c r="AE358" s="861"/>
      <c r="AF358" s="861"/>
      <c r="AG358" s="861"/>
    </row>
    <row r="359" spans="1:33" ht="17.25" customHeight="1">
      <c r="A359" s="861"/>
      <c r="B359" s="861"/>
      <c r="C359" s="861"/>
      <c r="D359" s="861"/>
      <c r="E359" s="861"/>
      <c r="F359" s="861"/>
      <c r="G359" s="861"/>
      <c r="H359" s="861"/>
      <c r="I359" s="861"/>
      <c r="J359" s="861"/>
      <c r="K359" s="861"/>
      <c r="L359" s="861"/>
      <c r="M359" s="861"/>
      <c r="N359" s="861"/>
      <c r="O359" s="861"/>
      <c r="P359" s="861"/>
      <c r="Q359" s="861"/>
      <c r="R359" s="861"/>
      <c r="S359" s="861"/>
      <c r="T359" s="861"/>
      <c r="U359" s="861"/>
      <c r="V359" s="861"/>
      <c r="W359" s="861"/>
      <c r="X359" s="861"/>
      <c r="Y359" s="861"/>
      <c r="Z359" s="861"/>
      <c r="AA359" s="861"/>
      <c r="AB359" s="861"/>
      <c r="AC359" s="861"/>
      <c r="AD359" s="861"/>
      <c r="AE359" s="861"/>
      <c r="AF359" s="861"/>
      <c r="AG359" s="861"/>
    </row>
    <row r="360" spans="1:33" ht="17.25" customHeight="1">
      <c r="A360" s="861"/>
      <c r="B360" s="861"/>
      <c r="C360" s="861"/>
      <c r="D360" s="861"/>
      <c r="E360" s="861"/>
      <c r="F360" s="861"/>
      <c r="G360" s="861"/>
      <c r="H360" s="861"/>
      <c r="I360" s="861"/>
      <c r="J360" s="861"/>
      <c r="K360" s="861"/>
      <c r="L360" s="861"/>
      <c r="M360" s="861"/>
      <c r="N360" s="861"/>
      <c r="O360" s="861"/>
      <c r="P360" s="861"/>
      <c r="Q360" s="861"/>
      <c r="R360" s="861"/>
      <c r="S360" s="861"/>
      <c r="T360" s="861"/>
      <c r="U360" s="861"/>
      <c r="V360" s="861"/>
      <c r="W360" s="861"/>
      <c r="X360" s="861"/>
      <c r="Y360" s="861"/>
      <c r="Z360" s="861"/>
      <c r="AA360" s="861"/>
      <c r="AB360" s="861"/>
      <c r="AC360" s="861"/>
      <c r="AD360" s="861"/>
      <c r="AE360" s="861"/>
      <c r="AF360" s="861"/>
      <c r="AG360" s="861"/>
    </row>
    <row r="361" spans="1:33" ht="17.25" customHeight="1">
      <c r="A361" s="861"/>
      <c r="B361" s="861"/>
      <c r="C361" s="861"/>
      <c r="D361" s="861"/>
      <c r="E361" s="861"/>
      <c r="F361" s="861"/>
      <c r="G361" s="861"/>
      <c r="H361" s="861"/>
      <c r="I361" s="861"/>
      <c r="J361" s="861"/>
      <c r="K361" s="861"/>
      <c r="L361" s="861"/>
      <c r="M361" s="861"/>
      <c r="N361" s="861"/>
      <c r="O361" s="861"/>
      <c r="P361" s="861"/>
      <c r="Q361" s="861"/>
      <c r="R361" s="861"/>
      <c r="S361" s="861"/>
      <c r="T361" s="861"/>
      <c r="U361" s="861"/>
      <c r="V361" s="861"/>
      <c r="W361" s="861"/>
      <c r="X361" s="861"/>
      <c r="Y361" s="861"/>
      <c r="Z361" s="861"/>
      <c r="AA361" s="861"/>
      <c r="AB361" s="861"/>
      <c r="AC361" s="861"/>
      <c r="AD361" s="861"/>
      <c r="AE361" s="861"/>
      <c r="AF361" s="861"/>
      <c r="AG361" s="861"/>
    </row>
    <row r="362" spans="1:33" ht="17.25" customHeight="1">
      <c r="A362" s="861"/>
      <c r="B362" s="861"/>
      <c r="C362" s="861"/>
      <c r="D362" s="861"/>
      <c r="E362" s="861"/>
      <c r="F362" s="861"/>
      <c r="G362" s="861"/>
      <c r="H362" s="861"/>
      <c r="I362" s="861"/>
      <c r="J362" s="861"/>
      <c r="K362" s="861"/>
      <c r="L362" s="861"/>
      <c r="M362" s="861"/>
      <c r="N362" s="861"/>
      <c r="O362" s="861"/>
      <c r="P362" s="861"/>
      <c r="Q362" s="861"/>
      <c r="R362" s="861"/>
      <c r="S362" s="861"/>
      <c r="T362" s="861"/>
      <c r="U362" s="861"/>
      <c r="V362" s="861"/>
      <c r="W362" s="861"/>
      <c r="X362" s="861"/>
      <c r="Y362" s="861"/>
      <c r="Z362" s="861"/>
      <c r="AA362" s="861"/>
      <c r="AB362" s="861"/>
      <c r="AC362" s="861"/>
      <c r="AD362" s="861"/>
      <c r="AE362" s="861"/>
      <c r="AF362" s="861"/>
      <c r="AG362" s="861"/>
    </row>
    <row r="363" spans="1:33" ht="17.25" customHeight="1">
      <c r="A363" s="861"/>
      <c r="B363" s="861"/>
      <c r="C363" s="861"/>
      <c r="D363" s="861"/>
      <c r="E363" s="861"/>
      <c r="F363" s="861"/>
      <c r="G363" s="861"/>
      <c r="H363" s="861"/>
      <c r="I363" s="861"/>
      <c r="J363" s="861"/>
      <c r="K363" s="861"/>
      <c r="L363" s="861"/>
      <c r="M363" s="861"/>
      <c r="N363" s="861"/>
      <c r="O363" s="861"/>
      <c r="P363" s="861"/>
      <c r="Q363" s="861"/>
      <c r="R363" s="861"/>
      <c r="S363" s="861"/>
      <c r="T363" s="861"/>
      <c r="U363" s="861"/>
      <c r="V363" s="861"/>
      <c r="W363" s="861"/>
      <c r="X363" s="861"/>
      <c r="Y363" s="861"/>
      <c r="Z363" s="861"/>
      <c r="AA363" s="861"/>
      <c r="AB363" s="861"/>
      <c r="AC363" s="861"/>
      <c r="AD363" s="861"/>
      <c r="AE363" s="861"/>
      <c r="AF363" s="861"/>
      <c r="AG363" s="861"/>
    </row>
    <row r="364" spans="1:33" ht="17.25" customHeight="1">
      <c r="A364" s="861"/>
      <c r="B364" s="861"/>
      <c r="C364" s="861"/>
      <c r="D364" s="861"/>
      <c r="E364" s="861"/>
      <c r="F364" s="861"/>
      <c r="G364" s="861"/>
      <c r="H364" s="861"/>
      <c r="I364" s="861"/>
      <c r="J364" s="861"/>
      <c r="K364" s="861"/>
      <c r="L364" s="861"/>
      <c r="M364" s="861"/>
      <c r="N364" s="861"/>
      <c r="O364" s="861"/>
      <c r="P364" s="861"/>
      <c r="Q364" s="861"/>
      <c r="R364" s="861"/>
      <c r="S364" s="861"/>
      <c r="T364" s="861"/>
      <c r="U364" s="861"/>
      <c r="V364" s="861"/>
      <c r="W364" s="861"/>
      <c r="X364" s="861"/>
      <c r="Y364" s="861"/>
      <c r="Z364" s="861"/>
      <c r="AA364" s="861"/>
      <c r="AB364" s="861"/>
      <c r="AC364" s="861"/>
      <c r="AD364" s="861"/>
      <c r="AE364" s="861"/>
      <c r="AF364" s="861"/>
      <c r="AG364" s="861"/>
    </row>
    <row r="365" spans="1:33" ht="17.25" customHeight="1">
      <c r="A365" s="861"/>
      <c r="B365" s="861"/>
      <c r="C365" s="861"/>
      <c r="D365" s="861"/>
      <c r="E365" s="861"/>
      <c r="F365" s="861"/>
      <c r="G365" s="861"/>
      <c r="H365" s="861"/>
      <c r="I365" s="861"/>
      <c r="J365" s="861"/>
      <c r="K365" s="861"/>
      <c r="L365" s="861"/>
      <c r="M365" s="861"/>
      <c r="N365" s="861"/>
      <c r="O365" s="861"/>
      <c r="P365" s="861"/>
      <c r="Q365" s="861"/>
      <c r="R365" s="861"/>
      <c r="S365" s="861"/>
      <c r="T365" s="861"/>
      <c r="U365" s="861"/>
      <c r="V365" s="861"/>
      <c r="W365" s="861"/>
      <c r="X365" s="861"/>
      <c r="Y365" s="861"/>
      <c r="Z365" s="861"/>
      <c r="AA365" s="861"/>
      <c r="AB365" s="861"/>
      <c r="AC365" s="861"/>
      <c r="AD365" s="861"/>
      <c r="AE365" s="861"/>
      <c r="AF365" s="861"/>
      <c r="AG365" s="861"/>
    </row>
    <row r="366" spans="1:33" ht="17.25" customHeight="1">
      <c r="A366" s="861"/>
      <c r="B366" s="861"/>
      <c r="C366" s="861"/>
      <c r="D366" s="861"/>
      <c r="E366" s="861"/>
      <c r="F366" s="861"/>
      <c r="G366" s="861"/>
      <c r="H366" s="861"/>
      <c r="I366" s="861"/>
      <c r="J366" s="861"/>
      <c r="K366" s="861"/>
      <c r="L366" s="861"/>
      <c r="M366" s="861"/>
      <c r="N366" s="861"/>
      <c r="O366" s="861"/>
      <c r="P366" s="861"/>
      <c r="Q366" s="861"/>
      <c r="R366" s="861"/>
      <c r="S366" s="861"/>
      <c r="T366" s="861"/>
      <c r="U366" s="861"/>
      <c r="V366" s="861"/>
      <c r="W366" s="861"/>
      <c r="X366" s="861"/>
      <c r="Y366" s="861"/>
      <c r="Z366" s="861"/>
      <c r="AA366" s="861"/>
      <c r="AB366" s="861"/>
      <c r="AC366" s="861"/>
      <c r="AD366" s="861"/>
      <c r="AE366" s="861"/>
      <c r="AF366" s="861"/>
      <c r="AG366" s="861"/>
    </row>
    <row r="367" spans="1:33" ht="17.25" customHeight="1">
      <c r="A367" s="861"/>
      <c r="B367" s="861"/>
      <c r="C367" s="861"/>
      <c r="D367" s="861"/>
      <c r="E367" s="861"/>
      <c r="F367" s="861"/>
      <c r="G367" s="861"/>
      <c r="H367" s="861"/>
      <c r="I367" s="861"/>
      <c r="J367" s="861"/>
      <c r="K367" s="861"/>
      <c r="L367" s="861"/>
      <c r="M367" s="861"/>
      <c r="N367" s="861"/>
      <c r="O367" s="861"/>
      <c r="P367" s="861"/>
      <c r="Q367" s="861"/>
      <c r="R367" s="861"/>
      <c r="S367" s="861"/>
      <c r="T367" s="861"/>
      <c r="U367" s="861"/>
      <c r="V367" s="861"/>
      <c r="W367" s="861"/>
      <c r="X367" s="861"/>
      <c r="Y367" s="861"/>
      <c r="Z367" s="861"/>
      <c r="AA367" s="861"/>
      <c r="AB367" s="861"/>
      <c r="AC367" s="861"/>
      <c r="AD367" s="861"/>
      <c r="AE367" s="861"/>
      <c r="AF367" s="861"/>
      <c r="AG367" s="861"/>
    </row>
    <row r="368" spans="1:33" ht="17.25" customHeight="1">
      <c r="A368" s="861"/>
      <c r="B368" s="861"/>
      <c r="C368" s="861"/>
      <c r="D368" s="861"/>
      <c r="E368" s="861"/>
      <c r="F368" s="861"/>
      <c r="G368" s="861"/>
      <c r="H368" s="861"/>
      <c r="I368" s="861"/>
      <c r="J368" s="861"/>
      <c r="K368" s="861"/>
      <c r="L368" s="861"/>
      <c r="M368" s="861"/>
      <c r="N368" s="861"/>
      <c r="O368" s="861"/>
      <c r="P368" s="861"/>
      <c r="Q368" s="861"/>
      <c r="R368" s="861"/>
      <c r="S368" s="861"/>
      <c r="T368" s="861"/>
      <c r="U368" s="861"/>
      <c r="V368" s="861"/>
      <c r="W368" s="861"/>
      <c r="X368" s="861"/>
      <c r="Y368" s="861"/>
      <c r="Z368" s="861"/>
      <c r="AA368" s="861"/>
      <c r="AB368" s="861"/>
      <c r="AC368" s="861"/>
      <c r="AD368" s="861"/>
      <c r="AE368" s="861"/>
      <c r="AF368" s="861"/>
      <c r="AG368" s="861"/>
    </row>
    <row r="369" spans="1:33" ht="17.25" customHeight="1">
      <c r="A369" s="861"/>
      <c r="B369" s="861"/>
      <c r="C369" s="861"/>
      <c r="D369" s="861"/>
      <c r="E369" s="861"/>
      <c r="F369" s="861"/>
      <c r="G369" s="861"/>
      <c r="H369" s="861"/>
      <c r="I369" s="861"/>
      <c r="J369" s="861"/>
      <c r="K369" s="861"/>
      <c r="L369" s="861"/>
      <c r="M369" s="861"/>
      <c r="N369" s="861"/>
      <c r="O369" s="861"/>
      <c r="P369" s="861"/>
      <c r="Q369" s="861"/>
      <c r="R369" s="861"/>
      <c r="S369" s="861"/>
      <c r="T369" s="861"/>
      <c r="U369" s="861"/>
      <c r="V369" s="861"/>
      <c r="W369" s="861"/>
      <c r="X369" s="861"/>
      <c r="Y369" s="861"/>
      <c r="Z369" s="861"/>
      <c r="AA369" s="861"/>
      <c r="AB369" s="861"/>
      <c r="AC369" s="861"/>
      <c r="AD369" s="861"/>
      <c r="AE369" s="861"/>
      <c r="AF369" s="861"/>
      <c r="AG369" s="861"/>
    </row>
    <row r="370" spans="1:33" ht="17.25" customHeight="1">
      <c r="A370" s="861"/>
      <c r="B370" s="861"/>
      <c r="C370" s="861"/>
      <c r="D370" s="861"/>
      <c r="E370" s="861"/>
      <c r="F370" s="861"/>
      <c r="G370" s="861"/>
      <c r="H370" s="861"/>
      <c r="I370" s="861"/>
      <c r="J370" s="861"/>
      <c r="K370" s="861"/>
      <c r="L370" s="861"/>
      <c r="M370" s="861"/>
      <c r="N370" s="861"/>
      <c r="O370" s="861"/>
      <c r="P370" s="861"/>
      <c r="Q370" s="861"/>
      <c r="R370" s="861"/>
      <c r="S370" s="861"/>
      <c r="T370" s="861"/>
      <c r="U370" s="861"/>
      <c r="V370" s="861"/>
      <c r="W370" s="861"/>
      <c r="X370" s="861"/>
      <c r="Y370" s="861"/>
      <c r="Z370" s="861"/>
      <c r="AA370" s="861"/>
      <c r="AB370" s="861"/>
      <c r="AC370" s="861"/>
      <c r="AD370" s="861"/>
      <c r="AE370" s="861"/>
      <c r="AF370" s="861"/>
      <c r="AG370" s="861"/>
    </row>
    <row r="371" spans="1:33" ht="17.25" customHeight="1">
      <c r="A371" s="861"/>
      <c r="B371" s="861"/>
      <c r="C371" s="861"/>
      <c r="D371" s="861"/>
      <c r="E371" s="861"/>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row>
    <row r="372" spans="1:33" ht="17.25" customHeight="1">
      <c r="A372" s="861"/>
      <c r="B372" s="861"/>
      <c r="C372" s="861"/>
      <c r="D372" s="861"/>
      <c r="E372" s="861"/>
      <c r="F372" s="861"/>
      <c r="G372" s="861"/>
      <c r="H372" s="861"/>
      <c r="I372" s="861"/>
      <c r="J372" s="861"/>
      <c r="K372" s="861"/>
      <c r="L372" s="861"/>
      <c r="M372" s="861"/>
      <c r="N372" s="861"/>
      <c r="O372" s="861"/>
      <c r="P372" s="861"/>
      <c r="Q372" s="861"/>
      <c r="R372" s="861"/>
      <c r="S372" s="861"/>
      <c r="T372" s="861"/>
      <c r="U372" s="861"/>
      <c r="V372" s="861"/>
      <c r="W372" s="861"/>
      <c r="X372" s="861"/>
      <c r="Y372" s="861"/>
      <c r="Z372" s="861"/>
      <c r="AA372" s="861"/>
      <c r="AB372" s="861"/>
      <c r="AC372" s="861"/>
      <c r="AD372" s="861"/>
      <c r="AE372" s="861"/>
      <c r="AF372" s="861"/>
      <c r="AG372" s="861"/>
    </row>
    <row r="373" spans="1:33" ht="17.25" customHeight="1">
      <c r="A373" s="861"/>
      <c r="B373" s="861"/>
      <c r="C373" s="861"/>
      <c r="D373" s="861"/>
      <c r="E373" s="861"/>
      <c r="F373" s="861"/>
      <c r="G373" s="861"/>
      <c r="H373" s="861"/>
      <c r="I373" s="861"/>
      <c r="J373" s="861"/>
      <c r="K373" s="861"/>
      <c r="L373" s="861"/>
      <c r="M373" s="861"/>
      <c r="N373" s="861"/>
      <c r="O373" s="861"/>
      <c r="P373" s="861"/>
      <c r="Q373" s="861"/>
      <c r="R373" s="861"/>
      <c r="S373" s="861"/>
      <c r="T373" s="861"/>
      <c r="U373" s="861"/>
      <c r="V373" s="861"/>
      <c r="W373" s="861"/>
      <c r="X373" s="861"/>
      <c r="Y373" s="861"/>
      <c r="Z373" s="861"/>
      <c r="AA373" s="861"/>
      <c r="AB373" s="861"/>
      <c r="AC373" s="861"/>
      <c r="AD373" s="861"/>
      <c r="AE373" s="861"/>
      <c r="AF373" s="861"/>
      <c r="AG373" s="861"/>
    </row>
    <row r="374" spans="1:33" ht="17.25" customHeight="1">
      <c r="A374" s="861"/>
      <c r="B374" s="861"/>
      <c r="C374" s="861"/>
      <c r="D374" s="861"/>
      <c r="E374" s="861"/>
      <c r="F374" s="861"/>
      <c r="G374" s="861"/>
      <c r="H374" s="861"/>
      <c r="I374" s="861"/>
      <c r="J374" s="861"/>
      <c r="K374" s="861"/>
      <c r="L374" s="861"/>
      <c r="M374" s="861"/>
      <c r="N374" s="861"/>
      <c r="O374" s="861"/>
      <c r="P374" s="861"/>
      <c r="Q374" s="861"/>
      <c r="R374" s="861"/>
      <c r="S374" s="861"/>
      <c r="T374" s="861"/>
      <c r="U374" s="861"/>
      <c r="V374" s="861"/>
      <c r="W374" s="861"/>
      <c r="X374" s="861"/>
      <c r="Y374" s="861"/>
      <c r="Z374" s="861"/>
      <c r="AA374" s="861"/>
      <c r="AB374" s="861"/>
      <c r="AC374" s="861"/>
      <c r="AD374" s="861"/>
      <c r="AE374" s="861"/>
      <c r="AF374" s="861"/>
      <c r="AG374" s="861"/>
    </row>
    <row r="375" spans="1:33" ht="17.25" customHeight="1">
      <c r="A375" s="861"/>
      <c r="B375" s="861"/>
      <c r="C375" s="861"/>
      <c r="D375" s="861"/>
      <c r="E375" s="861"/>
      <c r="F375" s="861"/>
      <c r="G375" s="861"/>
      <c r="H375" s="861"/>
      <c r="I375" s="861"/>
      <c r="J375" s="861"/>
      <c r="K375" s="861"/>
      <c r="L375" s="861"/>
      <c r="M375" s="861"/>
      <c r="N375" s="861"/>
      <c r="O375" s="861"/>
      <c r="P375" s="861"/>
      <c r="Q375" s="861"/>
      <c r="R375" s="861"/>
      <c r="S375" s="861"/>
      <c r="T375" s="861"/>
      <c r="U375" s="861"/>
      <c r="V375" s="861"/>
      <c r="W375" s="861"/>
      <c r="X375" s="861"/>
      <c r="Y375" s="861"/>
      <c r="Z375" s="861"/>
      <c r="AA375" s="861"/>
      <c r="AB375" s="861"/>
      <c r="AC375" s="861"/>
      <c r="AD375" s="861"/>
      <c r="AE375" s="861"/>
      <c r="AF375" s="861"/>
      <c r="AG375" s="861"/>
    </row>
    <row r="376" spans="1:33" ht="17.25" customHeight="1">
      <c r="A376" s="861"/>
      <c r="B376" s="861"/>
      <c r="C376" s="861"/>
      <c r="D376" s="861"/>
      <c r="E376" s="861"/>
      <c r="F376" s="861"/>
      <c r="G376" s="861"/>
      <c r="H376" s="861"/>
      <c r="I376" s="861"/>
      <c r="J376" s="861"/>
      <c r="K376" s="861"/>
      <c r="L376" s="861"/>
      <c r="M376" s="861"/>
      <c r="N376" s="861"/>
      <c r="O376" s="861"/>
      <c r="P376" s="861"/>
      <c r="Q376" s="861"/>
      <c r="R376" s="861"/>
      <c r="S376" s="861"/>
      <c r="T376" s="861"/>
      <c r="U376" s="861"/>
      <c r="V376" s="861"/>
      <c r="W376" s="861"/>
      <c r="X376" s="861"/>
      <c r="Y376" s="861"/>
      <c r="Z376" s="861"/>
      <c r="AA376" s="861"/>
      <c r="AB376" s="861"/>
      <c r="AC376" s="861"/>
      <c r="AD376" s="861"/>
      <c r="AE376" s="861"/>
      <c r="AF376" s="861"/>
      <c r="AG376" s="861"/>
    </row>
    <row r="377" spans="1:33" ht="17.25" customHeight="1">
      <c r="A377" s="861"/>
      <c r="B377" s="861"/>
      <c r="C377" s="861"/>
      <c r="D377" s="861"/>
      <c r="E377" s="861"/>
      <c r="F377" s="861"/>
      <c r="G377" s="861"/>
      <c r="H377" s="861"/>
      <c r="I377" s="861"/>
      <c r="J377" s="861"/>
      <c r="K377" s="861"/>
      <c r="L377" s="861"/>
      <c r="M377" s="861"/>
      <c r="N377" s="861"/>
      <c r="O377" s="861"/>
      <c r="P377" s="861"/>
      <c r="Q377" s="861"/>
      <c r="R377" s="861"/>
      <c r="S377" s="861"/>
      <c r="T377" s="861"/>
      <c r="U377" s="861"/>
      <c r="V377" s="861"/>
      <c r="W377" s="861"/>
      <c r="X377" s="861"/>
      <c r="Y377" s="861"/>
      <c r="Z377" s="861"/>
      <c r="AA377" s="861"/>
      <c r="AB377" s="861"/>
      <c r="AC377" s="861"/>
      <c r="AD377" s="861"/>
      <c r="AE377" s="861"/>
      <c r="AF377" s="861"/>
      <c r="AG377" s="861"/>
    </row>
    <row r="378" spans="1:33" ht="17.25" customHeight="1">
      <c r="A378" s="861"/>
      <c r="B378" s="861"/>
      <c r="C378" s="861"/>
      <c r="D378" s="861"/>
      <c r="E378" s="861"/>
      <c r="F378" s="861"/>
      <c r="G378" s="861"/>
      <c r="H378" s="861"/>
      <c r="I378" s="861"/>
      <c r="J378" s="861"/>
      <c r="K378" s="861"/>
      <c r="L378" s="861"/>
      <c r="M378" s="861"/>
      <c r="N378" s="861"/>
      <c r="O378" s="861"/>
      <c r="P378" s="861"/>
      <c r="Q378" s="861"/>
      <c r="R378" s="861"/>
      <c r="S378" s="861"/>
      <c r="T378" s="861"/>
      <c r="U378" s="861"/>
      <c r="V378" s="861"/>
      <c r="W378" s="861"/>
      <c r="X378" s="861"/>
      <c r="Y378" s="861"/>
      <c r="Z378" s="861"/>
      <c r="AA378" s="861"/>
      <c r="AB378" s="861"/>
      <c r="AC378" s="861"/>
      <c r="AD378" s="861"/>
      <c r="AE378" s="861"/>
      <c r="AF378" s="861"/>
      <c r="AG378" s="861"/>
    </row>
    <row r="379" spans="1:33" ht="17.25" customHeight="1">
      <c r="A379" s="861"/>
      <c r="B379" s="861"/>
      <c r="C379" s="861"/>
      <c r="D379" s="861"/>
      <c r="E379" s="861"/>
      <c r="F379" s="861"/>
      <c r="G379" s="861"/>
      <c r="H379" s="861"/>
      <c r="I379" s="861"/>
      <c r="J379" s="861"/>
      <c r="K379" s="861"/>
      <c r="L379" s="861"/>
      <c r="M379" s="861"/>
      <c r="N379" s="861"/>
      <c r="O379" s="861"/>
      <c r="P379" s="861"/>
      <c r="Q379" s="861"/>
      <c r="R379" s="861"/>
      <c r="S379" s="861"/>
      <c r="T379" s="861"/>
      <c r="U379" s="861"/>
      <c r="V379" s="861"/>
      <c r="W379" s="861"/>
      <c r="X379" s="861"/>
      <c r="Y379" s="861"/>
      <c r="Z379" s="861"/>
      <c r="AA379" s="861"/>
      <c r="AB379" s="861"/>
      <c r="AC379" s="861"/>
      <c r="AD379" s="861"/>
      <c r="AE379" s="861"/>
      <c r="AF379" s="861"/>
      <c r="AG379" s="861"/>
    </row>
    <row r="380" spans="1:33" ht="17.25" customHeight="1">
      <c r="A380" s="861"/>
      <c r="B380" s="861"/>
      <c r="C380" s="861"/>
      <c r="D380" s="861"/>
      <c r="E380" s="861"/>
      <c r="F380" s="861"/>
      <c r="G380" s="861"/>
      <c r="H380" s="861"/>
      <c r="I380" s="861"/>
      <c r="J380" s="861"/>
      <c r="K380" s="861"/>
      <c r="L380" s="861"/>
      <c r="M380" s="861"/>
      <c r="N380" s="861"/>
      <c r="O380" s="861"/>
      <c r="P380" s="861"/>
      <c r="Q380" s="861"/>
      <c r="R380" s="861"/>
      <c r="S380" s="861"/>
      <c r="T380" s="861"/>
      <c r="U380" s="861"/>
      <c r="V380" s="861"/>
      <c r="W380" s="861"/>
      <c r="X380" s="861"/>
      <c r="Y380" s="861"/>
      <c r="Z380" s="861"/>
      <c r="AA380" s="861"/>
      <c r="AB380" s="861"/>
      <c r="AC380" s="861"/>
      <c r="AD380" s="861"/>
      <c r="AE380" s="861"/>
      <c r="AF380" s="861"/>
      <c r="AG380" s="861"/>
    </row>
    <row r="381" spans="1:33" ht="17.25" customHeight="1">
      <c r="A381" s="861"/>
      <c r="B381" s="861"/>
      <c r="C381" s="861"/>
      <c r="D381" s="861"/>
      <c r="E381" s="861"/>
      <c r="F381" s="861"/>
      <c r="G381" s="861"/>
      <c r="H381" s="861"/>
      <c r="I381" s="861"/>
      <c r="J381" s="861"/>
      <c r="K381" s="861"/>
      <c r="L381" s="861"/>
      <c r="M381" s="861"/>
      <c r="N381" s="861"/>
      <c r="O381" s="861"/>
      <c r="P381" s="861"/>
      <c r="Q381" s="861"/>
      <c r="R381" s="861"/>
      <c r="S381" s="861"/>
      <c r="T381" s="861"/>
      <c r="U381" s="861"/>
      <c r="V381" s="861"/>
      <c r="W381" s="861"/>
      <c r="X381" s="861"/>
      <c r="Y381" s="861"/>
      <c r="Z381" s="861"/>
      <c r="AA381" s="861"/>
      <c r="AB381" s="861"/>
      <c r="AC381" s="861"/>
      <c r="AD381" s="861"/>
      <c r="AE381" s="861"/>
      <c r="AF381" s="861"/>
      <c r="AG381" s="861"/>
    </row>
    <row r="382" spans="1:33" ht="17.25" customHeight="1">
      <c r="A382" s="861"/>
      <c r="B382" s="861"/>
      <c r="C382" s="861"/>
      <c r="D382" s="861"/>
      <c r="E382" s="861"/>
      <c r="F382" s="861"/>
      <c r="G382" s="861"/>
      <c r="H382" s="861"/>
      <c r="I382" s="861"/>
      <c r="J382" s="861"/>
      <c r="K382" s="861"/>
      <c r="L382" s="861"/>
      <c r="M382" s="861"/>
      <c r="N382" s="861"/>
      <c r="O382" s="861"/>
      <c r="P382" s="861"/>
      <c r="Q382" s="861"/>
      <c r="R382" s="861"/>
      <c r="S382" s="861"/>
      <c r="T382" s="861"/>
      <c r="U382" s="861"/>
      <c r="V382" s="861"/>
      <c r="W382" s="861"/>
      <c r="X382" s="861"/>
      <c r="Y382" s="861"/>
      <c r="Z382" s="861"/>
      <c r="AA382" s="861"/>
      <c r="AB382" s="861"/>
      <c r="AC382" s="861"/>
      <c r="AD382" s="861"/>
      <c r="AE382" s="861"/>
      <c r="AF382" s="861"/>
      <c r="AG382" s="861"/>
    </row>
    <row r="383" spans="1:33" ht="17.25" customHeight="1">
      <c r="A383" s="861"/>
      <c r="B383" s="861"/>
      <c r="C383" s="861"/>
      <c r="D383" s="861"/>
      <c r="E383" s="861"/>
      <c r="F383" s="861"/>
      <c r="G383" s="861"/>
      <c r="H383" s="861"/>
      <c r="I383" s="861"/>
      <c r="J383" s="861"/>
      <c r="K383" s="861"/>
      <c r="L383" s="861"/>
      <c r="M383" s="861"/>
      <c r="N383" s="861"/>
      <c r="O383" s="861"/>
      <c r="P383" s="861"/>
      <c r="Q383" s="861"/>
      <c r="R383" s="861"/>
      <c r="S383" s="861"/>
      <c r="T383" s="861"/>
      <c r="U383" s="861"/>
      <c r="V383" s="861"/>
      <c r="W383" s="861"/>
      <c r="X383" s="861"/>
      <c r="Y383" s="861"/>
      <c r="Z383" s="861"/>
      <c r="AA383" s="861"/>
      <c r="AB383" s="861"/>
      <c r="AC383" s="861"/>
      <c r="AD383" s="861"/>
      <c r="AE383" s="861"/>
      <c r="AF383" s="861"/>
      <c r="AG383" s="861"/>
    </row>
    <row r="384" spans="1:33" ht="17.25" customHeight="1">
      <c r="A384" s="861"/>
      <c r="B384" s="861"/>
      <c r="C384" s="861"/>
      <c r="D384" s="861"/>
      <c r="E384" s="861"/>
      <c r="F384" s="861"/>
      <c r="G384" s="861"/>
      <c r="H384" s="861"/>
      <c r="I384" s="861"/>
      <c r="J384" s="861"/>
      <c r="K384" s="861"/>
      <c r="L384" s="861"/>
      <c r="M384" s="861"/>
      <c r="N384" s="861"/>
      <c r="O384" s="861"/>
      <c r="P384" s="861"/>
      <c r="Q384" s="861"/>
      <c r="R384" s="861"/>
      <c r="S384" s="861"/>
      <c r="T384" s="861"/>
      <c r="U384" s="861"/>
      <c r="V384" s="861"/>
      <c r="W384" s="861"/>
      <c r="X384" s="861"/>
      <c r="Y384" s="861"/>
      <c r="Z384" s="861"/>
      <c r="AA384" s="861"/>
      <c r="AB384" s="861"/>
      <c r="AC384" s="861"/>
      <c r="AD384" s="861"/>
      <c r="AE384" s="861"/>
      <c r="AF384" s="861"/>
      <c r="AG384" s="861"/>
    </row>
    <row r="385" spans="1:33" ht="17.25" customHeight="1">
      <c r="A385" s="861"/>
      <c r="B385" s="861"/>
      <c r="C385" s="861"/>
      <c r="D385" s="861"/>
      <c r="E385" s="861"/>
      <c r="F385" s="861"/>
      <c r="G385" s="861"/>
      <c r="H385" s="861"/>
      <c r="I385" s="861"/>
      <c r="J385" s="861"/>
      <c r="K385" s="861"/>
      <c r="L385" s="861"/>
      <c r="M385" s="861"/>
      <c r="N385" s="861"/>
      <c r="O385" s="861"/>
      <c r="P385" s="861"/>
      <c r="Q385" s="861"/>
      <c r="R385" s="861"/>
      <c r="S385" s="861"/>
      <c r="T385" s="861"/>
      <c r="U385" s="861"/>
      <c r="V385" s="861"/>
      <c r="W385" s="861"/>
      <c r="X385" s="861"/>
      <c r="Y385" s="861"/>
      <c r="Z385" s="861"/>
      <c r="AA385" s="861"/>
      <c r="AB385" s="861"/>
      <c r="AC385" s="861"/>
      <c r="AD385" s="861"/>
      <c r="AE385" s="861"/>
      <c r="AF385" s="861"/>
      <c r="AG385" s="861"/>
    </row>
    <row r="386" spans="1:33" ht="17.25" customHeight="1">
      <c r="A386" s="861"/>
      <c r="B386" s="861"/>
      <c r="C386" s="861"/>
      <c r="D386" s="861"/>
      <c r="E386" s="861"/>
      <c r="F386" s="861"/>
      <c r="G386" s="861"/>
      <c r="H386" s="861"/>
      <c r="I386" s="861"/>
      <c r="J386" s="861"/>
      <c r="K386" s="861"/>
      <c r="L386" s="861"/>
      <c r="M386" s="861"/>
      <c r="N386" s="861"/>
      <c r="O386" s="861"/>
      <c r="P386" s="861"/>
      <c r="Q386" s="861"/>
      <c r="R386" s="861"/>
      <c r="S386" s="861"/>
      <c r="T386" s="861"/>
      <c r="U386" s="861"/>
      <c r="V386" s="861"/>
      <c r="W386" s="861"/>
      <c r="X386" s="861"/>
      <c r="Y386" s="861"/>
      <c r="Z386" s="861"/>
      <c r="AA386" s="861"/>
      <c r="AB386" s="861"/>
      <c r="AC386" s="861"/>
      <c r="AD386" s="861"/>
      <c r="AE386" s="861"/>
      <c r="AF386" s="861"/>
      <c r="AG386" s="861"/>
    </row>
    <row r="387" spans="1:33" ht="17.25" customHeight="1">
      <c r="A387" s="861"/>
      <c r="B387" s="861"/>
      <c r="C387" s="861"/>
      <c r="D387" s="861"/>
      <c r="E387" s="861"/>
      <c r="F387" s="861"/>
      <c r="G387" s="861"/>
      <c r="H387" s="861"/>
      <c r="I387" s="861"/>
      <c r="J387" s="861"/>
      <c r="K387" s="861"/>
      <c r="L387" s="861"/>
      <c r="M387" s="861"/>
      <c r="N387" s="861"/>
      <c r="O387" s="861"/>
      <c r="P387" s="861"/>
      <c r="Q387" s="861"/>
      <c r="R387" s="861"/>
      <c r="S387" s="861"/>
      <c r="T387" s="861"/>
      <c r="U387" s="861"/>
      <c r="V387" s="861"/>
      <c r="W387" s="861"/>
      <c r="X387" s="861"/>
      <c r="Y387" s="861"/>
      <c r="Z387" s="861"/>
      <c r="AA387" s="861"/>
      <c r="AB387" s="861"/>
      <c r="AC387" s="861"/>
      <c r="AD387" s="861"/>
      <c r="AE387" s="861"/>
      <c r="AF387" s="861"/>
      <c r="AG387" s="861"/>
    </row>
    <row r="388" spans="1:33" ht="17.25" customHeight="1">
      <c r="A388" s="861"/>
      <c r="B388" s="861"/>
      <c r="C388" s="861"/>
      <c r="D388" s="861"/>
      <c r="E388" s="861"/>
      <c r="F388" s="861"/>
      <c r="G388" s="861"/>
      <c r="H388" s="861"/>
      <c r="I388" s="861"/>
      <c r="J388" s="861"/>
      <c r="K388" s="861"/>
      <c r="L388" s="861"/>
      <c r="M388" s="861"/>
      <c r="N388" s="861"/>
      <c r="O388" s="861"/>
      <c r="P388" s="861"/>
      <c r="Q388" s="861"/>
      <c r="R388" s="861"/>
      <c r="S388" s="861"/>
      <c r="T388" s="861"/>
      <c r="U388" s="861"/>
      <c r="V388" s="861"/>
      <c r="W388" s="861"/>
      <c r="X388" s="861"/>
      <c r="Y388" s="861"/>
      <c r="Z388" s="861"/>
      <c r="AA388" s="861"/>
      <c r="AB388" s="861"/>
      <c r="AC388" s="861"/>
      <c r="AD388" s="861"/>
      <c r="AE388" s="861"/>
      <c r="AF388" s="861"/>
      <c r="AG388" s="861"/>
    </row>
    <row r="389" spans="1:33" ht="17.25" customHeight="1">
      <c r="A389" s="861"/>
      <c r="B389" s="861"/>
      <c r="C389" s="861"/>
      <c r="D389" s="861"/>
      <c r="E389" s="861"/>
      <c r="F389" s="861"/>
      <c r="G389" s="861"/>
      <c r="H389" s="861"/>
      <c r="I389" s="861"/>
      <c r="J389" s="861"/>
      <c r="K389" s="861"/>
      <c r="L389" s="861"/>
      <c r="M389" s="861"/>
      <c r="N389" s="861"/>
      <c r="O389" s="861"/>
      <c r="P389" s="861"/>
      <c r="Q389" s="861"/>
      <c r="R389" s="861"/>
      <c r="S389" s="861"/>
      <c r="T389" s="861"/>
      <c r="U389" s="861"/>
      <c r="V389" s="861"/>
      <c r="W389" s="861"/>
      <c r="X389" s="861"/>
      <c r="Y389" s="861"/>
      <c r="Z389" s="861"/>
      <c r="AA389" s="861"/>
      <c r="AB389" s="861"/>
      <c r="AC389" s="861"/>
      <c r="AD389" s="861"/>
      <c r="AE389" s="861"/>
      <c r="AF389" s="861"/>
      <c r="AG389" s="861"/>
    </row>
    <row r="390" spans="1:33" ht="17.25" customHeight="1">
      <c r="A390" s="861"/>
      <c r="B390" s="861"/>
      <c r="C390" s="861"/>
      <c r="D390" s="861"/>
      <c r="E390" s="861"/>
      <c r="F390" s="861"/>
      <c r="G390" s="861"/>
      <c r="H390" s="861"/>
      <c r="I390" s="861"/>
      <c r="J390" s="861"/>
      <c r="K390" s="861"/>
      <c r="L390" s="861"/>
      <c r="M390" s="861"/>
      <c r="N390" s="861"/>
      <c r="O390" s="861"/>
      <c r="P390" s="861"/>
      <c r="Q390" s="861"/>
      <c r="R390" s="861"/>
      <c r="S390" s="861"/>
      <c r="T390" s="861"/>
      <c r="U390" s="861"/>
      <c r="V390" s="861"/>
      <c r="W390" s="861"/>
      <c r="X390" s="861"/>
      <c r="Y390" s="861"/>
      <c r="Z390" s="861"/>
      <c r="AA390" s="861"/>
      <c r="AB390" s="861"/>
      <c r="AC390" s="861"/>
      <c r="AD390" s="861"/>
      <c r="AE390" s="861"/>
      <c r="AF390" s="861"/>
      <c r="AG390" s="861"/>
    </row>
    <row r="391" spans="1:33" ht="17.25" customHeight="1">
      <c r="A391" s="861"/>
      <c r="B391" s="861"/>
      <c r="C391" s="861"/>
      <c r="D391" s="861"/>
      <c r="E391" s="861"/>
      <c r="F391" s="861"/>
      <c r="G391" s="861"/>
      <c r="H391" s="861"/>
      <c r="I391" s="861"/>
      <c r="J391" s="861"/>
      <c r="K391" s="861"/>
      <c r="L391" s="861"/>
      <c r="M391" s="861"/>
      <c r="N391" s="861"/>
      <c r="O391" s="861"/>
      <c r="P391" s="861"/>
      <c r="Q391" s="861"/>
      <c r="R391" s="861"/>
      <c r="S391" s="861"/>
      <c r="T391" s="861"/>
      <c r="U391" s="861"/>
      <c r="V391" s="861"/>
      <c r="W391" s="861"/>
      <c r="X391" s="861"/>
      <c r="Y391" s="861"/>
      <c r="Z391" s="861"/>
      <c r="AA391" s="861"/>
      <c r="AB391" s="861"/>
      <c r="AC391" s="861"/>
      <c r="AD391" s="861"/>
      <c r="AE391" s="861"/>
      <c r="AF391" s="861"/>
      <c r="AG391" s="861"/>
    </row>
    <row r="392" spans="1:33" ht="17.25" customHeight="1">
      <c r="A392" s="861"/>
      <c r="B392" s="861"/>
      <c r="C392" s="861"/>
      <c r="D392" s="861"/>
      <c r="E392" s="861"/>
      <c r="F392" s="861"/>
      <c r="G392" s="861"/>
      <c r="H392" s="861"/>
      <c r="I392" s="861"/>
      <c r="J392" s="861"/>
      <c r="K392" s="861"/>
      <c r="L392" s="861"/>
      <c r="M392" s="861"/>
      <c r="N392" s="861"/>
      <c r="O392" s="861"/>
      <c r="P392" s="861"/>
      <c r="Q392" s="861"/>
      <c r="R392" s="861"/>
      <c r="S392" s="861"/>
      <c r="T392" s="861"/>
      <c r="U392" s="861"/>
      <c r="V392" s="861"/>
      <c r="W392" s="861"/>
      <c r="X392" s="861"/>
      <c r="Y392" s="861"/>
      <c r="Z392" s="861"/>
      <c r="AA392" s="861"/>
      <c r="AB392" s="861"/>
      <c r="AC392" s="861"/>
      <c r="AD392" s="861"/>
      <c r="AE392" s="861"/>
      <c r="AF392" s="861"/>
      <c r="AG392" s="861"/>
    </row>
    <row r="393" spans="1:33" ht="17.25" customHeight="1">
      <c r="A393" s="861"/>
      <c r="B393" s="861"/>
      <c r="C393" s="861"/>
      <c r="D393" s="861"/>
      <c r="E393" s="861"/>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row>
    <row r="394" spans="1:33" ht="17.25" customHeight="1">
      <c r="A394" s="861"/>
      <c r="B394" s="861"/>
      <c r="C394" s="861"/>
      <c r="D394" s="861"/>
      <c r="E394" s="861"/>
      <c r="F394" s="861"/>
      <c r="G394" s="861"/>
      <c r="H394" s="861"/>
      <c r="I394" s="861"/>
      <c r="J394" s="861"/>
      <c r="K394" s="861"/>
      <c r="L394" s="861"/>
      <c r="M394" s="861"/>
      <c r="N394" s="861"/>
      <c r="O394" s="861"/>
      <c r="P394" s="861"/>
      <c r="Q394" s="861"/>
      <c r="R394" s="861"/>
      <c r="S394" s="861"/>
      <c r="T394" s="861"/>
      <c r="U394" s="861"/>
      <c r="V394" s="861"/>
      <c r="W394" s="861"/>
      <c r="X394" s="861"/>
      <c r="Y394" s="861"/>
      <c r="Z394" s="861"/>
      <c r="AA394" s="861"/>
      <c r="AB394" s="861"/>
      <c r="AC394" s="861"/>
      <c r="AD394" s="861"/>
      <c r="AE394" s="861"/>
      <c r="AF394" s="861"/>
      <c r="AG394" s="861"/>
    </row>
    <row r="395" spans="1:33" ht="17.25" customHeight="1">
      <c r="A395" s="861"/>
      <c r="B395" s="861"/>
      <c r="C395" s="861"/>
      <c r="D395" s="861"/>
      <c r="E395" s="861"/>
      <c r="F395" s="861"/>
      <c r="G395" s="861"/>
      <c r="H395" s="861"/>
      <c r="I395" s="861"/>
      <c r="J395" s="861"/>
      <c r="K395" s="861"/>
      <c r="L395" s="861"/>
      <c r="M395" s="861"/>
      <c r="N395" s="861"/>
      <c r="O395" s="861"/>
      <c r="P395" s="861"/>
      <c r="Q395" s="861"/>
      <c r="R395" s="861"/>
      <c r="S395" s="861"/>
      <c r="T395" s="861"/>
      <c r="U395" s="861"/>
      <c r="V395" s="861"/>
      <c r="W395" s="861"/>
      <c r="X395" s="861"/>
      <c r="Y395" s="861"/>
      <c r="Z395" s="861"/>
      <c r="AA395" s="861"/>
      <c r="AB395" s="861"/>
      <c r="AC395" s="861"/>
      <c r="AD395" s="861"/>
      <c r="AE395" s="861"/>
      <c r="AF395" s="861"/>
      <c r="AG395" s="861"/>
    </row>
    <row r="396" spans="1:33" ht="17.25" customHeight="1">
      <c r="A396" s="861"/>
      <c r="B396" s="861"/>
      <c r="C396" s="861"/>
      <c r="D396" s="861"/>
      <c r="E396" s="861"/>
      <c r="F396" s="861"/>
      <c r="G396" s="861"/>
      <c r="H396" s="861"/>
      <c r="I396" s="861"/>
      <c r="J396" s="861"/>
      <c r="K396" s="861"/>
      <c r="L396" s="861"/>
      <c r="M396" s="861"/>
      <c r="N396" s="861"/>
      <c r="O396" s="861"/>
      <c r="P396" s="861"/>
      <c r="Q396" s="861"/>
      <c r="R396" s="861"/>
      <c r="S396" s="861"/>
      <c r="T396" s="861"/>
      <c r="U396" s="861"/>
      <c r="V396" s="861"/>
      <c r="W396" s="861"/>
      <c r="X396" s="861"/>
      <c r="Y396" s="861"/>
      <c r="Z396" s="861"/>
      <c r="AA396" s="861"/>
      <c r="AB396" s="861"/>
      <c r="AC396" s="861"/>
      <c r="AD396" s="861"/>
      <c r="AE396" s="861"/>
      <c r="AF396" s="861"/>
      <c r="AG396" s="861"/>
    </row>
    <row r="397" spans="1:33" ht="17.25" customHeight="1">
      <c r="A397" s="861"/>
      <c r="B397" s="861"/>
      <c r="C397" s="861"/>
      <c r="D397" s="861"/>
      <c r="E397" s="861"/>
      <c r="F397" s="861"/>
      <c r="G397" s="861"/>
      <c r="H397" s="861"/>
      <c r="I397" s="861"/>
      <c r="J397" s="861"/>
      <c r="K397" s="861"/>
      <c r="L397" s="861"/>
      <c r="M397" s="861"/>
      <c r="N397" s="861"/>
      <c r="O397" s="861"/>
      <c r="P397" s="861"/>
      <c r="Q397" s="861"/>
      <c r="R397" s="861"/>
      <c r="S397" s="861"/>
      <c r="T397" s="861"/>
      <c r="U397" s="861"/>
      <c r="V397" s="861"/>
      <c r="W397" s="861"/>
      <c r="X397" s="861"/>
      <c r="Y397" s="861"/>
      <c r="Z397" s="861"/>
      <c r="AA397" s="861"/>
      <c r="AB397" s="861"/>
      <c r="AC397" s="861"/>
      <c r="AD397" s="861"/>
      <c r="AE397" s="861"/>
      <c r="AF397" s="861"/>
      <c r="AG397" s="861"/>
    </row>
    <row r="398" spans="1:33" ht="17.25" customHeight="1">
      <c r="A398" s="861"/>
      <c r="B398" s="861"/>
      <c r="C398" s="861"/>
      <c r="D398" s="861"/>
      <c r="E398" s="861"/>
      <c r="F398" s="861"/>
      <c r="G398" s="861"/>
      <c r="H398" s="861"/>
      <c r="I398" s="861"/>
      <c r="J398" s="861"/>
      <c r="K398" s="861"/>
      <c r="L398" s="861"/>
      <c r="M398" s="861"/>
      <c r="N398" s="861"/>
      <c r="O398" s="861"/>
      <c r="P398" s="861"/>
      <c r="Q398" s="861"/>
      <c r="R398" s="861"/>
      <c r="S398" s="861"/>
      <c r="T398" s="861"/>
      <c r="U398" s="861"/>
      <c r="V398" s="861"/>
      <c r="W398" s="861"/>
      <c r="X398" s="861"/>
      <c r="Y398" s="861"/>
      <c r="Z398" s="861"/>
      <c r="AA398" s="861"/>
      <c r="AB398" s="861"/>
      <c r="AC398" s="861"/>
      <c r="AD398" s="861"/>
      <c r="AE398" s="861"/>
      <c r="AF398" s="861"/>
      <c r="AG398" s="861"/>
    </row>
    <row r="399" spans="1:33" ht="17.25" customHeight="1">
      <c r="A399" s="861"/>
      <c r="B399" s="861"/>
      <c r="C399" s="861"/>
      <c r="D399" s="861"/>
      <c r="E399" s="861"/>
      <c r="F399" s="861"/>
      <c r="G399" s="861"/>
      <c r="H399" s="861"/>
      <c r="I399" s="861"/>
      <c r="J399" s="861"/>
      <c r="K399" s="861"/>
      <c r="L399" s="861"/>
      <c r="M399" s="861"/>
      <c r="N399" s="861"/>
      <c r="O399" s="861"/>
      <c r="P399" s="861"/>
      <c r="Q399" s="861"/>
      <c r="R399" s="861"/>
      <c r="S399" s="861"/>
      <c r="T399" s="861"/>
      <c r="U399" s="861"/>
      <c r="V399" s="861"/>
      <c r="W399" s="861"/>
      <c r="X399" s="861"/>
      <c r="Y399" s="861"/>
      <c r="Z399" s="861"/>
      <c r="AA399" s="861"/>
      <c r="AB399" s="861"/>
      <c r="AC399" s="861"/>
      <c r="AD399" s="861"/>
      <c r="AE399" s="861"/>
      <c r="AF399" s="861"/>
      <c r="AG399" s="861"/>
    </row>
    <row r="400" spans="1:33" ht="17.25" customHeight="1">
      <c r="A400" s="861"/>
      <c r="B400" s="861"/>
      <c r="C400" s="861"/>
      <c r="D400" s="861"/>
      <c r="E400" s="861"/>
      <c r="F400" s="861"/>
      <c r="G400" s="861"/>
      <c r="H400" s="861"/>
      <c r="I400" s="861"/>
      <c r="J400" s="861"/>
      <c r="K400" s="861"/>
      <c r="L400" s="861"/>
      <c r="M400" s="861"/>
      <c r="N400" s="861"/>
      <c r="O400" s="861"/>
      <c r="P400" s="861"/>
      <c r="Q400" s="861"/>
      <c r="R400" s="861"/>
      <c r="S400" s="861"/>
      <c r="T400" s="861"/>
      <c r="U400" s="861"/>
      <c r="V400" s="861"/>
      <c r="W400" s="861"/>
      <c r="X400" s="861"/>
      <c r="Y400" s="861"/>
      <c r="Z400" s="861"/>
      <c r="AA400" s="861"/>
      <c r="AB400" s="861"/>
      <c r="AC400" s="861"/>
      <c r="AD400" s="861"/>
      <c r="AE400" s="861"/>
      <c r="AF400" s="861"/>
      <c r="AG400" s="861"/>
    </row>
    <row r="401" spans="1:33" ht="17.25" customHeight="1">
      <c r="A401" s="861"/>
      <c r="B401" s="861"/>
      <c r="C401" s="861"/>
      <c r="D401" s="861"/>
      <c r="E401" s="861"/>
      <c r="F401" s="861"/>
      <c r="G401" s="861"/>
      <c r="H401" s="861"/>
      <c r="I401" s="861"/>
      <c r="J401" s="861"/>
      <c r="K401" s="861"/>
      <c r="L401" s="861"/>
      <c r="M401" s="861"/>
      <c r="N401" s="861"/>
      <c r="O401" s="861"/>
      <c r="P401" s="861"/>
      <c r="Q401" s="861"/>
      <c r="R401" s="861"/>
      <c r="S401" s="861"/>
      <c r="T401" s="861"/>
      <c r="U401" s="861"/>
      <c r="V401" s="861"/>
      <c r="W401" s="861"/>
      <c r="X401" s="861"/>
      <c r="Y401" s="861"/>
      <c r="Z401" s="861"/>
      <c r="AA401" s="861"/>
      <c r="AB401" s="861"/>
      <c r="AC401" s="861"/>
      <c r="AD401" s="861"/>
      <c r="AE401" s="861"/>
      <c r="AF401" s="861"/>
      <c r="AG401" s="861"/>
    </row>
    <row r="402" spans="1:33" ht="17.25" customHeight="1">
      <c r="A402" s="861"/>
      <c r="B402" s="861"/>
      <c r="C402" s="861"/>
      <c r="D402" s="861"/>
      <c r="E402" s="861"/>
      <c r="F402" s="861"/>
      <c r="G402" s="861"/>
      <c r="H402" s="861"/>
      <c r="I402" s="861"/>
      <c r="J402" s="861"/>
      <c r="K402" s="861"/>
      <c r="L402" s="861"/>
      <c r="M402" s="861"/>
      <c r="N402" s="861"/>
      <c r="O402" s="861"/>
      <c r="P402" s="861"/>
      <c r="Q402" s="861"/>
      <c r="R402" s="861"/>
      <c r="S402" s="861"/>
      <c r="T402" s="861"/>
      <c r="U402" s="861"/>
      <c r="V402" s="861"/>
      <c r="W402" s="861"/>
      <c r="X402" s="861"/>
      <c r="Y402" s="861"/>
      <c r="Z402" s="861"/>
      <c r="AA402" s="861"/>
      <c r="AB402" s="861"/>
      <c r="AC402" s="861"/>
      <c r="AD402" s="861"/>
      <c r="AE402" s="861"/>
      <c r="AF402" s="861"/>
      <c r="AG402" s="861"/>
    </row>
    <row r="403" spans="1:33" ht="17.25" customHeight="1">
      <c r="A403" s="861"/>
      <c r="B403" s="861"/>
      <c r="C403" s="861"/>
      <c r="D403" s="861"/>
      <c r="E403" s="861"/>
      <c r="F403" s="861"/>
      <c r="G403" s="861"/>
      <c r="H403" s="861"/>
      <c r="I403" s="861"/>
      <c r="J403" s="861"/>
      <c r="K403" s="861"/>
      <c r="L403" s="861"/>
      <c r="M403" s="861"/>
      <c r="N403" s="861"/>
      <c r="O403" s="861"/>
      <c r="P403" s="861"/>
      <c r="Q403" s="861"/>
      <c r="R403" s="861"/>
      <c r="S403" s="861"/>
      <c r="T403" s="861"/>
      <c r="U403" s="861"/>
      <c r="V403" s="861"/>
      <c r="W403" s="861"/>
      <c r="X403" s="861"/>
      <c r="Y403" s="861"/>
      <c r="Z403" s="861"/>
      <c r="AA403" s="861"/>
      <c r="AB403" s="861"/>
      <c r="AC403" s="861"/>
      <c r="AD403" s="861"/>
      <c r="AE403" s="861"/>
      <c r="AF403" s="861"/>
      <c r="AG403" s="861"/>
    </row>
    <row r="404" spans="1:33" ht="17.25" customHeight="1">
      <c r="A404" s="861"/>
      <c r="B404" s="861"/>
      <c r="C404" s="861"/>
      <c r="D404" s="861"/>
      <c r="E404" s="861"/>
      <c r="F404" s="861"/>
      <c r="G404" s="861"/>
      <c r="H404" s="861"/>
      <c r="I404" s="861"/>
      <c r="J404" s="861"/>
      <c r="K404" s="861"/>
      <c r="L404" s="861"/>
      <c r="M404" s="861"/>
      <c r="N404" s="861"/>
      <c r="O404" s="861"/>
      <c r="P404" s="861"/>
      <c r="Q404" s="861"/>
      <c r="R404" s="861"/>
      <c r="S404" s="861"/>
      <c r="T404" s="861"/>
      <c r="U404" s="861"/>
      <c r="V404" s="861"/>
      <c r="W404" s="861"/>
      <c r="X404" s="861"/>
      <c r="Y404" s="861"/>
      <c r="Z404" s="861"/>
      <c r="AA404" s="861"/>
      <c r="AB404" s="861"/>
      <c r="AC404" s="861"/>
      <c r="AD404" s="861"/>
      <c r="AE404" s="861"/>
      <c r="AF404" s="861"/>
      <c r="AG404" s="861"/>
    </row>
    <row r="405" spans="1:33" ht="17.25" customHeight="1">
      <c r="A405" s="861"/>
      <c r="B405" s="861"/>
      <c r="C405" s="861"/>
      <c r="D405" s="861"/>
      <c r="E405" s="861"/>
      <c r="F405" s="861"/>
      <c r="G405" s="861"/>
      <c r="H405" s="861"/>
      <c r="I405" s="861"/>
      <c r="J405" s="861"/>
      <c r="K405" s="861"/>
      <c r="L405" s="861"/>
      <c r="M405" s="861"/>
      <c r="N405" s="861"/>
      <c r="O405" s="861"/>
      <c r="P405" s="861"/>
      <c r="Q405" s="861"/>
      <c r="R405" s="861"/>
      <c r="S405" s="861"/>
      <c r="T405" s="861"/>
      <c r="U405" s="861"/>
      <c r="V405" s="861"/>
      <c r="W405" s="861"/>
      <c r="X405" s="861"/>
      <c r="Y405" s="861"/>
      <c r="Z405" s="861"/>
      <c r="AA405" s="861"/>
      <c r="AB405" s="861"/>
      <c r="AC405" s="861"/>
      <c r="AD405" s="861"/>
      <c r="AE405" s="861"/>
      <c r="AF405" s="861"/>
      <c r="AG405" s="861"/>
    </row>
    <row r="406" spans="1:33" ht="17.25" customHeight="1">
      <c r="A406" s="861"/>
      <c r="B406" s="861"/>
      <c r="C406" s="861"/>
      <c r="D406" s="861"/>
      <c r="E406" s="861"/>
      <c r="F406" s="861"/>
      <c r="G406" s="861"/>
      <c r="H406" s="861"/>
      <c r="I406" s="861"/>
      <c r="J406" s="861"/>
      <c r="K406" s="861"/>
      <c r="L406" s="861"/>
      <c r="M406" s="861"/>
      <c r="N406" s="861"/>
      <c r="O406" s="861"/>
      <c r="P406" s="861"/>
      <c r="Q406" s="861"/>
      <c r="R406" s="861"/>
      <c r="S406" s="861"/>
      <c r="T406" s="861"/>
      <c r="U406" s="861"/>
      <c r="V406" s="861"/>
      <c r="W406" s="861"/>
      <c r="X406" s="861"/>
      <c r="Y406" s="861"/>
      <c r="Z406" s="861"/>
      <c r="AA406" s="861"/>
      <c r="AB406" s="861"/>
      <c r="AC406" s="861"/>
      <c r="AD406" s="861"/>
      <c r="AE406" s="861"/>
      <c r="AF406" s="861"/>
      <c r="AG406" s="861"/>
    </row>
    <row r="407" spans="1:33" ht="17.25" customHeight="1">
      <c r="A407" s="861"/>
      <c r="B407" s="861"/>
      <c r="C407" s="861"/>
      <c r="D407" s="861"/>
      <c r="E407" s="861"/>
      <c r="F407" s="861"/>
      <c r="G407" s="861"/>
      <c r="H407" s="861"/>
      <c r="I407" s="861"/>
      <c r="J407" s="861"/>
      <c r="K407" s="861"/>
      <c r="L407" s="861"/>
      <c r="M407" s="861"/>
      <c r="N407" s="861"/>
      <c r="O407" s="861"/>
      <c r="P407" s="861"/>
      <c r="Q407" s="861"/>
      <c r="R407" s="861"/>
      <c r="S407" s="861"/>
      <c r="T407" s="861"/>
      <c r="U407" s="861"/>
      <c r="V407" s="861"/>
      <c r="W407" s="861"/>
      <c r="X407" s="861"/>
      <c r="Y407" s="861"/>
      <c r="Z407" s="861"/>
      <c r="AA407" s="861"/>
      <c r="AB407" s="861"/>
      <c r="AC407" s="861"/>
      <c r="AD407" s="861"/>
      <c r="AE407" s="861"/>
      <c r="AF407" s="861"/>
      <c r="AG407" s="861"/>
    </row>
    <row r="408" spans="1:33" ht="17.25" customHeight="1">
      <c r="A408" s="861"/>
      <c r="B408" s="861"/>
      <c r="C408" s="861"/>
      <c r="D408" s="861"/>
      <c r="E408" s="861"/>
      <c r="F408" s="861"/>
      <c r="G408" s="861"/>
      <c r="H408" s="861"/>
      <c r="I408" s="861"/>
      <c r="J408" s="861"/>
      <c r="K408" s="861"/>
      <c r="L408" s="861"/>
      <c r="M408" s="861"/>
      <c r="N408" s="861"/>
      <c r="O408" s="861"/>
      <c r="P408" s="861"/>
      <c r="Q408" s="861"/>
      <c r="R408" s="861"/>
      <c r="S408" s="861"/>
      <c r="T408" s="861"/>
      <c r="U408" s="861"/>
      <c r="V408" s="861"/>
      <c r="W408" s="861"/>
      <c r="X408" s="861"/>
      <c r="Y408" s="861"/>
      <c r="Z408" s="861"/>
      <c r="AA408" s="861"/>
      <c r="AB408" s="861"/>
      <c r="AC408" s="861"/>
      <c r="AD408" s="861"/>
      <c r="AE408" s="861"/>
      <c r="AF408" s="861"/>
      <c r="AG408" s="861"/>
    </row>
    <row r="409" spans="1:33" ht="17.25" customHeight="1">
      <c r="A409" s="861"/>
      <c r="B409" s="861"/>
      <c r="C409" s="861"/>
      <c r="D409" s="861"/>
      <c r="E409" s="861"/>
      <c r="F409" s="861"/>
      <c r="G409" s="861"/>
      <c r="H409" s="861"/>
      <c r="I409" s="861"/>
      <c r="J409" s="861"/>
      <c r="K409" s="861"/>
      <c r="L409" s="861"/>
      <c r="M409" s="861"/>
      <c r="N409" s="861"/>
      <c r="O409" s="861"/>
      <c r="P409" s="861"/>
      <c r="Q409" s="861"/>
      <c r="R409" s="861"/>
      <c r="S409" s="861"/>
      <c r="T409" s="861"/>
      <c r="U409" s="861"/>
      <c r="V409" s="861"/>
      <c r="W409" s="861"/>
      <c r="X409" s="861"/>
      <c r="Y409" s="861"/>
      <c r="Z409" s="861"/>
      <c r="AA409" s="861"/>
      <c r="AB409" s="861"/>
      <c r="AC409" s="861"/>
      <c r="AD409" s="861"/>
      <c r="AE409" s="861"/>
      <c r="AF409" s="861"/>
      <c r="AG409" s="861"/>
    </row>
    <row r="410" spans="1:33" ht="17.25" customHeight="1">
      <c r="A410" s="861"/>
      <c r="B410" s="861"/>
      <c r="C410" s="861"/>
      <c r="D410" s="861"/>
      <c r="E410" s="861"/>
      <c r="F410" s="861"/>
      <c r="G410" s="861"/>
      <c r="H410" s="861"/>
      <c r="I410" s="861"/>
      <c r="J410" s="861"/>
      <c r="K410" s="861"/>
      <c r="L410" s="861"/>
      <c r="M410" s="861"/>
      <c r="N410" s="861"/>
      <c r="O410" s="861"/>
      <c r="P410" s="861"/>
      <c r="Q410" s="861"/>
      <c r="R410" s="861"/>
      <c r="S410" s="861"/>
      <c r="T410" s="861"/>
      <c r="U410" s="861"/>
      <c r="V410" s="861"/>
      <c r="W410" s="861"/>
      <c r="X410" s="861"/>
      <c r="Y410" s="861"/>
      <c r="Z410" s="861"/>
      <c r="AA410" s="861"/>
      <c r="AB410" s="861"/>
      <c r="AC410" s="861"/>
      <c r="AD410" s="861"/>
      <c r="AE410" s="861"/>
      <c r="AF410" s="861"/>
      <c r="AG410" s="861"/>
    </row>
    <row r="411" spans="1:33" ht="17.25" customHeight="1">
      <c r="A411" s="861"/>
      <c r="B411" s="861"/>
      <c r="C411" s="861"/>
      <c r="D411" s="861"/>
      <c r="E411" s="861"/>
      <c r="F411" s="861"/>
      <c r="G411" s="861"/>
      <c r="H411" s="861"/>
      <c r="I411" s="861"/>
      <c r="J411" s="861"/>
      <c r="K411" s="861"/>
      <c r="L411" s="861"/>
      <c r="M411" s="861"/>
      <c r="N411" s="861"/>
      <c r="O411" s="861"/>
      <c r="P411" s="861"/>
      <c r="Q411" s="861"/>
      <c r="R411" s="861"/>
      <c r="S411" s="861"/>
      <c r="T411" s="861"/>
      <c r="U411" s="861"/>
      <c r="V411" s="861"/>
      <c r="W411" s="861"/>
      <c r="X411" s="861"/>
      <c r="Y411" s="861"/>
      <c r="Z411" s="861"/>
      <c r="AA411" s="861"/>
      <c r="AB411" s="861"/>
      <c r="AC411" s="861"/>
      <c r="AD411" s="861"/>
      <c r="AE411" s="861"/>
      <c r="AF411" s="861"/>
      <c r="AG411" s="861"/>
    </row>
    <row r="412" spans="1:33" ht="17.25" customHeight="1">
      <c r="A412" s="861"/>
      <c r="B412" s="861"/>
      <c r="C412" s="861"/>
      <c r="D412" s="861"/>
      <c r="E412" s="861"/>
      <c r="F412" s="861"/>
      <c r="G412" s="861"/>
      <c r="H412" s="861"/>
      <c r="I412" s="861"/>
      <c r="J412" s="861"/>
      <c r="K412" s="861"/>
      <c r="L412" s="861"/>
      <c r="M412" s="861"/>
      <c r="N412" s="861"/>
      <c r="O412" s="861"/>
      <c r="P412" s="861"/>
      <c r="Q412" s="861"/>
      <c r="R412" s="861"/>
      <c r="S412" s="861"/>
      <c r="T412" s="861"/>
      <c r="U412" s="861"/>
      <c r="V412" s="861"/>
      <c r="W412" s="861"/>
      <c r="X412" s="861"/>
      <c r="Y412" s="861"/>
      <c r="Z412" s="861"/>
      <c r="AA412" s="861"/>
      <c r="AB412" s="861"/>
      <c r="AC412" s="861"/>
      <c r="AD412" s="861"/>
      <c r="AE412" s="861"/>
      <c r="AF412" s="861"/>
      <c r="AG412" s="861"/>
    </row>
    <row r="413" spans="1:33" ht="17.25" customHeight="1">
      <c r="A413" s="861"/>
      <c r="B413" s="861"/>
      <c r="C413" s="861"/>
      <c r="D413" s="861"/>
      <c r="E413" s="861"/>
      <c r="F413" s="861"/>
      <c r="G413" s="861"/>
      <c r="H413" s="861"/>
      <c r="I413" s="861"/>
      <c r="J413" s="861"/>
      <c r="K413" s="861"/>
      <c r="L413" s="861"/>
      <c r="M413" s="861"/>
      <c r="N413" s="861"/>
      <c r="O413" s="861"/>
      <c r="P413" s="861"/>
      <c r="Q413" s="861"/>
      <c r="R413" s="861"/>
      <c r="S413" s="861"/>
      <c r="T413" s="861"/>
      <c r="U413" s="861"/>
      <c r="V413" s="861"/>
      <c r="W413" s="861"/>
      <c r="X413" s="861"/>
      <c r="Y413" s="861"/>
      <c r="Z413" s="861"/>
      <c r="AA413" s="861"/>
      <c r="AB413" s="861"/>
      <c r="AC413" s="861"/>
      <c r="AD413" s="861"/>
      <c r="AE413" s="861"/>
      <c r="AF413" s="861"/>
      <c r="AG413" s="861"/>
    </row>
    <row r="414" spans="1:33" ht="17.25" customHeight="1">
      <c r="A414" s="861"/>
      <c r="B414" s="861"/>
      <c r="C414" s="861"/>
      <c r="D414" s="861"/>
      <c r="E414" s="861"/>
      <c r="F414" s="861"/>
      <c r="G414" s="861"/>
      <c r="H414" s="861"/>
      <c r="I414" s="861"/>
      <c r="J414" s="861"/>
      <c r="K414" s="861"/>
      <c r="L414" s="861"/>
      <c r="M414" s="861"/>
      <c r="N414" s="861"/>
      <c r="O414" s="861"/>
      <c r="P414" s="861"/>
      <c r="Q414" s="861"/>
      <c r="R414" s="861"/>
      <c r="S414" s="861"/>
      <c r="T414" s="861"/>
      <c r="U414" s="861"/>
      <c r="V414" s="861"/>
      <c r="W414" s="861"/>
      <c r="X414" s="861"/>
      <c r="Y414" s="861"/>
      <c r="Z414" s="861"/>
      <c r="AA414" s="861"/>
      <c r="AB414" s="861"/>
      <c r="AC414" s="861"/>
      <c r="AD414" s="861"/>
      <c r="AE414" s="861"/>
      <c r="AF414" s="861"/>
      <c r="AG414" s="861"/>
    </row>
    <row r="415" spans="1:33" ht="17.25" customHeight="1">
      <c r="A415" s="861"/>
      <c r="B415" s="861"/>
      <c r="C415" s="861"/>
      <c r="D415" s="861"/>
      <c r="E415" s="861"/>
      <c r="F415" s="861"/>
      <c r="G415" s="861"/>
      <c r="H415" s="861"/>
      <c r="I415" s="861"/>
      <c r="J415" s="861"/>
      <c r="K415" s="861"/>
      <c r="L415" s="861"/>
      <c r="M415" s="861"/>
      <c r="N415" s="861"/>
      <c r="O415" s="861"/>
      <c r="P415" s="861"/>
      <c r="Q415" s="861"/>
      <c r="R415" s="861"/>
      <c r="S415" s="861"/>
      <c r="T415" s="861"/>
      <c r="U415" s="861"/>
      <c r="V415" s="861"/>
      <c r="W415" s="861"/>
      <c r="X415" s="861"/>
      <c r="Y415" s="861"/>
      <c r="Z415" s="861"/>
      <c r="AA415" s="861"/>
      <c r="AB415" s="861"/>
      <c r="AC415" s="861"/>
      <c r="AD415" s="861"/>
      <c r="AE415" s="861"/>
      <c r="AF415" s="861"/>
      <c r="AG415" s="861"/>
    </row>
    <row r="416" spans="1:33" ht="17.25" customHeight="1">
      <c r="A416" s="861"/>
      <c r="B416" s="861"/>
      <c r="C416" s="861"/>
      <c r="D416" s="861"/>
      <c r="E416" s="861"/>
      <c r="F416" s="861"/>
      <c r="G416" s="861"/>
      <c r="H416" s="861"/>
      <c r="I416" s="861"/>
      <c r="J416" s="861"/>
      <c r="K416" s="861"/>
      <c r="L416" s="861"/>
      <c r="M416" s="861"/>
      <c r="N416" s="861"/>
      <c r="O416" s="861"/>
      <c r="P416" s="861"/>
      <c r="Q416" s="861"/>
      <c r="R416" s="861"/>
      <c r="S416" s="861"/>
      <c r="T416" s="861"/>
      <c r="U416" s="861"/>
      <c r="V416" s="861"/>
      <c r="W416" s="861"/>
      <c r="X416" s="861"/>
      <c r="Y416" s="861"/>
      <c r="Z416" s="861"/>
      <c r="AA416" s="861"/>
      <c r="AB416" s="861"/>
      <c r="AC416" s="861"/>
      <c r="AD416" s="861"/>
      <c r="AE416" s="861"/>
      <c r="AF416" s="861"/>
      <c r="AG416" s="861"/>
    </row>
    <row r="417" spans="1:33" ht="17.25" customHeight="1">
      <c r="A417" s="861"/>
      <c r="B417" s="861"/>
      <c r="C417" s="861"/>
      <c r="D417" s="861"/>
      <c r="E417" s="861"/>
      <c r="F417" s="861"/>
      <c r="G417" s="861"/>
      <c r="H417" s="861"/>
      <c r="I417" s="861"/>
      <c r="J417" s="861"/>
      <c r="K417" s="861"/>
      <c r="L417" s="861"/>
      <c r="M417" s="861"/>
      <c r="N417" s="861"/>
      <c r="O417" s="861"/>
      <c r="P417" s="861"/>
      <c r="Q417" s="861"/>
      <c r="R417" s="861"/>
      <c r="S417" s="861"/>
      <c r="T417" s="861"/>
      <c r="U417" s="861"/>
      <c r="V417" s="861"/>
      <c r="W417" s="861"/>
      <c r="X417" s="861"/>
      <c r="Y417" s="861"/>
      <c r="Z417" s="861"/>
      <c r="AA417" s="861"/>
      <c r="AB417" s="861"/>
      <c r="AC417" s="861"/>
      <c r="AD417" s="861"/>
      <c r="AE417" s="861"/>
      <c r="AF417" s="861"/>
      <c r="AG417" s="861"/>
    </row>
    <row r="418" spans="1:33" ht="17.25" customHeight="1">
      <c r="A418" s="861"/>
      <c r="B418" s="861"/>
      <c r="C418" s="861"/>
      <c r="D418" s="861"/>
      <c r="E418" s="861"/>
      <c r="F418" s="861"/>
      <c r="G418" s="861"/>
      <c r="H418" s="861"/>
      <c r="I418" s="861"/>
      <c r="J418" s="861"/>
      <c r="K418" s="861"/>
      <c r="L418" s="861"/>
      <c r="M418" s="861"/>
      <c r="N418" s="861"/>
      <c r="O418" s="861"/>
      <c r="P418" s="861"/>
      <c r="Q418" s="861"/>
      <c r="R418" s="861"/>
      <c r="S418" s="861"/>
      <c r="T418" s="861"/>
      <c r="U418" s="861"/>
      <c r="V418" s="861"/>
      <c r="W418" s="861"/>
      <c r="X418" s="861"/>
      <c r="Y418" s="861"/>
      <c r="Z418" s="861"/>
      <c r="AA418" s="861"/>
      <c r="AB418" s="861"/>
      <c r="AC418" s="861"/>
      <c r="AD418" s="861"/>
      <c r="AE418" s="861"/>
      <c r="AF418" s="861"/>
      <c r="AG418" s="861"/>
    </row>
    <row r="419" spans="1:33" ht="17.25" customHeight="1">
      <c r="A419" s="861"/>
      <c r="B419" s="861"/>
      <c r="C419" s="861"/>
      <c r="D419" s="861"/>
      <c r="E419" s="861"/>
      <c r="F419" s="861"/>
      <c r="G419" s="861"/>
      <c r="H419" s="861"/>
      <c r="I419" s="861"/>
      <c r="J419" s="861"/>
      <c r="K419" s="861"/>
      <c r="L419" s="861"/>
      <c r="M419" s="861"/>
      <c r="N419" s="861"/>
      <c r="O419" s="861"/>
      <c r="P419" s="861"/>
      <c r="Q419" s="861"/>
      <c r="R419" s="861"/>
      <c r="S419" s="861"/>
      <c r="T419" s="861"/>
      <c r="U419" s="861"/>
      <c r="V419" s="861"/>
      <c r="W419" s="861"/>
      <c r="X419" s="861"/>
      <c r="Y419" s="861"/>
      <c r="Z419" s="861"/>
      <c r="AA419" s="861"/>
      <c r="AB419" s="861"/>
      <c r="AC419" s="861"/>
      <c r="AD419" s="861"/>
      <c r="AE419" s="861"/>
      <c r="AF419" s="861"/>
      <c r="AG419" s="861"/>
    </row>
    <row r="420" spans="1:33" ht="17.25" customHeight="1">
      <c r="A420" s="861"/>
      <c r="B420" s="861"/>
      <c r="C420" s="861"/>
      <c r="D420" s="861"/>
      <c r="E420" s="861"/>
      <c r="F420" s="861"/>
      <c r="G420" s="861"/>
      <c r="H420" s="861"/>
      <c r="I420" s="861"/>
      <c r="J420" s="861"/>
      <c r="K420" s="861"/>
      <c r="L420" s="861"/>
      <c r="M420" s="861"/>
      <c r="N420" s="861"/>
      <c r="O420" s="861"/>
      <c r="P420" s="861"/>
      <c r="Q420" s="861"/>
      <c r="R420" s="861"/>
      <c r="S420" s="861"/>
      <c r="T420" s="861"/>
      <c r="U420" s="861"/>
      <c r="V420" s="861"/>
      <c r="W420" s="861"/>
      <c r="X420" s="861"/>
      <c r="Y420" s="861"/>
      <c r="Z420" s="861"/>
      <c r="AA420" s="861"/>
      <c r="AB420" s="861"/>
      <c r="AC420" s="861"/>
      <c r="AD420" s="861"/>
      <c r="AE420" s="861"/>
      <c r="AF420" s="861"/>
      <c r="AG420" s="861"/>
    </row>
    <row r="421" spans="1:33" ht="17.25" customHeight="1">
      <c r="A421" s="861"/>
      <c r="B421" s="861"/>
      <c r="C421" s="861"/>
      <c r="D421" s="861"/>
      <c r="E421" s="861"/>
      <c r="F421" s="861"/>
      <c r="G421" s="861"/>
      <c r="H421" s="861"/>
      <c r="I421" s="861"/>
      <c r="J421" s="861"/>
      <c r="K421" s="861"/>
      <c r="L421" s="861"/>
      <c r="M421" s="861"/>
      <c r="N421" s="861"/>
      <c r="O421" s="861"/>
      <c r="P421" s="861"/>
      <c r="Q421" s="861"/>
      <c r="R421" s="861"/>
      <c r="S421" s="861"/>
      <c r="T421" s="861"/>
      <c r="U421" s="861"/>
      <c r="V421" s="861"/>
      <c r="W421" s="861"/>
      <c r="X421" s="861"/>
      <c r="Y421" s="861"/>
      <c r="Z421" s="861"/>
      <c r="AA421" s="861"/>
      <c r="AB421" s="861"/>
      <c r="AC421" s="861"/>
      <c r="AD421" s="861"/>
      <c r="AE421" s="861"/>
      <c r="AF421" s="861"/>
      <c r="AG421" s="861"/>
    </row>
    <row r="422" spans="1:33" ht="17.25" customHeight="1">
      <c r="A422" s="861"/>
      <c r="B422" s="861"/>
      <c r="C422" s="861"/>
      <c r="D422" s="861"/>
      <c r="E422" s="861"/>
      <c r="F422" s="861"/>
      <c r="G422" s="861"/>
      <c r="H422" s="861"/>
      <c r="I422" s="861"/>
      <c r="J422" s="861"/>
      <c r="K422" s="861"/>
      <c r="L422" s="861"/>
      <c r="M422" s="861"/>
      <c r="N422" s="861"/>
      <c r="O422" s="861"/>
      <c r="P422" s="861"/>
      <c r="Q422" s="861"/>
      <c r="R422" s="861"/>
      <c r="S422" s="861"/>
      <c r="T422" s="861"/>
      <c r="U422" s="861"/>
      <c r="V422" s="861"/>
      <c r="W422" s="861"/>
      <c r="X422" s="861"/>
      <c r="Y422" s="861"/>
      <c r="Z422" s="861"/>
      <c r="AA422" s="861"/>
      <c r="AB422" s="861"/>
      <c r="AC422" s="861"/>
      <c r="AD422" s="861"/>
      <c r="AE422" s="861"/>
      <c r="AF422" s="861"/>
      <c r="AG422" s="861"/>
    </row>
    <row r="423" spans="1:33" ht="17.25" customHeight="1">
      <c r="A423" s="861"/>
      <c r="B423" s="861"/>
      <c r="C423" s="861"/>
      <c r="D423" s="861"/>
      <c r="E423" s="861"/>
      <c r="F423" s="861"/>
      <c r="G423" s="861"/>
      <c r="H423" s="861"/>
      <c r="I423" s="861"/>
      <c r="J423" s="861"/>
      <c r="K423" s="861"/>
      <c r="L423" s="861"/>
      <c r="M423" s="861"/>
      <c r="N423" s="861"/>
      <c r="O423" s="861"/>
      <c r="P423" s="861"/>
      <c r="Q423" s="861"/>
      <c r="R423" s="861"/>
      <c r="S423" s="861"/>
      <c r="T423" s="861"/>
      <c r="U423" s="861"/>
      <c r="V423" s="861"/>
      <c r="W423" s="861"/>
      <c r="X423" s="861"/>
      <c r="Y423" s="861"/>
      <c r="Z423" s="861"/>
      <c r="AA423" s="861"/>
      <c r="AB423" s="861"/>
      <c r="AC423" s="861"/>
      <c r="AD423" s="861"/>
      <c r="AE423" s="861"/>
      <c r="AF423" s="861"/>
      <c r="AG423" s="861"/>
    </row>
    <row r="424" spans="1:33" ht="17.25" customHeight="1">
      <c r="A424" s="861"/>
      <c r="B424" s="861"/>
      <c r="C424" s="861"/>
      <c r="D424" s="861"/>
      <c r="E424" s="861"/>
      <c r="F424" s="861"/>
      <c r="G424" s="861"/>
      <c r="H424" s="861"/>
      <c r="I424" s="861"/>
      <c r="J424" s="861"/>
      <c r="K424" s="861"/>
      <c r="L424" s="861"/>
      <c r="M424" s="861"/>
      <c r="N424" s="861"/>
      <c r="O424" s="861"/>
      <c r="P424" s="861"/>
      <c r="Q424" s="861"/>
      <c r="R424" s="861"/>
      <c r="S424" s="861"/>
      <c r="T424" s="861"/>
      <c r="U424" s="861"/>
      <c r="V424" s="861"/>
      <c r="W424" s="861"/>
      <c r="X424" s="861"/>
      <c r="Y424" s="861"/>
      <c r="Z424" s="861"/>
      <c r="AA424" s="861"/>
      <c r="AB424" s="861"/>
      <c r="AC424" s="861"/>
      <c r="AD424" s="861"/>
      <c r="AE424" s="861"/>
      <c r="AF424" s="861"/>
      <c r="AG424" s="861"/>
    </row>
    <row r="425" spans="1:33" ht="17.25" customHeight="1">
      <c r="A425" s="861"/>
      <c r="B425" s="861"/>
      <c r="C425" s="861"/>
      <c r="D425" s="861"/>
      <c r="E425" s="861"/>
      <c r="F425" s="861"/>
      <c r="G425" s="861"/>
      <c r="H425" s="861"/>
      <c r="I425" s="861"/>
      <c r="J425" s="861"/>
      <c r="K425" s="861"/>
      <c r="L425" s="861"/>
      <c r="M425" s="861"/>
      <c r="N425" s="861"/>
      <c r="O425" s="861"/>
      <c r="P425" s="861"/>
      <c r="Q425" s="861"/>
      <c r="R425" s="861"/>
      <c r="S425" s="861"/>
      <c r="T425" s="861"/>
      <c r="U425" s="861"/>
      <c r="V425" s="861"/>
      <c r="W425" s="861"/>
      <c r="X425" s="861"/>
      <c r="Y425" s="861"/>
      <c r="Z425" s="861"/>
      <c r="AA425" s="861"/>
      <c r="AB425" s="861"/>
      <c r="AC425" s="861"/>
      <c r="AD425" s="861"/>
      <c r="AE425" s="861"/>
      <c r="AF425" s="861"/>
      <c r="AG425" s="861"/>
    </row>
    <row r="426" spans="1:33" ht="17.25" customHeight="1">
      <c r="A426" s="861"/>
      <c r="B426" s="861"/>
      <c r="C426" s="861"/>
      <c r="D426" s="861"/>
      <c r="E426" s="861"/>
      <c r="F426" s="861"/>
      <c r="G426" s="861"/>
      <c r="H426" s="861"/>
      <c r="I426" s="861"/>
      <c r="J426" s="861"/>
      <c r="K426" s="861"/>
      <c r="L426" s="861"/>
      <c r="M426" s="861"/>
      <c r="N426" s="861"/>
      <c r="O426" s="861"/>
      <c r="P426" s="861"/>
      <c r="Q426" s="861"/>
      <c r="R426" s="861"/>
      <c r="S426" s="861"/>
      <c r="T426" s="861"/>
      <c r="U426" s="861"/>
      <c r="V426" s="861"/>
      <c r="W426" s="861"/>
      <c r="X426" s="861"/>
      <c r="Y426" s="861"/>
      <c r="Z426" s="861"/>
      <c r="AA426" s="861"/>
      <c r="AB426" s="861"/>
      <c r="AC426" s="861"/>
      <c r="AD426" s="861"/>
      <c r="AE426" s="861"/>
      <c r="AF426" s="861"/>
      <c r="AG426" s="861"/>
    </row>
    <row r="427" spans="1:33" ht="17.25" customHeight="1">
      <c r="A427" s="861"/>
      <c r="B427" s="861"/>
      <c r="C427" s="861"/>
      <c r="D427" s="861"/>
      <c r="E427" s="861"/>
      <c r="F427" s="861"/>
      <c r="G427" s="861"/>
      <c r="H427" s="861"/>
      <c r="I427" s="861"/>
      <c r="J427" s="861"/>
      <c r="K427" s="861"/>
      <c r="L427" s="861"/>
      <c r="M427" s="861"/>
      <c r="N427" s="861"/>
      <c r="O427" s="861"/>
      <c r="P427" s="861"/>
      <c r="Q427" s="861"/>
      <c r="R427" s="861"/>
      <c r="S427" s="861"/>
      <c r="T427" s="861"/>
      <c r="U427" s="861"/>
      <c r="V427" s="861"/>
      <c r="W427" s="861"/>
      <c r="X427" s="861"/>
      <c r="Y427" s="861"/>
      <c r="Z427" s="861"/>
      <c r="AA427" s="861"/>
      <c r="AB427" s="861"/>
      <c r="AC427" s="861"/>
      <c r="AD427" s="861"/>
      <c r="AE427" s="861"/>
      <c r="AF427" s="861"/>
      <c r="AG427" s="861"/>
    </row>
    <row r="428" spans="1:33" ht="17.25" customHeight="1">
      <c r="A428" s="861"/>
      <c r="B428" s="861"/>
      <c r="C428" s="861"/>
      <c r="D428" s="861"/>
      <c r="E428" s="861"/>
      <c r="F428" s="861"/>
      <c r="G428" s="861"/>
      <c r="H428" s="861"/>
      <c r="I428" s="861"/>
      <c r="J428" s="861"/>
      <c r="K428" s="861"/>
      <c r="L428" s="861"/>
      <c r="M428" s="861"/>
      <c r="N428" s="861"/>
      <c r="O428" s="861"/>
      <c r="P428" s="861"/>
      <c r="Q428" s="861"/>
      <c r="R428" s="861"/>
      <c r="S428" s="861"/>
      <c r="T428" s="861"/>
      <c r="U428" s="861"/>
      <c r="V428" s="861"/>
      <c r="W428" s="861"/>
      <c r="X428" s="861"/>
      <c r="Y428" s="861"/>
      <c r="Z428" s="861"/>
      <c r="AA428" s="861"/>
      <c r="AB428" s="861"/>
      <c r="AC428" s="861"/>
      <c r="AD428" s="861"/>
      <c r="AE428" s="861"/>
      <c r="AF428" s="861"/>
      <c r="AG428" s="861"/>
    </row>
    <row r="429" spans="1:33" ht="17.25" customHeight="1">
      <c r="A429" s="861"/>
      <c r="B429" s="861"/>
      <c r="C429" s="861"/>
      <c r="D429" s="861"/>
      <c r="E429" s="861"/>
      <c r="F429" s="861"/>
      <c r="G429" s="861"/>
      <c r="H429" s="861"/>
      <c r="I429" s="861"/>
      <c r="J429" s="861"/>
      <c r="K429" s="861"/>
      <c r="L429" s="861"/>
      <c r="M429" s="861"/>
      <c r="N429" s="861"/>
      <c r="O429" s="861"/>
      <c r="P429" s="861"/>
      <c r="Q429" s="861"/>
      <c r="R429" s="861"/>
      <c r="S429" s="861"/>
      <c r="T429" s="861"/>
      <c r="U429" s="861"/>
      <c r="V429" s="861"/>
      <c r="W429" s="861"/>
      <c r="X429" s="861"/>
      <c r="Y429" s="861"/>
      <c r="Z429" s="861"/>
      <c r="AA429" s="861"/>
      <c r="AB429" s="861"/>
      <c r="AC429" s="861"/>
      <c r="AD429" s="861"/>
      <c r="AE429" s="861"/>
      <c r="AF429" s="861"/>
      <c r="AG429" s="861"/>
    </row>
    <row r="430" spans="1:33" ht="17.25" customHeight="1">
      <c r="A430" s="861"/>
      <c r="B430" s="861"/>
      <c r="C430" s="861"/>
      <c r="D430" s="861"/>
      <c r="E430" s="861"/>
      <c r="F430" s="861"/>
      <c r="G430" s="861"/>
      <c r="H430" s="861"/>
      <c r="I430" s="861"/>
      <c r="J430" s="861"/>
      <c r="K430" s="861"/>
      <c r="L430" s="861"/>
      <c r="M430" s="861"/>
      <c r="N430" s="861"/>
      <c r="O430" s="861"/>
      <c r="P430" s="861"/>
      <c r="Q430" s="861"/>
      <c r="R430" s="861"/>
      <c r="S430" s="861"/>
      <c r="T430" s="861"/>
      <c r="U430" s="861"/>
      <c r="V430" s="861"/>
      <c r="W430" s="861"/>
      <c r="X430" s="861"/>
      <c r="Y430" s="861"/>
      <c r="Z430" s="861"/>
      <c r="AA430" s="861"/>
      <c r="AB430" s="861"/>
      <c r="AC430" s="861"/>
      <c r="AD430" s="861"/>
      <c r="AE430" s="861"/>
      <c r="AF430" s="861"/>
      <c r="AG430" s="861"/>
    </row>
    <row r="431" spans="1:33" ht="17.25" customHeight="1">
      <c r="A431" s="861"/>
      <c r="B431" s="861"/>
      <c r="C431" s="861"/>
      <c r="D431" s="861"/>
      <c r="E431" s="861"/>
      <c r="F431" s="861"/>
      <c r="G431" s="861"/>
      <c r="H431" s="861"/>
      <c r="I431" s="861"/>
      <c r="J431" s="861"/>
      <c r="K431" s="861"/>
      <c r="L431" s="861"/>
      <c r="M431" s="861"/>
      <c r="N431" s="861"/>
      <c r="O431" s="861"/>
      <c r="P431" s="861"/>
      <c r="Q431" s="861"/>
      <c r="R431" s="861"/>
      <c r="S431" s="861"/>
      <c r="T431" s="861"/>
      <c r="U431" s="861"/>
      <c r="V431" s="861"/>
      <c r="W431" s="861"/>
      <c r="X431" s="861"/>
      <c r="Y431" s="861"/>
      <c r="Z431" s="861"/>
      <c r="AA431" s="861"/>
      <c r="AB431" s="861"/>
      <c r="AC431" s="861"/>
      <c r="AD431" s="861"/>
      <c r="AE431" s="861"/>
      <c r="AF431" s="861"/>
      <c r="AG431" s="861"/>
    </row>
    <row r="432" spans="1:33" ht="17.25" customHeight="1">
      <c r="A432" s="861"/>
      <c r="B432" s="861"/>
      <c r="C432" s="861"/>
      <c r="D432" s="861"/>
      <c r="E432" s="861"/>
      <c r="F432" s="861"/>
      <c r="G432" s="861"/>
      <c r="H432" s="861"/>
      <c r="I432" s="861"/>
      <c r="J432" s="861"/>
      <c r="K432" s="861"/>
      <c r="L432" s="861"/>
      <c r="M432" s="861"/>
      <c r="N432" s="861"/>
      <c r="O432" s="861"/>
      <c r="P432" s="861"/>
      <c r="Q432" s="861"/>
      <c r="R432" s="861"/>
      <c r="S432" s="861"/>
      <c r="T432" s="861"/>
      <c r="U432" s="861"/>
      <c r="V432" s="861"/>
      <c r="W432" s="861"/>
      <c r="X432" s="861"/>
      <c r="Y432" s="861"/>
      <c r="Z432" s="861"/>
      <c r="AA432" s="861"/>
      <c r="AB432" s="861"/>
      <c r="AC432" s="861"/>
      <c r="AD432" s="861"/>
      <c r="AE432" s="861"/>
      <c r="AF432" s="861"/>
      <c r="AG432" s="861"/>
    </row>
    <row r="433" spans="1:33" ht="17.25" customHeight="1">
      <c r="A433" s="861"/>
      <c r="B433" s="861"/>
      <c r="C433" s="861"/>
      <c r="D433" s="861"/>
      <c r="E433" s="861"/>
      <c r="F433" s="861"/>
      <c r="G433" s="861"/>
      <c r="H433" s="861"/>
      <c r="I433" s="861"/>
      <c r="J433" s="861"/>
      <c r="K433" s="861"/>
      <c r="L433" s="861"/>
      <c r="M433" s="861"/>
      <c r="N433" s="861"/>
      <c r="O433" s="861"/>
      <c r="P433" s="861"/>
      <c r="Q433" s="861"/>
      <c r="R433" s="861"/>
      <c r="S433" s="861"/>
      <c r="T433" s="861"/>
      <c r="U433" s="861"/>
      <c r="V433" s="861"/>
      <c r="W433" s="861"/>
      <c r="X433" s="861"/>
      <c r="Y433" s="861"/>
      <c r="Z433" s="861"/>
      <c r="AA433" s="861"/>
      <c r="AB433" s="861"/>
      <c r="AC433" s="861"/>
      <c r="AD433" s="861"/>
      <c r="AE433" s="861"/>
      <c r="AF433" s="861"/>
      <c r="AG433" s="861"/>
    </row>
    <row r="434" spans="1:33" ht="17.25" customHeight="1">
      <c r="A434" s="861"/>
      <c r="B434" s="861"/>
      <c r="C434" s="861"/>
      <c r="D434" s="861"/>
      <c r="E434" s="861"/>
      <c r="F434" s="861"/>
      <c r="G434" s="861"/>
      <c r="H434" s="861"/>
      <c r="I434" s="861"/>
      <c r="J434" s="861"/>
      <c r="K434" s="861"/>
      <c r="L434" s="861"/>
      <c r="M434" s="861"/>
      <c r="N434" s="861"/>
      <c r="O434" s="861"/>
      <c r="P434" s="861"/>
      <c r="Q434" s="861"/>
      <c r="R434" s="861"/>
      <c r="S434" s="861"/>
      <c r="T434" s="861"/>
      <c r="U434" s="861"/>
      <c r="V434" s="861"/>
      <c r="W434" s="861"/>
      <c r="X434" s="861"/>
      <c r="Y434" s="861"/>
      <c r="Z434" s="861"/>
      <c r="AA434" s="861"/>
      <c r="AB434" s="861"/>
      <c r="AC434" s="861"/>
      <c r="AD434" s="861"/>
      <c r="AE434" s="861"/>
      <c r="AF434" s="861"/>
      <c r="AG434" s="861"/>
    </row>
    <row r="435" spans="1:33" ht="17.25" customHeight="1">
      <c r="A435" s="861"/>
      <c r="B435" s="861"/>
      <c r="C435" s="861"/>
      <c r="D435" s="861"/>
      <c r="E435" s="861"/>
      <c r="F435" s="861"/>
      <c r="G435" s="861"/>
      <c r="H435" s="861"/>
      <c r="I435" s="861"/>
      <c r="J435" s="861"/>
      <c r="K435" s="861"/>
      <c r="L435" s="861"/>
      <c r="M435" s="861"/>
      <c r="N435" s="861"/>
      <c r="O435" s="861"/>
      <c r="P435" s="861"/>
      <c r="Q435" s="861"/>
      <c r="R435" s="861"/>
      <c r="S435" s="861"/>
      <c r="T435" s="861"/>
      <c r="U435" s="861"/>
      <c r="V435" s="861"/>
      <c r="W435" s="861"/>
      <c r="X435" s="861"/>
      <c r="Y435" s="861"/>
      <c r="Z435" s="861"/>
      <c r="AA435" s="861"/>
      <c r="AB435" s="861"/>
      <c r="AC435" s="861"/>
      <c r="AD435" s="861"/>
      <c r="AE435" s="861"/>
      <c r="AF435" s="861"/>
      <c r="AG435" s="861"/>
    </row>
    <row r="436" spans="1:33" ht="17.25" customHeight="1">
      <c r="A436" s="861"/>
      <c r="B436" s="861"/>
      <c r="C436" s="861"/>
      <c r="D436" s="861"/>
      <c r="E436" s="861"/>
      <c r="F436" s="861"/>
      <c r="G436" s="861"/>
      <c r="H436" s="861"/>
      <c r="I436" s="861"/>
      <c r="J436" s="861"/>
      <c r="K436" s="861"/>
      <c r="L436" s="861"/>
      <c r="M436" s="861"/>
      <c r="N436" s="861"/>
      <c r="O436" s="861"/>
      <c r="P436" s="861"/>
      <c r="Q436" s="861"/>
      <c r="R436" s="861"/>
      <c r="S436" s="861"/>
      <c r="T436" s="861"/>
      <c r="U436" s="861"/>
      <c r="V436" s="861"/>
      <c r="W436" s="861"/>
      <c r="X436" s="861"/>
      <c r="Y436" s="861"/>
      <c r="Z436" s="861"/>
      <c r="AA436" s="861"/>
      <c r="AB436" s="861"/>
      <c r="AC436" s="861"/>
      <c r="AD436" s="861"/>
      <c r="AE436" s="861"/>
      <c r="AF436" s="861"/>
      <c r="AG436" s="861"/>
    </row>
    <row r="437" spans="1:33" ht="17.25" customHeight="1">
      <c r="A437" s="861"/>
      <c r="B437" s="861"/>
      <c r="C437" s="861"/>
      <c r="D437" s="861"/>
      <c r="E437" s="861"/>
      <c r="F437" s="861"/>
      <c r="G437" s="861"/>
      <c r="H437" s="861"/>
      <c r="I437" s="861"/>
      <c r="J437" s="861"/>
      <c r="K437" s="861"/>
      <c r="L437" s="861"/>
      <c r="M437" s="861"/>
      <c r="N437" s="861"/>
      <c r="O437" s="861"/>
      <c r="P437" s="861"/>
      <c r="Q437" s="861"/>
      <c r="R437" s="861"/>
      <c r="S437" s="861"/>
      <c r="T437" s="861"/>
      <c r="U437" s="861"/>
      <c r="V437" s="861"/>
      <c r="W437" s="861"/>
      <c r="X437" s="861"/>
      <c r="Y437" s="861"/>
      <c r="Z437" s="861"/>
      <c r="AA437" s="861"/>
      <c r="AB437" s="861"/>
      <c r="AC437" s="861"/>
      <c r="AD437" s="861"/>
      <c r="AE437" s="861"/>
      <c r="AF437" s="861"/>
      <c r="AG437" s="861"/>
    </row>
    <row r="438" spans="1:33" ht="17.25" customHeight="1">
      <c r="A438" s="861"/>
      <c r="B438" s="861"/>
      <c r="C438" s="861"/>
      <c r="D438" s="861"/>
      <c r="E438" s="861"/>
      <c r="F438" s="861"/>
      <c r="G438" s="861"/>
      <c r="H438" s="861"/>
      <c r="I438" s="861"/>
      <c r="J438" s="861"/>
      <c r="K438" s="861"/>
      <c r="L438" s="861"/>
      <c r="M438" s="861"/>
      <c r="N438" s="861"/>
      <c r="O438" s="861"/>
      <c r="P438" s="861"/>
      <c r="Q438" s="861"/>
      <c r="R438" s="861"/>
      <c r="S438" s="861"/>
      <c r="T438" s="861"/>
      <c r="U438" s="861"/>
      <c r="V438" s="861"/>
      <c r="W438" s="861"/>
      <c r="X438" s="861"/>
      <c r="Y438" s="861"/>
      <c r="Z438" s="861"/>
      <c r="AA438" s="861"/>
      <c r="AB438" s="861"/>
      <c r="AC438" s="861"/>
      <c r="AD438" s="861"/>
      <c r="AE438" s="861"/>
      <c r="AF438" s="861"/>
      <c r="AG438" s="861"/>
    </row>
    <row r="439" spans="1:33" ht="17.25" customHeight="1">
      <c r="A439" s="861"/>
      <c r="B439" s="861"/>
      <c r="C439" s="861"/>
      <c r="D439" s="861"/>
      <c r="E439" s="861"/>
      <c r="F439" s="861"/>
      <c r="G439" s="861"/>
      <c r="H439" s="861"/>
      <c r="I439" s="861"/>
      <c r="J439" s="861"/>
      <c r="K439" s="861"/>
      <c r="L439" s="861"/>
      <c r="M439" s="861"/>
      <c r="N439" s="861"/>
      <c r="O439" s="861"/>
      <c r="P439" s="861"/>
      <c r="Q439" s="861"/>
      <c r="R439" s="861"/>
      <c r="S439" s="861"/>
      <c r="T439" s="861"/>
      <c r="U439" s="861"/>
      <c r="V439" s="861"/>
      <c r="W439" s="861"/>
      <c r="X439" s="861"/>
      <c r="Y439" s="861"/>
      <c r="Z439" s="861"/>
      <c r="AA439" s="861"/>
      <c r="AB439" s="861"/>
      <c r="AC439" s="861"/>
      <c r="AD439" s="861"/>
      <c r="AE439" s="861"/>
      <c r="AF439" s="861"/>
      <c r="AG439" s="861"/>
    </row>
    <row r="440" spans="1:33" ht="17.25" customHeight="1">
      <c r="A440" s="861"/>
      <c r="B440" s="861"/>
      <c r="C440" s="861"/>
      <c r="D440" s="861"/>
      <c r="E440" s="861"/>
      <c r="F440" s="861"/>
      <c r="G440" s="861"/>
      <c r="H440" s="861"/>
      <c r="I440" s="861"/>
      <c r="J440" s="861"/>
      <c r="K440" s="861"/>
      <c r="L440" s="861"/>
      <c r="M440" s="861"/>
      <c r="N440" s="861"/>
      <c r="O440" s="861"/>
      <c r="P440" s="861"/>
      <c r="Q440" s="861"/>
      <c r="R440" s="861"/>
      <c r="S440" s="861"/>
      <c r="T440" s="861"/>
      <c r="U440" s="861"/>
      <c r="V440" s="861"/>
      <c r="W440" s="861"/>
      <c r="X440" s="861"/>
      <c r="Y440" s="861"/>
      <c r="Z440" s="861"/>
      <c r="AA440" s="861"/>
      <c r="AB440" s="861"/>
      <c r="AC440" s="861"/>
      <c r="AD440" s="861"/>
      <c r="AE440" s="861"/>
      <c r="AF440" s="861"/>
      <c r="AG440" s="861"/>
    </row>
    <row r="441" spans="1:33" ht="17.25" customHeight="1">
      <c r="A441" s="861"/>
      <c r="B441" s="861"/>
      <c r="C441" s="861"/>
      <c r="D441" s="861"/>
      <c r="E441" s="861"/>
      <c r="F441" s="861"/>
      <c r="G441" s="861"/>
      <c r="H441" s="861"/>
      <c r="I441" s="861"/>
      <c r="J441" s="861"/>
      <c r="K441" s="861"/>
      <c r="L441" s="861"/>
      <c r="M441" s="861"/>
      <c r="N441" s="861"/>
      <c r="O441" s="861"/>
      <c r="P441" s="861"/>
      <c r="Q441" s="861"/>
      <c r="R441" s="861"/>
      <c r="S441" s="861"/>
      <c r="T441" s="861"/>
      <c r="U441" s="861"/>
      <c r="V441" s="861"/>
      <c r="W441" s="861"/>
      <c r="X441" s="861"/>
      <c r="Y441" s="861"/>
      <c r="Z441" s="861"/>
      <c r="AA441" s="861"/>
      <c r="AB441" s="861"/>
      <c r="AC441" s="861"/>
      <c r="AD441" s="861"/>
      <c r="AE441" s="861"/>
      <c r="AF441" s="861"/>
      <c r="AG441" s="861"/>
    </row>
    <row r="442" spans="1:33" ht="17.25" customHeight="1">
      <c r="A442" s="861"/>
      <c r="B442" s="861"/>
      <c r="C442" s="861"/>
      <c r="D442" s="861"/>
      <c r="E442" s="861"/>
      <c r="F442" s="861"/>
      <c r="G442" s="861"/>
      <c r="H442" s="861"/>
      <c r="I442" s="861"/>
      <c r="J442" s="861"/>
      <c r="K442" s="861"/>
      <c r="L442" s="861"/>
      <c r="M442" s="861"/>
      <c r="N442" s="861"/>
      <c r="O442" s="861"/>
      <c r="P442" s="861"/>
      <c r="Q442" s="861"/>
      <c r="R442" s="861"/>
      <c r="S442" s="861"/>
      <c r="T442" s="861"/>
      <c r="U442" s="861"/>
      <c r="V442" s="861"/>
      <c r="W442" s="861"/>
      <c r="X442" s="861"/>
      <c r="Y442" s="861"/>
      <c r="Z442" s="861"/>
      <c r="AA442" s="861"/>
      <c r="AB442" s="861"/>
      <c r="AC442" s="861"/>
      <c r="AD442" s="861"/>
      <c r="AE442" s="861"/>
      <c r="AF442" s="861"/>
      <c r="AG442" s="861"/>
    </row>
    <row r="443" spans="1:33" ht="17.25" customHeight="1">
      <c r="A443" s="861"/>
      <c r="B443" s="861"/>
      <c r="C443" s="861"/>
      <c r="D443" s="861"/>
      <c r="E443" s="861"/>
      <c r="F443" s="861"/>
      <c r="G443" s="861"/>
      <c r="H443" s="861"/>
      <c r="I443" s="861"/>
      <c r="J443" s="861"/>
      <c r="K443" s="861"/>
      <c r="L443" s="861"/>
      <c r="M443" s="861"/>
      <c r="N443" s="861"/>
      <c r="O443" s="861"/>
      <c r="P443" s="861"/>
      <c r="Q443" s="861"/>
      <c r="R443" s="861"/>
      <c r="S443" s="861"/>
      <c r="T443" s="861"/>
      <c r="U443" s="861"/>
      <c r="V443" s="861"/>
      <c r="W443" s="861"/>
      <c r="X443" s="861"/>
      <c r="Y443" s="861"/>
      <c r="Z443" s="861"/>
      <c r="AA443" s="861"/>
      <c r="AB443" s="861"/>
      <c r="AC443" s="861"/>
      <c r="AD443" s="861"/>
      <c r="AE443" s="861"/>
      <c r="AF443" s="861"/>
      <c r="AG443" s="861"/>
    </row>
    <row r="444" spans="1:33" ht="17.25" customHeight="1">
      <c r="A444" s="861"/>
      <c r="B444" s="861"/>
      <c r="C444" s="861"/>
      <c r="D444" s="861"/>
      <c r="E444" s="861"/>
      <c r="F444" s="861"/>
      <c r="G444" s="861"/>
      <c r="H444" s="861"/>
      <c r="I444" s="861"/>
      <c r="J444" s="861"/>
      <c r="K444" s="861"/>
      <c r="L444" s="861"/>
      <c r="M444" s="861"/>
      <c r="N444" s="861"/>
      <c r="O444" s="861"/>
      <c r="P444" s="861"/>
      <c r="Q444" s="861"/>
      <c r="R444" s="861"/>
      <c r="S444" s="861"/>
      <c r="T444" s="861"/>
      <c r="U444" s="861"/>
      <c r="V444" s="861"/>
      <c r="W444" s="861"/>
      <c r="X444" s="861"/>
      <c r="Y444" s="861"/>
      <c r="Z444" s="861"/>
      <c r="AA444" s="861"/>
      <c r="AB444" s="861"/>
      <c r="AC444" s="861"/>
      <c r="AD444" s="861"/>
      <c r="AE444" s="861"/>
      <c r="AF444" s="861"/>
      <c r="AG444" s="861"/>
    </row>
    <row r="445" spans="1:33" ht="17.25" customHeight="1">
      <c r="A445" s="861"/>
      <c r="B445" s="861"/>
      <c r="C445" s="861"/>
      <c r="D445" s="861"/>
      <c r="E445" s="861"/>
      <c r="F445" s="861"/>
      <c r="G445" s="861"/>
      <c r="H445" s="861"/>
      <c r="I445" s="861"/>
      <c r="J445" s="861"/>
      <c r="K445" s="861"/>
      <c r="L445" s="861"/>
      <c r="M445" s="861"/>
      <c r="N445" s="861"/>
      <c r="O445" s="861"/>
      <c r="P445" s="861"/>
      <c r="Q445" s="861"/>
      <c r="R445" s="861"/>
      <c r="S445" s="861"/>
      <c r="T445" s="861"/>
      <c r="U445" s="861"/>
      <c r="V445" s="861"/>
      <c r="W445" s="861"/>
      <c r="X445" s="861"/>
      <c r="Y445" s="861"/>
      <c r="Z445" s="861"/>
      <c r="AA445" s="861"/>
      <c r="AB445" s="861"/>
      <c r="AC445" s="861"/>
      <c r="AD445" s="861"/>
      <c r="AE445" s="861"/>
      <c r="AF445" s="861"/>
      <c r="AG445" s="861"/>
    </row>
    <row r="446" spans="1:33" ht="17.25" customHeight="1">
      <c r="A446" s="861"/>
      <c r="B446" s="861"/>
      <c r="C446" s="861"/>
      <c r="D446" s="861"/>
      <c r="E446" s="861"/>
      <c r="F446" s="861"/>
      <c r="G446" s="861"/>
      <c r="H446" s="861"/>
      <c r="I446" s="861"/>
      <c r="J446" s="861"/>
      <c r="K446" s="861"/>
      <c r="L446" s="861"/>
      <c r="M446" s="861"/>
      <c r="N446" s="861"/>
      <c r="O446" s="861"/>
      <c r="P446" s="861"/>
      <c r="Q446" s="861"/>
      <c r="R446" s="861"/>
      <c r="S446" s="861"/>
      <c r="T446" s="861"/>
      <c r="U446" s="861"/>
      <c r="V446" s="861"/>
      <c r="W446" s="861"/>
      <c r="X446" s="861"/>
      <c r="Y446" s="861"/>
      <c r="Z446" s="861"/>
      <c r="AA446" s="861"/>
      <c r="AB446" s="861"/>
      <c r="AC446" s="861"/>
      <c r="AD446" s="861"/>
      <c r="AE446" s="861"/>
      <c r="AF446" s="861"/>
      <c r="AG446" s="861"/>
    </row>
    <row r="447" spans="1:33" ht="17.25" customHeight="1">
      <c r="A447" s="861"/>
      <c r="B447" s="861"/>
      <c r="C447" s="861"/>
      <c r="D447" s="861"/>
      <c r="E447" s="861"/>
      <c r="F447" s="861"/>
      <c r="G447" s="861"/>
      <c r="H447" s="861"/>
      <c r="I447" s="861"/>
      <c r="J447" s="861"/>
      <c r="K447" s="861"/>
      <c r="L447" s="861"/>
      <c r="M447" s="861"/>
      <c r="N447" s="861"/>
      <c r="O447" s="861"/>
      <c r="P447" s="861"/>
      <c r="Q447" s="861"/>
      <c r="R447" s="861"/>
      <c r="S447" s="861"/>
      <c r="T447" s="861"/>
      <c r="U447" s="861"/>
      <c r="V447" s="861"/>
      <c r="W447" s="861"/>
      <c r="X447" s="861"/>
      <c r="Y447" s="861"/>
      <c r="Z447" s="861"/>
      <c r="AA447" s="861"/>
      <c r="AB447" s="861"/>
      <c r="AC447" s="861"/>
      <c r="AD447" s="861"/>
      <c r="AE447" s="861"/>
      <c r="AF447" s="861"/>
      <c r="AG447" s="861"/>
    </row>
    <row r="448" spans="1:33" ht="17.25" customHeight="1">
      <c r="A448" s="861"/>
      <c r="B448" s="861"/>
      <c r="C448" s="861"/>
      <c r="D448" s="861"/>
      <c r="E448" s="861"/>
      <c r="F448" s="861"/>
      <c r="G448" s="861"/>
      <c r="H448" s="861"/>
      <c r="I448" s="861"/>
      <c r="J448" s="861"/>
      <c r="K448" s="861"/>
      <c r="L448" s="861"/>
      <c r="M448" s="861"/>
      <c r="N448" s="861"/>
      <c r="O448" s="861"/>
      <c r="P448" s="861"/>
      <c r="Q448" s="861"/>
      <c r="R448" s="861"/>
      <c r="S448" s="861"/>
      <c r="T448" s="861"/>
      <c r="U448" s="861"/>
      <c r="V448" s="861"/>
      <c r="W448" s="861"/>
      <c r="X448" s="861"/>
      <c r="Y448" s="861"/>
      <c r="Z448" s="861"/>
      <c r="AA448" s="861"/>
      <c r="AB448" s="861"/>
      <c r="AC448" s="861"/>
      <c r="AD448" s="861"/>
      <c r="AE448" s="861"/>
      <c r="AF448" s="861"/>
      <c r="AG448" s="861"/>
    </row>
    <row r="449" spans="1:33" ht="17.25" customHeight="1">
      <c r="A449" s="861"/>
      <c r="B449" s="861"/>
      <c r="C449" s="861"/>
      <c r="D449" s="861"/>
      <c r="E449" s="861"/>
      <c r="F449" s="861"/>
      <c r="G449" s="861"/>
      <c r="H449" s="861"/>
      <c r="I449" s="861"/>
      <c r="J449" s="861"/>
      <c r="K449" s="861"/>
      <c r="L449" s="861"/>
      <c r="M449" s="861"/>
      <c r="N449" s="861"/>
      <c r="O449" s="861"/>
      <c r="P449" s="861"/>
      <c r="Q449" s="861"/>
      <c r="R449" s="861"/>
      <c r="S449" s="861"/>
      <c r="T449" s="861"/>
      <c r="U449" s="861"/>
      <c r="V449" s="861"/>
      <c r="W449" s="861"/>
      <c r="X449" s="861"/>
      <c r="Y449" s="861"/>
      <c r="Z449" s="861"/>
      <c r="AA449" s="861"/>
      <c r="AB449" s="861"/>
      <c r="AC449" s="861"/>
      <c r="AD449" s="861"/>
      <c r="AE449" s="861"/>
      <c r="AF449" s="861"/>
      <c r="AG449" s="861"/>
    </row>
    <row r="450" spans="1:33" ht="17.25" customHeight="1">
      <c r="A450" s="861"/>
      <c r="B450" s="861"/>
      <c r="C450" s="861"/>
      <c r="D450" s="861"/>
      <c r="E450" s="861"/>
      <c r="F450" s="861"/>
      <c r="G450" s="861"/>
      <c r="H450" s="861"/>
      <c r="I450" s="861"/>
      <c r="J450" s="861"/>
      <c r="K450" s="861"/>
      <c r="L450" s="861"/>
      <c r="M450" s="861"/>
      <c r="N450" s="861"/>
      <c r="O450" s="861"/>
      <c r="P450" s="861"/>
      <c r="Q450" s="861"/>
      <c r="R450" s="861"/>
      <c r="S450" s="861"/>
      <c r="T450" s="861"/>
      <c r="U450" s="861"/>
      <c r="V450" s="861"/>
      <c r="W450" s="861"/>
      <c r="X450" s="861"/>
      <c r="Y450" s="861"/>
      <c r="Z450" s="861"/>
      <c r="AA450" s="861"/>
      <c r="AB450" s="861"/>
      <c r="AC450" s="861"/>
      <c r="AD450" s="861"/>
      <c r="AE450" s="861"/>
      <c r="AF450" s="861"/>
      <c r="AG450" s="861"/>
    </row>
    <row r="451" spans="1:33" ht="17.25" customHeight="1">
      <c r="A451" s="861"/>
      <c r="B451" s="861"/>
      <c r="C451" s="861"/>
      <c r="D451" s="861"/>
      <c r="E451" s="861"/>
      <c r="F451" s="861"/>
      <c r="G451" s="861"/>
      <c r="H451" s="861"/>
      <c r="I451" s="861"/>
      <c r="J451" s="861"/>
      <c r="K451" s="861"/>
      <c r="L451" s="861"/>
      <c r="M451" s="861"/>
      <c r="N451" s="861"/>
      <c r="O451" s="861"/>
      <c r="P451" s="861"/>
      <c r="Q451" s="861"/>
      <c r="R451" s="861"/>
      <c r="S451" s="861"/>
      <c r="T451" s="861"/>
      <c r="U451" s="861"/>
      <c r="V451" s="861"/>
      <c r="W451" s="861"/>
      <c r="X451" s="861"/>
      <c r="Y451" s="861"/>
      <c r="Z451" s="861"/>
      <c r="AA451" s="861"/>
      <c r="AB451" s="861"/>
      <c r="AC451" s="861"/>
      <c r="AD451" s="861"/>
      <c r="AE451" s="861"/>
      <c r="AF451" s="861"/>
      <c r="AG451" s="861"/>
    </row>
    <row r="452" spans="1:33" ht="17.25" customHeight="1">
      <c r="A452" s="861"/>
      <c r="B452" s="861"/>
      <c r="C452" s="861"/>
      <c r="D452" s="861"/>
      <c r="E452" s="861"/>
      <c r="F452" s="861"/>
      <c r="G452" s="861"/>
      <c r="H452" s="861"/>
      <c r="I452" s="861"/>
      <c r="J452" s="861"/>
      <c r="K452" s="861"/>
      <c r="L452" s="861"/>
      <c r="M452" s="861"/>
      <c r="N452" s="861"/>
      <c r="O452" s="861"/>
      <c r="P452" s="861"/>
      <c r="Q452" s="861"/>
      <c r="R452" s="861"/>
      <c r="S452" s="861"/>
      <c r="T452" s="861"/>
      <c r="U452" s="861"/>
      <c r="V452" s="861"/>
      <c r="W452" s="861"/>
      <c r="X452" s="861"/>
      <c r="Y452" s="861"/>
      <c r="Z452" s="861"/>
      <c r="AA452" s="861"/>
      <c r="AB452" s="861"/>
      <c r="AC452" s="861"/>
      <c r="AD452" s="861"/>
      <c r="AE452" s="861"/>
      <c r="AF452" s="861"/>
      <c r="AG452" s="861"/>
    </row>
    <row r="453" spans="1:33" ht="17.25" customHeight="1">
      <c r="A453" s="861"/>
      <c r="B453" s="861"/>
      <c r="C453" s="861"/>
      <c r="D453" s="861"/>
      <c r="E453" s="861"/>
      <c r="F453" s="861"/>
      <c r="G453" s="861"/>
      <c r="H453" s="861"/>
      <c r="I453" s="861"/>
      <c r="J453" s="861"/>
      <c r="K453" s="861"/>
      <c r="L453" s="861"/>
      <c r="M453" s="861"/>
      <c r="N453" s="861"/>
      <c r="O453" s="861"/>
      <c r="P453" s="861"/>
      <c r="Q453" s="861"/>
      <c r="R453" s="861"/>
      <c r="S453" s="861"/>
      <c r="T453" s="861"/>
      <c r="U453" s="861"/>
      <c r="V453" s="861"/>
      <c r="W453" s="861"/>
      <c r="X453" s="861"/>
      <c r="Y453" s="861"/>
      <c r="Z453" s="861"/>
      <c r="AA453" s="861"/>
      <c r="AB453" s="861"/>
      <c r="AC453" s="861"/>
      <c r="AD453" s="861"/>
      <c r="AE453" s="861"/>
      <c r="AF453" s="861"/>
      <c r="AG453" s="861"/>
    </row>
    <row r="454" spans="1:33" ht="17.25" customHeight="1">
      <c r="A454" s="861"/>
      <c r="B454" s="861"/>
      <c r="C454" s="861"/>
      <c r="D454" s="861"/>
      <c r="E454" s="861"/>
      <c r="F454" s="861"/>
      <c r="G454" s="861"/>
      <c r="H454" s="861"/>
      <c r="I454" s="861"/>
      <c r="J454" s="861"/>
      <c r="K454" s="861"/>
      <c r="L454" s="861"/>
      <c r="M454" s="861"/>
      <c r="N454" s="861"/>
      <c r="O454" s="861"/>
      <c r="P454" s="861"/>
      <c r="Q454" s="861"/>
      <c r="R454" s="861"/>
      <c r="S454" s="861"/>
      <c r="T454" s="861"/>
      <c r="U454" s="861"/>
      <c r="V454" s="861"/>
      <c r="W454" s="861"/>
      <c r="X454" s="861"/>
      <c r="Y454" s="861"/>
      <c r="Z454" s="861"/>
      <c r="AA454" s="861"/>
      <c r="AB454" s="861"/>
      <c r="AC454" s="861"/>
      <c r="AD454" s="861"/>
      <c r="AE454" s="861"/>
      <c r="AF454" s="861"/>
      <c r="AG454" s="861"/>
    </row>
    <row r="455" spans="1:33" ht="17.25" customHeight="1">
      <c r="A455" s="861"/>
      <c r="B455" s="861"/>
      <c r="C455" s="861"/>
      <c r="D455" s="861"/>
      <c r="E455" s="861"/>
      <c r="F455" s="861"/>
      <c r="G455" s="861"/>
      <c r="H455" s="861"/>
      <c r="I455" s="861"/>
      <c r="J455" s="861"/>
      <c r="K455" s="861"/>
      <c r="L455" s="861"/>
      <c r="M455" s="861"/>
      <c r="N455" s="861"/>
      <c r="O455" s="861"/>
      <c r="P455" s="861"/>
      <c r="Q455" s="861"/>
      <c r="R455" s="861"/>
      <c r="S455" s="861"/>
      <c r="T455" s="861"/>
      <c r="U455" s="861"/>
      <c r="V455" s="861"/>
      <c r="W455" s="861"/>
      <c r="X455" s="861"/>
      <c r="Y455" s="861"/>
      <c r="Z455" s="861"/>
      <c r="AA455" s="861"/>
      <c r="AB455" s="861"/>
      <c r="AC455" s="861"/>
      <c r="AD455" s="861"/>
      <c r="AE455" s="861"/>
      <c r="AF455" s="861"/>
      <c r="AG455" s="861"/>
    </row>
    <row r="456" spans="1:33" ht="17.25" customHeight="1">
      <c r="A456" s="861"/>
      <c r="B456" s="861"/>
      <c r="C456" s="861"/>
      <c r="D456" s="861"/>
      <c r="E456" s="861"/>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c r="AB456" s="861"/>
      <c r="AC456" s="861"/>
      <c r="AD456" s="861"/>
      <c r="AE456" s="861"/>
      <c r="AF456" s="861"/>
      <c r="AG456" s="861"/>
    </row>
    <row r="457" spans="1:33" ht="17.25" customHeight="1">
      <c r="A457" s="861"/>
      <c r="B457" s="861"/>
      <c r="C457" s="861"/>
      <c r="D457" s="861"/>
      <c r="E457" s="861"/>
      <c r="F457" s="861"/>
      <c r="G457" s="861"/>
      <c r="H457" s="861"/>
      <c r="I457" s="861"/>
      <c r="J457" s="861"/>
      <c r="K457" s="861"/>
      <c r="L457" s="861"/>
      <c r="M457" s="861"/>
      <c r="N457" s="861"/>
      <c r="O457" s="861"/>
      <c r="P457" s="861"/>
      <c r="Q457" s="861"/>
      <c r="R457" s="861"/>
      <c r="S457" s="861"/>
      <c r="T457" s="861"/>
      <c r="U457" s="861"/>
      <c r="V457" s="861"/>
      <c r="W457" s="861"/>
      <c r="X457" s="861"/>
      <c r="Y457" s="861"/>
      <c r="Z457" s="861"/>
      <c r="AA457" s="861"/>
      <c r="AB457" s="861"/>
      <c r="AC457" s="861"/>
      <c r="AD457" s="861"/>
      <c r="AE457" s="861"/>
      <c r="AF457" s="861"/>
      <c r="AG457" s="861"/>
    </row>
    <row r="458" spans="1:33" ht="17.25" customHeight="1">
      <c r="A458" s="861"/>
      <c r="B458" s="861"/>
      <c r="C458" s="861"/>
      <c r="D458" s="861"/>
      <c r="E458" s="861"/>
      <c r="F458" s="861"/>
      <c r="G458" s="861"/>
      <c r="H458" s="861"/>
      <c r="I458" s="861"/>
      <c r="J458" s="861"/>
      <c r="K458" s="861"/>
      <c r="L458" s="861"/>
      <c r="M458" s="861"/>
      <c r="N458" s="861"/>
      <c r="O458" s="861"/>
      <c r="P458" s="861"/>
      <c r="Q458" s="861"/>
      <c r="R458" s="861"/>
      <c r="S458" s="861"/>
      <c r="T458" s="861"/>
      <c r="U458" s="861"/>
      <c r="V458" s="861"/>
      <c r="W458" s="861"/>
      <c r="X458" s="861"/>
      <c r="Y458" s="861"/>
      <c r="Z458" s="861"/>
      <c r="AA458" s="861"/>
      <c r="AB458" s="861"/>
      <c r="AC458" s="861"/>
      <c r="AD458" s="861"/>
      <c r="AE458" s="861"/>
      <c r="AF458" s="861"/>
      <c r="AG458" s="861"/>
    </row>
    <row r="459" spans="1:33" ht="17.25" customHeight="1">
      <c r="A459" s="861"/>
      <c r="B459" s="861"/>
      <c r="C459" s="861"/>
      <c r="D459" s="861"/>
      <c r="E459" s="861"/>
      <c r="F459" s="861"/>
      <c r="G459" s="861"/>
      <c r="H459" s="861"/>
      <c r="I459" s="861"/>
      <c r="J459" s="861"/>
      <c r="K459" s="861"/>
      <c r="L459" s="861"/>
      <c r="M459" s="861"/>
      <c r="N459" s="861"/>
      <c r="O459" s="861"/>
      <c r="P459" s="861"/>
      <c r="Q459" s="861"/>
      <c r="R459" s="861"/>
      <c r="S459" s="861"/>
      <c r="T459" s="861"/>
      <c r="U459" s="861"/>
      <c r="V459" s="861"/>
      <c r="W459" s="861"/>
      <c r="X459" s="861"/>
      <c r="Y459" s="861"/>
      <c r="Z459" s="861"/>
      <c r="AA459" s="861"/>
      <c r="AB459" s="861"/>
      <c r="AC459" s="861"/>
      <c r="AD459" s="861"/>
      <c r="AE459" s="861"/>
      <c r="AF459" s="861"/>
      <c r="AG459" s="861"/>
    </row>
    <row r="460" spans="1:33" ht="17.25" customHeight="1">
      <c r="A460" s="861"/>
      <c r="B460" s="861"/>
      <c r="C460" s="861"/>
      <c r="D460" s="861"/>
      <c r="E460" s="861"/>
      <c r="F460" s="861"/>
      <c r="G460" s="861"/>
      <c r="H460" s="861"/>
      <c r="I460" s="861"/>
      <c r="J460" s="861"/>
      <c r="K460" s="861"/>
      <c r="L460" s="861"/>
      <c r="M460" s="861"/>
      <c r="N460" s="861"/>
      <c r="O460" s="861"/>
      <c r="P460" s="861"/>
      <c r="Q460" s="861"/>
      <c r="R460" s="861"/>
      <c r="S460" s="861"/>
      <c r="T460" s="861"/>
      <c r="U460" s="861"/>
      <c r="V460" s="861"/>
      <c r="W460" s="861"/>
      <c r="X460" s="861"/>
      <c r="Y460" s="861"/>
      <c r="Z460" s="861"/>
      <c r="AA460" s="861"/>
      <c r="AB460" s="861"/>
      <c r="AC460" s="861"/>
      <c r="AD460" s="861"/>
      <c r="AE460" s="861"/>
      <c r="AF460" s="861"/>
      <c r="AG460" s="861"/>
    </row>
    <row r="461" spans="1:33" ht="17.25" customHeight="1">
      <c r="A461" s="861"/>
      <c r="B461" s="861"/>
      <c r="C461" s="861"/>
      <c r="D461" s="861"/>
      <c r="E461" s="861"/>
      <c r="F461" s="861"/>
      <c r="G461" s="861"/>
      <c r="H461" s="861"/>
      <c r="I461" s="861"/>
      <c r="J461" s="861"/>
      <c r="K461" s="861"/>
      <c r="L461" s="861"/>
      <c r="M461" s="861"/>
      <c r="N461" s="861"/>
      <c r="O461" s="861"/>
      <c r="P461" s="861"/>
      <c r="Q461" s="861"/>
      <c r="R461" s="861"/>
      <c r="S461" s="861"/>
      <c r="T461" s="861"/>
      <c r="U461" s="861"/>
      <c r="V461" s="861"/>
      <c r="W461" s="861"/>
      <c r="X461" s="861"/>
      <c r="Y461" s="861"/>
      <c r="Z461" s="861"/>
      <c r="AA461" s="861"/>
      <c r="AB461" s="861"/>
      <c r="AC461" s="861"/>
      <c r="AD461" s="861"/>
      <c r="AE461" s="861"/>
      <c r="AF461" s="861"/>
      <c r="AG461" s="861"/>
    </row>
    <row r="462" spans="1:33" ht="17.25" customHeight="1">
      <c r="A462" s="861"/>
      <c r="B462" s="861"/>
      <c r="C462" s="861"/>
      <c r="D462" s="861"/>
      <c r="E462" s="861"/>
      <c r="F462" s="861"/>
      <c r="G462" s="861"/>
      <c r="H462" s="861"/>
      <c r="I462" s="861"/>
      <c r="J462" s="861"/>
      <c r="K462" s="861"/>
      <c r="L462" s="861"/>
      <c r="M462" s="861"/>
      <c r="N462" s="861"/>
      <c r="O462" s="861"/>
      <c r="P462" s="861"/>
      <c r="Q462" s="861"/>
      <c r="R462" s="861"/>
      <c r="S462" s="861"/>
      <c r="T462" s="861"/>
      <c r="U462" s="861"/>
      <c r="V462" s="861"/>
      <c r="W462" s="861"/>
      <c r="X462" s="861"/>
      <c r="Y462" s="861"/>
      <c r="Z462" s="861"/>
      <c r="AA462" s="861"/>
      <c r="AB462" s="861"/>
      <c r="AC462" s="861"/>
      <c r="AD462" s="861"/>
      <c r="AE462" s="861"/>
      <c r="AF462" s="861"/>
      <c r="AG462" s="861"/>
    </row>
    <row r="463" spans="1:33" ht="17.25" customHeight="1">
      <c r="A463" s="861"/>
      <c r="B463" s="861"/>
      <c r="C463" s="861"/>
      <c r="D463" s="861"/>
      <c r="E463" s="861"/>
      <c r="F463" s="861"/>
      <c r="G463" s="861"/>
      <c r="H463" s="861"/>
      <c r="I463" s="861"/>
      <c r="J463" s="861"/>
      <c r="K463" s="861"/>
      <c r="L463" s="861"/>
      <c r="M463" s="861"/>
      <c r="N463" s="861"/>
      <c r="O463" s="861"/>
      <c r="P463" s="861"/>
      <c r="Q463" s="861"/>
      <c r="R463" s="861"/>
      <c r="S463" s="861"/>
      <c r="T463" s="861"/>
      <c r="U463" s="861"/>
      <c r="V463" s="861"/>
      <c r="W463" s="861"/>
      <c r="X463" s="861"/>
      <c r="Y463" s="861"/>
      <c r="Z463" s="861"/>
      <c r="AA463" s="861"/>
      <c r="AB463" s="861"/>
      <c r="AC463" s="861"/>
      <c r="AD463" s="861"/>
      <c r="AE463" s="861"/>
      <c r="AF463" s="861"/>
      <c r="AG463" s="861"/>
    </row>
    <row r="464" spans="1:33" ht="17.25" customHeight="1">
      <c r="A464" s="861"/>
      <c r="B464" s="861"/>
      <c r="C464" s="861"/>
      <c r="D464" s="861"/>
      <c r="E464" s="861"/>
      <c r="F464" s="861"/>
      <c r="G464" s="861"/>
      <c r="H464" s="861"/>
      <c r="I464" s="861"/>
      <c r="J464" s="861"/>
      <c r="K464" s="861"/>
      <c r="L464" s="861"/>
      <c r="M464" s="861"/>
      <c r="N464" s="861"/>
      <c r="O464" s="861"/>
      <c r="P464" s="861"/>
      <c r="Q464" s="861"/>
      <c r="R464" s="861"/>
      <c r="S464" s="861"/>
      <c r="T464" s="861"/>
      <c r="U464" s="861"/>
      <c r="V464" s="861"/>
      <c r="W464" s="861"/>
      <c r="X464" s="861"/>
      <c r="Y464" s="861"/>
      <c r="Z464" s="861"/>
      <c r="AA464" s="861"/>
      <c r="AB464" s="861"/>
      <c r="AC464" s="861"/>
      <c r="AD464" s="861"/>
      <c r="AE464" s="861"/>
      <c r="AF464" s="861"/>
      <c r="AG464" s="861"/>
    </row>
    <row r="465" spans="1:33" ht="17.25" customHeight="1">
      <c r="A465" s="861"/>
      <c r="B465" s="861"/>
      <c r="C465" s="861"/>
      <c r="D465" s="861"/>
      <c r="E465" s="861"/>
      <c r="F465" s="861"/>
      <c r="G465" s="861"/>
      <c r="H465" s="861"/>
      <c r="I465" s="861"/>
      <c r="J465" s="861"/>
      <c r="K465" s="861"/>
      <c r="L465" s="861"/>
      <c r="M465" s="861"/>
      <c r="N465" s="861"/>
      <c r="O465" s="861"/>
      <c r="P465" s="861"/>
      <c r="Q465" s="861"/>
      <c r="R465" s="861"/>
      <c r="S465" s="861"/>
      <c r="T465" s="861"/>
      <c r="U465" s="861"/>
      <c r="V465" s="861"/>
      <c r="W465" s="861"/>
      <c r="X465" s="861"/>
      <c r="Y465" s="861"/>
      <c r="Z465" s="861"/>
      <c r="AA465" s="861"/>
      <c r="AB465" s="861"/>
      <c r="AC465" s="861"/>
      <c r="AD465" s="861"/>
      <c r="AE465" s="861"/>
      <c r="AF465" s="861"/>
      <c r="AG465" s="861"/>
    </row>
    <row r="466" spans="1:33" ht="17.25" customHeight="1">
      <c r="A466" s="861"/>
      <c r="B466" s="861"/>
      <c r="C466" s="861"/>
      <c r="D466" s="861"/>
      <c r="E466" s="861"/>
      <c r="F466" s="861"/>
      <c r="G466" s="861"/>
      <c r="H466" s="861"/>
      <c r="I466" s="861"/>
      <c r="J466" s="861"/>
      <c r="K466" s="861"/>
      <c r="L466" s="861"/>
      <c r="M466" s="861"/>
      <c r="N466" s="861"/>
      <c r="O466" s="861"/>
      <c r="P466" s="861"/>
      <c r="Q466" s="861"/>
      <c r="R466" s="861"/>
      <c r="S466" s="861"/>
      <c r="T466" s="861"/>
      <c r="U466" s="861"/>
      <c r="V466" s="861"/>
      <c r="W466" s="861"/>
      <c r="X466" s="861"/>
      <c r="Y466" s="861"/>
      <c r="Z466" s="861"/>
      <c r="AA466" s="861"/>
      <c r="AB466" s="861"/>
      <c r="AC466" s="861"/>
      <c r="AD466" s="861"/>
      <c r="AE466" s="861"/>
      <c r="AF466" s="861"/>
      <c r="AG466" s="861"/>
    </row>
    <row r="467" spans="1:33" ht="17.25" customHeight="1">
      <c r="A467" s="861"/>
      <c r="B467" s="861"/>
      <c r="C467" s="861"/>
      <c r="D467" s="861"/>
      <c r="E467" s="861"/>
      <c r="F467" s="861"/>
      <c r="G467" s="861"/>
      <c r="H467" s="861"/>
      <c r="I467" s="861"/>
      <c r="J467" s="861"/>
      <c r="K467" s="861"/>
      <c r="L467" s="861"/>
      <c r="M467" s="861"/>
      <c r="N467" s="861"/>
      <c r="O467" s="861"/>
      <c r="P467" s="861"/>
      <c r="Q467" s="861"/>
      <c r="R467" s="861"/>
      <c r="S467" s="861"/>
      <c r="T467" s="861"/>
      <c r="U467" s="861"/>
      <c r="V467" s="861"/>
      <c r="W467" s="861"/>
      <c r="X467" s="861"/>
      <c r="Y467" s="861"/>
      <c r="Z467" s="861"/>
      <c r="AA467" s="861"/>
      <c r="AB467" s="861"/>
      <c r="AC467" s="861"/>
      <c r="AD467" s="861"/>
      <c r="AE467" s="861"/>
      <c r="AF467" s="861"/>
      <c r="AG467" s="861"/>
    </row>
    <row r="468" spans="1:33" ht="17.25" customHeight="1">
      <c r="A468" s="861"/>
      <c r="B468" s="861"/>
      <c r="C468" s="861"/>
      <c r="D468" s="861"/>
      <c r="E468" s="861"/>
      <c r="F468" s="861"/>
      <c r="G468" s="861"/>
      <c r="H468" s="861"/>
      <c r="I468" s="861"/>
      <c r="J468" s="861"/>
      <c r="K468" s="861"/>
      <c r="L468" s="861"/>
      <c r="M468" s="861"/>
      <c r="N468" s="861"/>
      <c r="O468" s="861"/>
      <c r="P468" s="861"/>
      <c r="Q468" s="861"/>
      <c r="R468" s="861"/>
      <c r="S468" s="861"/>
      <c r="T468" s="861"/>
      <c r="U468" s="861"/>
      <c r="V468" s="861"/>
      <c r="W468" s="861"/>
      <c r="X468" s="861"/>
      <c r="Y468" s="861"/>
      <c r="Z468" s="861"/>
      <c r="AA468" s="861"/>
      <c r="AB468" s="861"/>
      <c r="AC468" s="861"/>
      <c r="AD468" s="861"/>
      <c r="AE468" s="861"/>
      <c r="AF468" s="861"/>
      <c r="AG468" s="861"/>
    </row>
    <row r="469" spans="1:33" ht="17.25" customHeight="1">
      <c r="A469" s="861"/>
      <c r="B469" s="861"/>
      <c r="C469" s="861"/>
      <c r="D469" s="861"/>
      <c r="E469" s="861"/>
      <c r="F469" s="861"/>
      <c r="G469" s="861"/>
      <c r="H469" s="861"/>
      <c r="I469" s="861"/>
      <c r="J469" s="861"/>
      <c r="K469" s="861"/>
      <c r="L469" s="861"/>
      <c r="M469" s="861"/>
      <c r="N469" s="861"/>
      <c r="O469" s="861"/>
      <c r="P469" s="861"/>
      <c r="Q469" s="861"/>
      <c r="R469" s="861"/>
      <c r="S469" s="861"/>
      <c r="T469" s="861"/>
      <c r="U469" s="861"/>
      <c r="V469" s="861"/>
      <c r="W469" s="861"/>
      <c r="X469" s="861"/>
      <c r="Y469" s="861"/>
      <c r="Z469" s="861"/>
      <c r="AA469" s="861"/>
      <c r="AB469" s="861"/>
      <c r="AC469" s="861"/>
      <c r="AD469" s="861"/>
      <c r="AE469" s="861"/>
      <c r="AF469" s="861"/>
      <c r="AG469" s="861"/>
    </row>
    <row r="470" spans="1:33">
      <c r="A470" s="861"/>
      <c r="B470" s="861"/>
      <c r="C470" s="861"/>
      <c r="D470" s="861"/>
      <c r="E470" s="861"/>
      <c r="F470" s="861"/>
      <c r="G470" s="861"/>
      <c r="H470" s="861"/>
      <c r="I470" s="861"/>
      <c r="J470" s="861"/>
      <c r="K470" s="861"/>
      <c r="L470" s="861"/>
      <c r="M470" s="861"/>
      <c r="N470" s="861"/>
      <c r="O470" s="861"/>
      <c r="P470" s="861"/>
      <c r="Q470" s="861"/>
      <c r="R470" s="861"/>
      <c r="S470" s="861"/>
      <c r="T470" s="861"/>
      <c r="U470" s="861"/>
      <c r="V470" s="861"/>
      <c r="W470" s="861"/>
      <c r="X470" s="861"/>
      <c r="Y470" s="861"/>
      <c r="Z470" s="861"/>
      <c r="AA470" s="861"/>
      <c r="AB470" s="861"/>
      <c r="AC470" s="861"/>
      <c r="AD470" s="861"/>
      <c r="AE470" s="861"/>
      <c r="AF470" s="861"/>
      <c r="AG470" s="861"/>
    </row>
  </sheetData>
  <sheetProtection password="F66A" sheet="1"/>
  <conditionalFormatting sqref="D3">
    <cfRule type="cellIs" dxfId="286" priority="124" operator="notEqual">
      <formula>0</formula>
    </cfRule>
  </conditionalFormatting>
  <conditionalFormatting sqref="F10">
    <cfRule type="cellIs" dxfId="285" priority="106" stopIfTrue="1" operator="equal">
      <formula>1</formula>
    </cfRule>
  </conditionalFormatting>
  <conditionalFormatting sqref="K6:L6 R6:AG6">
    <cfRule type="cellIs" dxfId="284" priority="5" stopIfTrue="1" operator="equal">
      <formula>1</formula>
    </cfRule>
  </conditionalFormatting>
  <conditionalFormatting sqref="J4 K4:AG5">
    <cfRule type="expression" dxfId="283" priority="4" stopIfTrue="1">
      <formula>J$6=1</formula>
    </cfRule>
  </conditionalFormatting>
  <conditionalFormatting sqref="M6:Q6">
    <cfRule type="cellIs" dxfId="282" priority="3" stopIfTrue="1" operator="equal">
      <formula>1</formula>
    </cfRule>
  </conditionalFormatting>
  <conditionalFormatting sqref="J5">
    <cfRule type="expression" dxfId="281" priority="2" stopIfTrue="1">
      <formula>J$6=1</formula>
    </cfRule>
  </conditionalFormatting>
  <conditionalFormatting sqref="J6:AG6">
    <cfRule type="cellIs" dxfId="280" priority="1" stopIfTrue="1" operator="equal">
      <formula>1</formula>
    </cfRule>
  </conditionalFormatting>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ersonal">
    <tabColor rgb="FFFFFF00"/>
    <pageSetUpPr autoPageBreaks="0"/>
  </sheetPr>
  <dimension ref="A1:NE215"/>
  <sheetViews>
    <sheetView showGridLines="0" zoomScale="115" zoomScaleNormal="115"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outlineLevelRow="1"/>
  <cols>
    <col min="1" max="2" width="4.140625" style="116" customWidth="1"/>
    <col min="3" max="3" width="39.5703125" style="116" customWidth="1"/>
    <col min="4" max="4" width="13" style="116" customWidth="1"/>
    <col min="5" max="5" width="11.140625" style="116" customWidth="1"/>
    <col min="6" max="6" width="11.5703125" style="116" customWidth="1"/>
    <col min="7" max="7" width="7.85546875" style="116" customWidth="1"/>
    <col min="8" max="8" width="5.140625" style="116" customWidth="1"/>
    <col min="9" max="33" width="11.42578125" style="116" customWidth="1"/>
    <col min="34" max="369" width="0" style="116" hidden="1" customWidth="1"/>
    <col min="370" max="16384" width="11.42578125" style="116" hidden="1"/>
  </cols>
  <sheetData>
    <row r="1" spans="1:33" ht="20.25">
      <c r="A1" s="41" t="s">
        <v>222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
      <c r="A2" s="127"/>
      <c r="B2" s="127"/>
      <c r="C2" s="268" t="str">
        <f>Timing!C2</f>
        <v>Model: Fictitious 5 Year Forecast</v>
      </c>
      <c r="D2" s="268"/>
      <c r="E2" s="429" t="s">
        <v>148</v>
      </c>
      <c r="F2" s="127"/>
      <c r="G2" s="127"/>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row>
    <row r="3" spans="1:33" ht="20.25">
      <c r="A3" s="127"/>
      <c r="B3" s="127"/>
      <c r="C3" s="268" t="str">
        <f>Timing!C3</f>
        <v>Model Integrity:</v>
      </c>
      <c r="D3" s="668">
        <f ca="1">Timing!D3</f>
        <v>0</v>
      </c>
      <c r="E3" s="429" t="s">
        <v>149</v>
      </c>
      <c r="F3" s="127"/>
      <c r="G3" s="280"/>
      <c r="H3" s="280"/>
      <c r="I3" s="277"/>
      <c r="J3" s="281"/>
      <c r="K3" s="235"/>
      <c r="L3" s="281"/>
      <c r="M3" s="235"/>
      <c r="N3" s="281"/>
      <c r="O3" s="235"/>
      <c r="P3" s="281"/>
      <c r="Q3" s="235"/>
      <c r="R3" s="281"/>
      <c r="S3" s="235"/>
      <c r="T3" s="281"/>
      <c r="U3" s="235"/>
      <c r="V3" s="281"/>
      <c r="W3" s="235"/>
      <c r="X3" s="281"/>
      <c r="Y3" s="235"/>
      <c r="Z3" s="281"/>
      <c r="AA3" s="235"/>
      <c r="AB3" s="281"/>
      <c r="AC3" s="235"/>
      <c r="AD3" s="281"/>
      <c r="AE3" s="235"/>
      <c r="AF3" s="281"/>
      <c r="AG3" s="235"/>
    </row>
    <row r="4" spans="1:33">
      <c r="A4" s="127"/>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20.25">
      <c r="A7" s="861"/>
      <c r="B7" s="235"/>
      <c r="C7" s="274" t="str">
        <f>Timing!C8</f>
        <v>Flags &amp; Counters</v>
      </c>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row>
    <row r="8" spans="1:33">
      <c r="A8" s="861"/>
      <c r="B8" s="235"/>
      <c r="C8" s="235" t="str">
        <f>Timing!C10</f>
        <v>Calendar Year</v>
      </c>
      <c r="D8" s="270" t="str">
        <f>Timing!D10</f>
        <v>year</v>
      </c>
      <c r="E8" s="235"/>
      <c r="F8" s="235"/>
      <c r="G8" s="235"/>
      <c r="H8" s="235"/>
      <c r="I8" s="235"/>
      <c r="J8" s="235">
        <f>Timing!J10</f>
        <v>2018</v>
      </c>
      <c r="K8" s="235">
        <f>Timing!K10</f>
        <v>2018</v>
      </c>
      <c r="L8" s="235">
        <f>Timing!L10</f>
        <v>2018</v>
      </c>
      <c r="M8" s="235">
        <f>Timing!M10</f>
        <v>2018</v>
      </c>
      <c r="N8" s="235">
        <f>Timing!N10</f>
        <v>2018</v>
      </c>
      <c r="O8" s="235">
        <f>Timing!O10</f>
        <v>2018</v>
      </c>
      <c r="P8" s="235">
        <f>Timing!P10</f>
        <v>2018</v>
      </c>
      <c r="Q8" s="235">
        <f>Timing!Q10</f>
        <v>2018</v>
      </c>
      <c r="R8" s="235">
        <f>Timing!R10</f>
        <v>2018</v>
      </c>
      <c r="S8" s="235">
        <f>Timing!S10</f>
        <v>2018</v>
      </c>
      <c r="T8" s="235">
        <f>Timing!T10</f>
        <v>2018</v>
      </c>
      <c r="U8" s="235">
        <f>Timing!U10</f>
        <v>2019</v>
      </c>
      <c r="V8" s="235">
        <f>Timing!V10</f>
        <v>2019</v>
      </c>
      <c r="W8" s="235">
        <f>Timing!W10</f>
        <v>2019</v>
      </c>
      <c r="X8" s="235">
        <f>Timing!X10</f>
        <v>2019</v>
      </c>
      <c r="Y8" s="235">
        <f>Timing!Y10</f>
        <v>2019</v>
      </c>
      <c r="Z8" s="235">
        <f>Timing!Z10</f>
        <v>2019</v>
      </c>
      <c r="AA8" s="235">
        <f>Timing!AA10</f>
        <v>2019</v>
      </c>
      <c r="AB8" s="235">
        <f>Timing!AB10</f>
        <v>2019</v>
      </c>
      <c r="AC8" s="235">
        <f>Timing!AC10</f>
        <v>2019</v>
      </c>
      <c r="AD8" s="235">
        <f>Timing!AD10</f>
        <v>2019</v>
      </c>
      <c r="AE8" s="235">
        <f>Timing!AE10</f>
        <v>2019</v>
      </c>
      <c r="AF8" s="235">
        <f>Timing!AF10</f>
        <v>2019</v>
      </c>
      <c r="AG8" s="235">
        <f>Timing!AG10</f>
        <v>2020</v>
      </c>
    </row>
    <row r="9" spans="1:33" s="199" customFormat="1" ht="15.75" customHeight="1">
      <c r="A9" s="861"/>
      <c r="B9" s="235"/>
      <c r="C9" s="235"/>
      <c r="D9" s="235"/>
      <c r="E9" s="282"/>
      <c r="F9" s="282"/>
      <c r="G9" s="282"/>
      <c r="H9" s="282"/>
      <c r="I9" s="282"/>
      <c r="J9" s="282"/>
      <c r="K9" s="282"/>
      <c r="L9" s="235"/>
      <c r="M9" s="235"/>
      <c r="N9" s="235"/>
      <c r="O9" s="235"/>
      <c r="P9" s="235"/>
      <c r="Q9" s="235"/>
      <c r="R9" s="235"/>
      <c r="S9" s="235"/>
      <c r="T9" s="235"/>
      <c r="U9" s="235"/>
      <c r="V9" s="235"/>
      <c r="W9" s="235"/>
      <c r="X9" s="235"/>
      <c r="Y9" s="235"/>
      <c r="Z9" s="235"/>
      <c r="AA9" s="235"/>
      <c r="AB9" s="235"/>
      <c r="AC9" s="235"/>
      <c r="AD9" s="235"/>
      <c r="AE9" s="235"/>
      <c r="AF9" s="235"/>
      <c r="AG9" s="235"/>
    </row>
    <row r="10" spans="1:33" ht="21.75" customHeight="1" thickBot="1">
      <c r="A10" s="316"/>
      <c r="B10" s="316"/>
      <c r="C10" s="316" t="s">
        <v>236</v>
      </c>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16"/>
      <c r="AF10" s="316"/>
      <c r="AG10" s="316"/>
    </row>
    <row r="11" spans="1:33" ht="17.25" customHeight="1" outlineLevel="1">
      <c r="A11" s="127"/>
      <c r="B11" s="127"/>
      <c r="C11" s="270" t="s">
        <v>234</v>
      </c>
      <c r="D11" s="270"/>
      <c r="E11" s="127"/>
      <c r="F11" s="127"/>
      <c r="G11" s="127"/>
      <c r="H11" s="127"/>
      <c r="I11" s="127"/>
      <c r="J11" s="127"/>
      <c r="K11" s="127"/>
      <c r="L11" s="127"/>
      <c r="M11" s="235"/>
      <c r="N11" s="235"/>
      <c r="O11" s="235"/>
      <c r="P11" s="235"/>
      <c r="Q11" s="235"/>
      <c r="R11" s="235"/>
      <c r="S11" s="235"/>
      <c r="T11" s="235"/>
      <c r="U11" s="235"/>
      <c r="V11" s="235"/>
      <c r="W11" s="235"/>
      <c r="X11" s="235"/>
      <c r="Y11" s="235"/>
      <c r="Z11" s="235"/>
      <c r="AA11" s="235"/>
      <c r="AB11" s="235"/>
      <c r="AC11" s="235"/>
      <c r="AD11" s="235"/>
      <c r="AE11" s="235"/>
      <c r="AF11" s="235"/>
      <c r="AG11" s="235"/>
    </row>
    <row r="12" spans="1:33" ht="16.5" customHeight="1" outlineLevel="1">
      <c r="A12" s="127"/>
      <c r="B12" s="683" t="str">
        <f>Inputs!$B$109</f>
        <v>1.</v>
      </c>
      <c r="C12" s="986" t="str">
        <f>Inputs!$C$109</f>
        <v>Direct Labor Staff</v>
      </c>
      <c r="D12" s="270"/>
      <c r="E12" s="282"/>
      <c r="F12" s="282"/>
      <c r="G12" s="282"/>
      <c r="H12" s="282"/>
      <c r="I12" s="786"/>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row>
    <row r="13" spans="1:33" ht="16.5" customHeight="1" outlineLevel="1">
      <c r="A13" s="127"/>
      <c r="B13" s="127"/>
      <c r="C13" s="40" t="str">
        <f>CHOOSE(language,"Direct Labour FTEs for "&amp;PS_01,"Direct Labor FTEs for "&amp;PS_01)</f>
        <v>Direct Labor FTEs for WonderApp</v>
      </c>
      <c r="D13" s="73" t="s">
        <v>39</v>
      </c>
      <c r="E13" s="769">
        <v>1</v>
      </c>
      <c r="F13" s="861"/>
      <c r="G13" s="861"/>
      <c r="H13" s="861"/>
      <c r="I13" s="786"/>
      <c r="J13" s="980">
        <f ca="1">IFERROR('Offering 1'!J16*Inputs!$F$76/(Inputs!$F$79/months_yr),0)*OnOff_PS1</f>
        <v>0.64687499999999998</v>
      </c>
      <c r="K13" s="980">
        <f ca="1">IFERROR('Offering 1'!K16*Inputs!$F$76/(Inputs!$F$79/months_yr),0)*OnOff_PS1</f>
        <v>0.95937499999999998</v>
      </c>
      <c r="L13" s="980">
        <f ca="1">IFERROR('Offering 1'!L16*Inputs!$F$76/(Inputs!$F$79/months_yr),0)*OnOff_PS1</f>
        <v>1.35</v>
      </c>
      <c r="M13" s="980">
        <f ca="1">IFERROR('Offering 1'!M16*Inputs!$F$76/(Inputs!$F$79/months_yr),0)*OnOff_PS1</f>
        <v>1.72390625</v>
      </c>
      <c r="N13" s="980">
        <f ca="1">IFERROR('Offering 1'!N16*Inputs!$F$76/(Inputs!$F$79/months_yr),0)*OnOff_PS1</f>
        <v>2.1307812500000001</v>
      </c>
      <c r="O13" s="980">
        <f ca="1">IFERROR('Offering 1'!O16*Inputs!$F$76/(Inputs!$F$79/months_yr),0)*OnOff_PS1</f>
        <v>2.5506500000000001</v>
      </c>
      <c r="P13" s="980">
        <f ca="1">IFERROR('Offering 1'!P16*Inputs!$F$76/(Inputs!$F$79/months_yr),0)*OnOff_PS1</f>
        <v>2.9565869375000005</v>
      </c>
      <c r="Q13" s="980">
        <f ca="1">IFERROR('Offering 1'!Q16*Inputs!$F$76/(Inputs!$F$79/months_yr),0)*OnOff_PS1</f>
        <v>3.395873227500001</v>
      </c>
      <c r="R13" s="980">
        <f ca="1">IFERROR('Offering 1'!R16*Inputs!$F$76/(Inputs!$F$79/months_yr),0)*OnOff_PS1</f>
        <v>3.8496137816000009</v>
      </c>
      <c r="S13" s="980">
        <f ca="1">IFERROR('Offering 1'!S16*Inputs!$F$76/(Inputs!$F$79/months_yr),0)*OnOff_PS1</f>
        <v>4.2012176297390003</v>
      </c>
      <c r="T13" s="980">
        <f ca="1">IFERROR('Offering 1'!T16*Inputs!$F$76/(Inputs!$F$79/months_yr),0)*OnOff_PS1</f>
        <v>4.6242959130535608</v>
      </c>
      <c r="U13" s="980">
        <f ca="1">IFERROR('Offering 1'!U16*Inputs!$F$76/(Inputs!$F$79/months_yr),0)*OnOff_PS1</f>
        <v>5.0500829527007038</v>
      </c>
      <c r="V13" s="980">
        <f ca="1">IFERROR('Offering 1'!V16*Inputs!$F$76/(Inputs!$F$79/months_yr),0)*OnOff_PS1</f>
        <v>5.4004925247149815</v>
      </c>
      <c r="W13" s="980">
        <f ca="1">IFERROR('Offering 1'!W16*Inputs!$F$76/(Inputs!$F$79/months_yr),0)*OnOff_PS1</f>
        <v>5.8095812867973304</v>
      </c>
      <c r="X13" s="980">
        <f ca="1">IFERROR('Offering 1'!X16*Inputs!$F$76/(Inputs!$F$79/months_yr),0)*OnOff_PS1</f>
        <v>6.2242306743629738</v>
      </c>
      <c r="Y13" s="980">
        <f ca="1">IFERROR('Offering 1'!Y16*Inputs!$F$76/(Inputs!$F$79/months_yr),0)*OnOff_PS1</f>
        <v>6.5842934631734309</v>
      </c>
      <c r="Z13" s="980">
        <f ca="1">IFERROR('Offering 1'!Z16*Inputs!$F$76/(Inputs!$F$79/months_yr),0)*OnOff_PS1</f>
        <v>6.9936819407644304</v>
      </c>
      <c r="AA13" s="980">
        <f ca="1">IFERROR('Offering 1'!AA16*Inputs!$F$76/(Inputs!$F$79/months_yr),0)*OnOff_PS1</f>
        <v>7.4112357344590709</v>
      </c>
      <c r="AB13" s="980">
        <f ca="1">IFERROR('Offering 1'!AB16*Inputs!$F$76/(Inputs!$F$79/months_yr),0)*OnOff_PS1</f>
        <v>7.7905058392565749</v>
      </c>
      <c r="AC13" s="980">
        <f ca="1">IFERROR('Offering 1'!AC16*Inputs!$F$76/(Inputs!$F$79/months_yr),0)*OnOff_PS1</f>
        <v>8.2124188345166971</v>
      </c>
      <c r="AD13" s="980">
        <f ca="1">IFERROR('Offering 1'!AD16*Inputs!$F$76/(Inputs!$F$79/months_yr),0)*OnOff_PS1</f>
        <v>8.6449685801072249</v>
      </c>
      <c r="AE13" s="980">
        <f ca="1">IFERROR('Offering 1'!AE16*Inputs!$F$76/(Inputs!$F$79/months_yr),0)*OnOff_PS1</f>
        <v>9.0521811266326981</v>
      </c>
      <c r="AF13" s="980">
        <f ca="1">IFERROR('Offering 1'!AF16*Inputs!$F$76/(Inputs!$F$79/months_yr),0)*OnOff_PS1</f>
        <v>0</v>
      </c>
      <c r="AG13" s="980">
        <f ca="1">IFERROR('Offering 1'!AG16*Inputs!$F$76/(Inputs!$F$79/months_yr),0)*OnOff_PS1</f>
        <v>0</v>
      </c>
    </row>
    <row r="14" spans="1:33" ht="16.5" customHeight="1" outlineLevel="1">
      <c r="A14" s="127"/>
      <c r="B14" s="127"/>
      <c r="C14" s="75" t="s">
        <v>235</v>
      </c>
      <c r="D14" s="8"/>
      <c r="E14" s="36"/>
      <c r="F14" s="36"/>
      <c r="G14" s="36"/>
      <c r="H14" s="36"/>
      <c r="I14" s="549"/>
      <c r="J14" s="981">
        <f t="shared" ref="J14:AG14" ca="1" si="0">SUM(J13:J13)*J$6</f>
        <v>0.64687499999999998</v>
      </c>
      <c r="K14" s="981">
        <f t="shared" ca="1" si="0"/>
        <v>0.95937499999999998</v>
      </c>
      <c r="L14" s="981">
        <f t="shared" ca="1" si="0"/>
        <v>1.35</v>
      </c>
      <c r="M14" s="981">
        <f t="shared" ca="1" si="0"/>
        <v>1.72390625</v>
      </c>
      <c r="N14" s="981">
        <f t="shared" ca="1" si="0"/>
        <v>2.1307812500000001</v>
      </c>
      <c r="O14" s="981">
        <f t="shared" ca="1" si="0"/>
        <v>2.5506500000000001</v>
      </c>
      <c r="P14" s="981">
        <f t="shared" ca="1" si="0"/>
        <v>2.9565869375000005</v>
      </c>
      <c r="Q14" s="981">
        <f t="shared" ca="1" si="0"/>
        <v>3.395873227500001</v>
      </c>
      <c r="R14" s="981">
        <f t="shared" ca="1" si="0"/>
        <v>3.8496137816000009</v>
      </c>
      <c r="S14" s="981">
        <f t="shared" ca="1" si="0"/>
        <v>4.2012176297390003</v>
      </c>
      <c r="T14" s="981">
        <f t="shared" ca="1" si="0"/>
        <v>4.6242959130535608</v>
      </c>
      <c r="U14" s="981">
        <f t="shared" ca="1" si="0"/>
        <v>5.0500829527007038</v>
      </c>
      <c r="V14" s="981">
        <f t="shared" ca="1" si="0"/>
        <v>5.4004925247149815</v>
      </c>
      <c r="W14" s="981">
        <f t="shared" ca="1" si="0"/>
        <v>5.8095812867973304</v>
      </c>
      <c r="X14" s="981">
        <f t="shared" ca="1" si="0"/>
        <v>6.2242306743629738</v>
      </c>
      <c r="Y14" s="981">
        <f t="shared" ca="1" si="0"/>
        <v>6.5842934631734309</v>
      </c>
      <c r="Z14" s="981">
        <f t="shared" ca="1" si="0"/>
        <v>6.9936819407644304</v>
      </c>
      <c r="AA14" s="981">
        <f t="shared" ca="1" si="0"/>
        <v>7.4112357344590709</v>
      </c>
      <c r="AB14" s="981">
        <f t="shared" ca="1" si="0"/>
        <v>7.7905058392565749</v>
      </c>
      <c r="AC14" s="981">
        <f t="shared" ca="1" si="0"/>
        <v>8.2124188345166971</v>
      </c>
      <c r="AD14" s="981">
        <f t="shared" ca="1" si="0"/>
        <v>8.6449685801072249</v>
      </c>
      <c r="AE14" s="981">
        <f t="shared" ca="1" si="0"/>
        <v>9.0521811266326981</v>
      </c>
      <c r="AF14" s="981">
        <f t="shared" ca="1" si="0"/>
        <v>0</v>
      </c>
      <c r="AG14" s="981">
        <f t="shared" ca="1" si="0"/>
        <v>0</v>
      </c>
    </row>
    <row r="15" spans="1:33" ht="16.5" customHeight="1" outlineLevel="1">
      <c r="A15" s="127"/>
      <c r="B15" s="127"/>
      <c r="C15" s="320" t="str">
        <f>IF(Inputs!C111="","",Inputs!C111)</f>
        <v/>
      </c>
      <c r="D15" s="270"/>
      <c r="E15" s="861"/>
      <c r="F15" s="861"/>
      <c r="G15" s="235"/>
      <c r="H15" s="235"/>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row>
    <row r="16" spans="1:33" ht="16.5" customHeight="1" outlineLevel="1">
      <c r="A16" s="127"/>
      <c r="B16" s="683" t="str">
        <f>Inputs!$B$112</f>
        <v>2.</v>
      </c>
      <c r="C16" s="986" t="str">
        <f>Inputs!$C$112</f>
        <v>Marketing and Sales Staff</v>
      </c>
      <c r="D16" s="270"/>
      <c r="E16" s="397" t="s">
        <v>233</v>
      </c>
      <c r="F16" s="127" t="s">
        <v>1036</v>
      </c>
      <c r="G16" s="127"/>
      <c r="H16" s="712" t="s">
        <v>866</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row>
    <row r="17" spans="1:33" ht="16.5" customHeight="1" outlineLevel="1">
      <c r="A17" s="127"/>
      <c r="B17" s="127"/>
      <c r="C17" s="40" t="str">
        <f>IF(Inputs!C113="","",Inputs!C113)</f>
        <v>Sales Executive (Offering 1)</v>
      </c>
      <c r="D17" s="73" t="s">
        <v>39</v>
      </c>
      <c r="E17" s="769">
        <v>1</v>
      </c>
      <c r="F17" s="953">
        <f>Inputs!F62</f>
        <v>180</v>
      </c>
      <c r="G17" s="774"/>
      <c r="H17" s="956">
        <f>Inputs!G63</f>
        <v>1</v>
      </c>
      <c r="I17" s="786"/>
      <c r="J17" s="955">
        <f>IFERROR(IF($H17=1,'Offering 1'!J14/$F17,ROUNDUP('Offering 1'!J14/$F17,0))*J$6*OnOff_PS1,0)</f>
        <v>0.27777777777777779</v>
      </c>
      <c r="K17" s="955">
        <f>IFERROR(IF($H17=1,'Offering 1'!K14/$F17,ROUNDUP('Offering 1'!K14/$F17,0))*K$6*OnOff_PS1,0)</f>
        <v>0.55555555555555558</v>
      </c>
      <c r="L17" s="955">
        <f>IFERROR(IF($H17=1,'Offering 1'!L14/$F17,ROUNDUP('Offering 1'!L14/$F17,0))*L$6*OnOff_PS1,0)</f>
        <v>0.69444444444444442</v>
      </c>
      <c r="M17" s="955">
        <f>IFERROR(IF($H17=1,'Offering 1'!M14/$F17,ROUNDUP('Offering 1'!M14/$F17,0))*M$6*OnOff_PS1,0)</f>
        <v>0.72222222222222221</v>
      </c>
      <c r="N17" s="955">
        <f>IFERROR(IF($H17=1,'Offering 1'!N14/$F17,ROUNDUP('Offering 1'!N14/$F17,0))*N$6*OnOff_PS1,0)</f>
        <v>0.75111111111111117</v>
      </c>
      <c r="O17" s="955">
        <f>IFERROR(IF($H17=1,'Offering 1'!O14/$F17,ROUNDUP('Offering 1'!O14/$F17,0))*O$6*OnOff_PS1,0)</f>
        <v>0.78115555555555571</v>
      </c>
      <c r="P17" s="955">
        <f>IFERROR(IF($H17=1,'Offering 1'!P14/$F17,ROUNDUP('Offering 1'!P14/$F17,0))*P$6*OnOff_PS1,0)</f>
        <v>0.812401777777778</v>
      </c>
      <c r="Q17" s="955">
        <f>IFERROR(IF($H17=1,'Offering 1'!Q14/$F17,ROUNDUP('Offering 1'!Q14/$F17,0))*Q$6*OnOff_PS1,0)</f>
        <v>0.84489784888888919</v>
      </c>
      <c r="R17" s="955">
        <f>IFERROR(IF($H17=1,'Offering 1'!R14/$F17,ROUNDUP('Offering 1'!R14/$F17,0))*R$6*OnOff_PS1,0)</f>
        <v>0.87869376284444467</v>
      </c>
      <c r="S17" s="955">
        <f>IFERROR(IF($H17=1,'Offering 1'!S14/$F17,ROUNDUP('Offering 1'!S14/$F17,0))*S$6*OnOff_PS1,0)</f>
        <v>0.9138415133582225</v>
      </c>
      <c r="T17" s="955">
        <f>IFERROR(IF($H17=1,'Offering 1'!T14/$F17,ROUNDUP('Offering 1'!T14/$F17,0))*T$6*OnOff_PS1,0)</f>
        <v>0.95039517389255146</v>
      </c>
      <c r="U17" s="955">
        <f>IFERROR(IF($H17=1,'Offering 1'!U14/$F17,ROUNDUP('Offering 1'!U14/$F17,0))*U$6*OnOff_PS1,0)</f>
        <v>0.98841098084825352</v>
      </c>
      <c r="V17" s="955">
        <f>IFERROR(IF($H17=1,'Offering 1'!V14/$F17,ROUNDUP('Offering 1'!V14/$F17,0))*V$6*OnOff_PS1,0)</f>
        <v>1.0279474200821836</v>
      </c>
      <c r="W17" s="955">
        <f>IFERROR(IF($H17=1,'Offering 1'!W14/$F17,ROUNDUP('Offering 1'!W14/$F17,0))*W$6*OnOff_PS1,0)</f>
        <v>1.0690653168854711</v>
      </c>
      <c r="X17" s="955">
        <f>IFERROR(IF($H17=1,'Offering 1'!X14/$F17,ROUNDUP('Offering 1'!X14/$F17,0))*X$6*OnOff_PS1,0)</f>
        <v>1.1118279295608899</v>
      </c>
      <c r="Y17" s="955">
        <f>IFERROR(IF($H17=1,'Offering 1'!Y14/$F17,ROUNDUP('Offering 1'!Y14/$F17,0))*Y$6*OnOff_PS1,0)</f>
        <v>1.1563010467433255</v>
      </c>
      <c r="Z17" s="955">
        <f>IFERROR(IF($H17=1,'Offering 1'!Z14/$F17,ROUNDUP('Offering 1'!Z14/$F17,0))*Z$6*OnOff_PS1,0)</f>
        <v>1.2025530886130584</v>
      </c>
      <c r="AA17" s="955">
        <f>IFERROR(IF($H17=1,'Offering 1'!AA14/$F17,ROUNDUP('Offering 1'!AA14/$F17,0))*AA$6*OnOff_PS1,0)</f>
        <v>1.2506552121575809</v>
      </c>
      <c r="AB17" s="955">
        <f>IFERROR(IF($H17=1,'Offering 1'!AB14/$F17,ROUNDUP('Offering 1'!AB14/$F17,0))*AB$6*OnOff_PS1,0)</f>
        <v>1.3006814206438841</v>
      </c>
      <c r="AC17" s="955">
        <f>IFERROR(IF($H17=1,'Offering 1'!AC14/$F17,ROUNDUP('Offering 1'!AC14/$F17,0))*AC$6*OnOff_PS1,0)</f>
        <v>1.3527086774696397</v>
      </c>
      <c r="AD17" s="955">
        <f>IFERROR(IF($H17=1,'Offering 1'!AD14/$F17,ROUNDUP('Offering 1'!AD14/$F17,0))*AD$6*OnOff_PS1,0)</f>
        <v>1.4068170245684255</v>
      </c>
      <c r="AE17" s="955">
        <f>IFERROR(IF($H17=1,'Offering 1'!AE14/$F17,ROUNDUP('Offering 1'!AE14/$F17,0))*AE$6*OnOff_PS1,0)</f>
        <v>1.4630897055511627</v>
      </c>
      <c r="AF17" s="955">
        <f>IFERROR(IF($H17=1,'Offering 1'!AF14/$F17,ROUNDUP('Offering 1'!AF14/$F17,0))*AF$6*OnOff_PS1,0)</f>
        <v>0</v>
      </c>
      <c r="AG17" s="955">
        <f>IFERROR(IF($H17=1,'Offering 1'!AG14/$F17,ROUNDUP('Offering 1'!AG14/$F17,0))*AG$6*OnOff_PS1,0)</f>
        <v>0</v>
      </c>
    </row>
    <row r="18" spans="1:33" s="878" customFormat="1" ht="16.5" customHeight="1" outlineLevel="1">
      <c r="A18" s="127"/>
      <c r="B18" s="127"/>
      <c r="C18" s="40" t="str">
        <f>IF(Inputs!C114="","",Inputs!C114)</f>
        <v>Account Manager (Offering 1)</v>
      </c>
      <c r="D18" s="73" t="s">
        <v>39</v>
      </c>
      <c r="E18" s="769">
        <v>1</v>
      </c>
      <c r="F18" s="953">
        <f>Inputs!F82</f>
        <v>500</v>
      </c>
      <c r="G18" s="774"/>
      <c r="H18" s="956">
        <f>Inputs!G83</f>
        <v>1</v>
      </c>
      <c r="I18" s="786"/>
      <c r="J18" s="955">
        <f ca="1">IFERROR(IF($H18=1,'Offering 1'!J16/$F18,ROUNDUP('Offering 1'!J16/$F18,0))*J$6*OnOff_PS1,0)</f>
        <v>0.41399999999999998</v>
      </c>
      <c r="K18" s="955">
        <f ca="1">IFERROR(IF($H18=1,'Offering 1'!K16/$F18,ROUNDUP('Offering 1'!K16/$F18,0))*K$6*OnOff_PS1,0)</f>
        <v>0.61399999999999999</v>
      </c>
      <c r="L18" s="955">
        <f ca="1">IFERROR(IF($H18=1,'Offering 1'!L16/$F18,ROUNDUP('Offering 1'!L16/$F18,0))*L$6*OnOff_PS1,0)</f>
        <v>0.86399999999999999</v>
      </c>
      <c r="M18" s="955">
        <f ca="1">IFERROR(IF($H18=1,'Offering 1'!M16/$F18,ROUNDUP('Offering 1'!M16/$F18,0))*M$6*OnOff_PS1,0)</f>
        <v>1.1032999999999999</v>
      </c>
      <c r="N18" s="955">
        <f ca="1">IFERROR(IF($H18=1,'Offering 1'!N16/$F18,ROUNDUP('Offering 1'!N16/$F18,0))*N$6*OnOff_PS1,0)</f>
        <v>1.3637000000000001</v>
      </c>
      <c r="O18" s="955">
        <f ca="1">IFERROR(IF($H18=1,'Offering 1'!O16/$F18,ROUNDUP('Offering 1'!O16/$F18,0))*O$6*OnOff_PS1,0)</f>
        <v>1.6324160000000001</v>
      </c>
      <c r="P18" s="955">
        <f ca="1">IFERROR(IF($H18=1,'Offering 1'!P16/$F18,ROUNDUP('Offering 1'!P16/$F18,0))*P$6*OnOff_PS1,0)</f>
        <v>1.8922156400000003</v>
      </c>
      <c r="Q18" s="955">
        <f ca="1">IFERROR(IF($H18=1,'Offering 1'!Q16/$F18,ROUNDUP('Offering 1'!Q16/$F18,0))*Q$6*OnOff_PS1,0)</f>
        <v>2.1733588656000005</v>
      </c>
      <c r="R18" s="955">
        <f ca="1">IFERROR(IF($H18=1,'Offering 1'!R16/$F18,ROUNDUP('Offering 1'!R16/$F18,0))*R$6*OnOff_PS1,0)</f>
        <v>2.4637528202240007</v>
      </c>
      <c r="S18" s="955">
        <f ca="1">IFERROR(IF($H18=1,'Offering 1'!S16/$F18,ROUNDUP('Offering 1'!S16/$F18,0))*S$6*OnOff_PS1,0)</f>
        <v>2.6887792830329604</v>
      </c>
      <c r="T18" s="955">
        <f ca="1">IFERROR(IF($H18=1,'Offering 1'!T16/$F18,ROUNDUP('Offering 1'!T16/$F18,0))*T$6*OnOff_PS1,0)</f>
        <v>2.9595493843542791</v>
      </c>
      <c r="U18" s="955">
        <f ca="1">IFERROR(IF($H18=1,'Offering 1'!U16/$F18,ROUNDUP('Offering 1'!U16/$F18,0))*U$6*OnOff_PS1,0)</f>
        <v>3.2320530897284501</v>
      </c>
      <c r="V18" s="955">
        <f ca="1">IFERROR(IF($H18=1,'Offering 1'!V16/$F18,ROUNDUP('Offering 1'!V16/$F18,0))*V$6*OnOff_PS1,0)</f>
        <v>3.4563152158175883</v>
      </c>
      <c r="W18" s="955">
        <f ca="1">IFERROR(IF($H18=1,'Offering 1'!W16/$F18,ROUNDUP('Offering 1'!W16/$F18,0))*W$6*OnOff_PS1,0)</f>
        <v>3.7181320235502917</v>
      </c>
      <c r="X18" s="955">
        <f ca="1">IFERROR(IF($H18=1,'Offering 1'!X16/$F18,ROUNDUP('Offering 1'!X16/$F18,0))*X$6*OnOff_PS1,0)</f>
        <v>3.9835076315923033</v>
      </c>
      <c r="Y18" s="955">
        <f ca="1">IFERROR(IF($H18=1,'Offering 1'!Y16/$F18,ROUNDUP('Offering 1'!Y16/$F18,0))*Y$6*OnOff_PS1,0)</f>
        <v>4.2139478164309958</v>
      </c>
      <c r="Z18" s="955">
        <f ca="1">IFERROR(IF($H18=1,'Offering 1'!Z16/$F18,ROUNDUP('Offering 1'!Z16/$F18,0))*Z$6*OnOff_PS1,0)</f>
        <v>4.4759564420892355</v>
      </c>
      <c r="AA18" s="955">
        <f ca="1">IFERROR(IF($H18=1,'Offering 1'!AA16/$F18,ROUNDUP('Offering 1'!AA16/$F18,0))*AA$6*OnOff_PS1,0)</f>
        <v>4.7431908700538052</v>
      </c>
      <c r="AB18" s="955">
        <f ca="1">IFERROR(IF($H18=1,'Offering 1'!AB16/$F18,ROUNDUP('Offering 1'!AB16/$F18,0))*AB$6*OnOff_PS1,0)</f>
        <v>4.9859237371242076</v>
      </c>
      <c r="AC18" s="955">
        <f ca="1">IFERROR(IF($H18=1,'Offering 1'!AC16/$F18,ROUNDUP('Offering 1'!AC16/$F18,0))*AC$6*OnOff_PS1,0)</f>
        <v>5.2559480540906858</v>
      </c>
      <c r="AD18" s="955">
        <f ca="1">IFERROR(IF($H18=1,'Offering 1'!AD16/$F18,ROUNDUP('Offering 1'!AD16/$F18,0))*AD$6*OnOff_PS1,0)</f>
        <v>5.5327798912686239</v>
      </c>
      <c r="AE18" s="955">
        <f ca="1">IFERROR(IF($H18=1,'Offering 1'!AE16/$F18,ROUNDUP('Offering 1'!AE16/$F18,0))*AE$6*OnOff_PS1,0)</f>
        <v>5.7933959210449268</v>
      </c>
      <c r="AF18" s="955">
        <f ca="1">IFERROR(IF($H18=1,'Offering 1'!AF16/$F18,ROUNDUP('Offering 1'!AF16/$F18,0))*AF$6*OnOff_PS1,0)</f>
        <v>0</v>
      </c>
      <c r="AG18" s="955">
        <f ca="1">IFERROR(IF($H18=1,'Offering 1'!AG16/$F18,ROUNDUP('Offering 1'!AG16/$F18,0))*AG$6*OnOff_PS1,0)</f>
        <v>0</v>
      </c>
    </row>
    <row r="19" spans="1:33" ht="16.5" customHeight="1" outlineLevel="1">
      <c r="A19" s="127"/>
      <c r="B19" s="127"/>
      <c r="C19" s="75" t="s">
        <v>235</v>
      </c>
      <c r="D19" s="8"/>
      <c r="E19" s="36"/>
      <c r="F19" s="36"/>
      <c r="G19" s="36"/>
      <c r="H19" s="36"/>
      <c r="I19" s="549"/>
      <c r="J19" s="981">
        <f t="shared" ref="J19:AG19" ca="1" si="1">SUM(J17:J18)*J$6</f>
        <v>0.69177777777777782</v>
      </c>
      <c r="K19" s="981">
        <f t="shared" ca="1" si="1"/>
        <v>1.1695555555555557</v>
      </c>
      <c r="L19" s="981">
        <f t="shared" ca="1" si="1"/>
        <v>1.5584444444444445</v>
      </c>
      <c r="M19" s="981">
        <f t="shared" ca="1" si="1"/>
        <v>1.8255222222222223</v>
      </c>
      <c r="N19" s="981">
        <f t="shared" ca="1" si="1"/>
        <v>2.1148111111111114</v>
      </c>
      <c r="O19" s="981">
        <f t="shared" ca="1" si="1"/>
        <v>2.4135715555555559</v>
      </c>
      <c r="P19" s="981">
        <f t="shared" ca="1" si="1"/>
        <v>2.7046174177777784</v>
      </c>
      <c r="Q19" s="981">
        <f t="shared" ca="1" si="1"/>
        <v>3.0182567144888894</v>
      </c>
      <c r="R19" s="981">
        <f t="shared" ca="1" si="1"/>
        <v>3.3424465830684453</v>
      </c>
      <c r="S19" s="981">
        <f t="shared" ca="1" si="1"/>
        <v>3.6026207963911832</v>
      </c>
      <c r="T19" s="981">
        <f t="shared" ca="1" si="1"/>
        <v>3.9099445582468304</v>
      </c>
      <c r="U19" s="981">
        <f t="shared" ca="1" si="1"/>
        <v>4.2204640705767034</v>
      </c>
      <c r="V19" s="981">
        <f t="shared" ca="1" si="1"/>
        <v>4.4842626358997721</v>
      </c>
      <c r="W19" s="981">
        <f t="shared" ca="1" si="1"/>
        <v>4.7871973404357631</v>
      </c>
      <c r="X19" s="981">
        <f t="shared" ca="1" si="1"/>
        <v>5.0953355611531936</v>
      </c>
      <c r="Y19" s="981">
        <f t="shared" ca="1" si="1"/>
        <v>5.3702488631743215</v>
      </c>
      <c r="Z19" s="981">
        <f t="shared" ca="1" si="1"/>
        <v>5.6785095307022937</v>
      </c>
      <c r="AA19" s="981">
        <f t="shared" ca="1" si="1"/>
        <v>5.9938460822113857</v>
      </c>
      <c r="AB19" s="981">
        <f t="shared" ca="1" si="1"/>
        <v>6.2866051577680917</v>
      </c>
      <c r="AC19" s="981">
        <f t="shared" ca="1" si="1"/>
        <v>6.6086567315603251</v>
      </c>
      <c r="AD19" s="981">
        <f t="shared" ca="1" si="1"/>
        <v>6.9395969158370496</v>
      </c>
      <c r="AE19" s="981">
        <f t="shared" ca="1" si="1"/>
        <v>7.2564856265960893</v>
      </c>
      <c r="AF19" s="981">
        <f t="shared" ca="1" si="1"/>
        <v>0</v>
      </c>
      <c r="AG19" s="981">
        <f t="shared" ca="1" si="1"/>
        <v>0</v>
      </c>
    </row>
    <row r="20" spans="1:33" ht="16.5" customHeight="1" outlineLevel="1">
      <c r="A20" s="127"/>
      <c r="B20" s="127"/>
      <c r="C20" s="235"/>
      <c r="D20" s="270"/>
      <c r="E20" s="235"/>
      <c r="F20" s="235"/>
      <c r="G20" s="235"/>
      <c r="H20" s="235"/>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row>
    <row r="21" spans="1:33" ht="16.5" customHeight="1" outlineLevel="1">
      <c r="A21" s="127"/>
      <c r="B21" s="683" t="str">
        <f>Inputs!$B$116</f>
        <v>3.</v>
      </c>
      <c r="C21" s="986" t="str">
        <f>Inputs!$C$116</f>
        <v>Research and Development Staff</v>
      </c>
      <c r="D21" s="270"/>
      <c r="E21" s="127"/>
      <c r="F21" s="127"/>
      <c r="G21" s="127"/>
      <c r="H21" s="127"/>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row>
    <row r="22" spans="1:33" ht="16.5" customHeight="1" outlineLevel="1">
      <c r="A22" s="127"/>
      <c r="B22" s="127"/>
      <c r="C22" s="40" t="str">
        <f>IF(Inputs!C117="","",Inputs!C117)</f>
        <v>Fill in name or positon here</v>
      </c>
      <c r="D22" s="73" t="s">
        <v>39</v>
      </c>
      <c r="E22" s="769">
        <v>1</v>
      </c>
      <c r="F22" s="282"/>
      <c r="G22" s="282"/>
      <c r="H22" s="273" t="str">
        <f>IF(AND(SUMPRODUCT((J$6:AG$6),(J22:AG22))&gt;0,Inputs!G117=0),"Check base salary","")</f>
        <v/>
      </c>
      <c r="I22" s="420"/>
      <c r="J22" s="437">
        <v>1</v>
      </c>
      <c r="K22" s="437">
        <v>1</v>
      </c>
      <c r="L22" s="437">
        <v>1</v>
      </c>
      <c r="M22" s="437">
        <v>1</v>
      </c>
      <c r="N22" s="437">
        <v>1</v>
      </c>
      <c r="O22" s="437">
        <v>1</v>
      </c>
      <c r="P22" s="437">
        <v>1</v>
      </c>
      <c r="Q22" s="437">
        <v>2</v>
      </c>
      <c r="R22" s="437">
        <v>2</v>
      </c>
      <c r="S22" s="437">
        <v>2</v>
      </c>
      <c r="T22" s="437">
        <v>2</v>
      </c>
      <c r="U22" s="437">
        <v>2</v>
      </c>
      <c r="V22" s="437">
        <v>2</v>
      </c>
      <c r="W22" s="437">
        <v>2</v>
      </c>
      <c r="X22" s="437">
        <v>2</v>
      </c>
      <c r="Y22" s="437">
        <v>2</v>
      </c>
      <c r="Z22" s="437">
        <v>2</v>
      </c>
      <c r="AA22" s="437">
        <v>2</v>
      </c>
      <c r="AB22" s="437">
        <v>3</v>
      </c>
      <c r="AC22" s="437">
        <v>3</v>
      </c>
      <c r="AD22" s="437">
        <v>3</v>
      </c>
      <c r="AE22" s="437">
        <v>3</v>
      </c>
      <c r="AF22" s="437">
        <v>3</v>
      </c>
      <c r="AG22" s="437">
        <v>3</v>
      </c>
    </row>
    <row r="23" spans="1:33" ht="16.5" customHeight="1" outlineLevel="1">
      <c r="A23" s="127"/>
      <c r="B23" s="127"/>
      <c r="C23" s="40" t="str">
        <f>IF(Inputs!C118="","",Inputs!C118)</f>
        <v>Fill in name or positon here</v>
      </c>
      <c r="D23" s="73" t="s">
        <v>39</v>
      </c>
      <c r="E23" s="769">
        <v>1</v>
      </c>
      <c r="F23" s="282"/>
      <c r="G23" s="282"/>
      <c r="H23" s="273" t="str">
        <f>IF(AND(SUMPRODUCT((J$6:AG$6),(J23:AG23))&gt;0,Inputs!G118=0),"Check base salary","")</f>
        <v/>
      </c>
      <c r="I23" s="420"/>
      <c r="J23" s="437"/>
      <c r="K23" s="437"/>
      <c r="L23" s="437"/>
      <c r="M23" s="437"/>
      <c r="N23" s="437"/>
      <c r="O23" s="437"/>
      <c r="P23" s="437"/>
      <c r="Q23" s="437">
        <v>1</v>
      </c>
      <c r="R23" s="437">
        <v>1</v>
      </c>
      <c r="S23" s="437">
        <v>1</v>
      </c>
      <c r="T23" s="437">
        <v>1</v>
      </c>
      <c r="U23" s="437">
        <v>1</v>
      </c>
      <c r="V23" s="437">
        <v>1</v>
      </c>
      <c r="W23" s="437">
        <v>1</v>
      </c>
      <c r="X23" s="437">
        <v>1</v>
      </c>
      <c r="Y23" s="437">
        <v>1</v>
      </c>
      <c r="Z23" s="437">
        <v>1</v>
      </c>
      <c r="AA23" s="437">
        <v>1</v>
      </c>
      <c r="AB23" s="437">
        <v>1</v>
      </c>
      <c r="AC23" s="437">
        <v>1</v>
      </c>
      <c r="AD23" s="437">
        <v>1</v>
      </c>
      <c r="AE23" s="437">
        <v>1</v>
      </c>
      <c r="AF23" s="437">
        <v>1</v>
      </c>
      <c r="AG23" s="437">
        <v>1</v>
      </c>
    </row>
    <row r="24" spans="1:33" s="199" customFormat="1" ht="16.5" customHeight="1" outlineLevel="1">
      <c r="A24" s="127"/>
      <c r="B24" s="127"/>
      <c r="C24" s="40" t="str">
        <f>IF(Inputs!C119="","",Inputs!C119)</f>
        <v>Fill in name or positon here</v>
      </c>
      <c r="D24" s="73" t="s">
        <v>39</v>
      </c>
      <c r="E24" s="769">
        <v>1</v>
      </c>
      <c r="F24" s="282"/>
      <c r="G24" s="282"/>
      <c r="H24" s="273" t="str">
        <f>IF(AND(SUMPRODUCT((J$6:AG$6),(J24:AG24))&gt;0,Inputs!G119=0),"Check base salary","")</f>
        <v/>
      </c>
      <c r="I24" s="420"/>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row>
    <row r="25" spans="1:33" s="878" customFormat="1" ht="16.5" customHeight="1" outlineLevel="1">
      <c r="A25" s="127"/>
      <c r="B25" s="127"/>
      <c r="C25" s="40" t="str">
        <f>IF(Inputs!C120="","",Inputs!C120)</f>
        <v>Fill in name or positon here</v>
      </c>
      <c r="D25" s="73" t="s">
        <v>39</v>
      </c>
      <c r="E25" s="769">
        <v>1</v>
      </c>
      <c r="F25" s="861"/>
      <c r="G25" s="861"/>
      <c r="H25" s="273" t="str">
        <f>IF(AND(SUMPRODUCT((J$6:AG$6),(J25:AG25))&gt;0,Inputs!G120=0),"Check base salary","")</f>
        <v/>
      </c>
      <c r="I25" s="420"/>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row>
    <row r="26" spans="1:33" s="878" customFormat="1" ht="16.5" customHeight="1" outlineLevel="1">
      <c r="A26" s="127"/>
      <c r="B26" s="127"/>
      <c r="C26" s="40" t="str">
        <f>IF(Inputs!C121="","",Inputs!C121)</f>
        <v>Fill in name or positon here</v>
      </c>
      <c r="D26" s="73" t="s">
        <v>39</v>
      </c>
      <c r="E26" s="769">
        <v>1</v>
      </c>
      <c r="F26" s="861"/>
      <c r="G26" s="861"/>
      <c r="H26" s="273" t="str">
        <f>IF(AND(SUMPRODUCT((J$6:AG$6),(J26:AG26))&gt;0,Inputs!G121=0),"Check base salary","")</f>
        <v/>
      </c>
      <c r="I26" s="420"/>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row>
    <row r="27" spans="1:33" s="878" customFormat="1" ht="16.5" customHeight="1" outlineLevel="1">
      <c r="A27" s="127"/>
      <c r="B27" s="127"/>
      <c r="C27" s="40" t="str">
        <f>IF(Inputs!C122="","",Inputs!C122)</f>
        <v>Fill in name or positon here</v>
      </c>
      <c r="D27" s="73" t="s">
        <v>39</v>
      </c>
      <c r="E27" s="769">
        <v>1</v>
      </c>
      <c r="F27" s="861"/>
      <c r="G27" s="861"/>
      <c r="H27" s="273" t="str">
        <f>IF(AND(SUMPRODUCT((J$6:AG$6),(J27:AG27))&gt;0,Inputs!G122=0),"Check base salary","")</f>
        <v/>
      </c>
      <c r="I27" s="420"/>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row>
    <row r="28" spans="1:33" s="878" customFormat="1" ht="16.5" customHeight="1" outlineLevel="1">
      <c r="A28" s="127"/>
      <c r="B28" s="127"/>
      <c r="C28" s="40" t="str">
        <f>IF(Inputs!C123="","",Inputs!C123)</f>
        <v>Fill in name or positon here</v>
      </c>
      <c r="D28" s="73" t="s">
        <v>39</v>
      </c>
      <c r="E28" s="769">
        <v>1</v>
      </c>
      <c r="F28" s="861"/>
      <c r="G28" s="861"/>
      <c r="H28" s="273" t="str">
        <f>IF(AND(SUMPRODUCT((J$6:AG$6),(J28:AG28))&gt;0,Inputs!G123=0),"Check base salary","")</f>
        <v/>
      </c>
      <c r="I28" s="420"/>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row>
    <row r="29" spans="1:33" ht="16.5" customHeight="1" outlineLevel="1">
      <c r="A29" s="127"/>
      <c r="B29" s="127"/>
      <c r="C29" s="40" t="str">
        <f>IF(Inputs!C124="","",Inputs!C124)</f>
        <v>Fill in name or positon here</v>
      </c>
      <c r="D29" s="73" t="s">
        <v>39</v>
      </c>
      <c r="E29" s="769">
        <v>1</v>
      </c>
      <c r="F29" s="861"/>
      <c r="G29" s="861"/>
      <c r="H29" s="273" t="str">
        <f>IF(AND(SUMPRODUCT((J$6:AG$6),(J29:AG29))&gt;0,Inputs!G124=0),"Check base salary","")</f>
        <v/>
      </c>
      <c r="I29" s="420"/>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row>
    <row r="30" spans="1:33" ht="16.5" customHeight="1" outlineLevel="1">
      <c r="A30" s="127"/>
      <c r="B30" s="127"/>
      <c r="C30" s="75" t="s">
        <v>235</v>
      </c>
      <c r="D30" s="73"/>
      <c r="E30" s="36"/>
      <c r="F30" s="36"/>
      <c r="G30" s="36"/>
      <c r="H30" s="36"/>
      <c r="I30" s="549"/>
      <c r="J30" s="715">
        <f>SUM(J22:J29)*J$6</f>
        <v>1</v>
      </c>
      <c r="K30" s="715">
        <f t="shared" ref="K30:AG30" si="2">SUM(K22:K29)*K$6</f>
        <v>1</v>
      </c>
      <c r="L30" s="715">
        <f t="shared" si="2"/>
        <v>1</v>
      </c>
      <c r="M30" s="715">
        <f t="shared" si="2"/>
        <v>1</v>
      </c>
      <c r="N30" s="715">
        <f t="shared" si="2"/>
        <v>1</v>
      </c>
      <c r="O30" s="715">
        <f t="shared" si="2"/>
        <v>1</v>
      </c>
      <c r="P30" s="715">
        <f t="shared" si="2"/>
        <v>1</v>
      </c>
      <c r="Q30" s="715">
        <f t="shared" si="2"/>
        <v>3</v>
      </c>
      <c r="R30" s="715">
        <f t="shared" si="2"/>
        <v>3</v>
      </c>
      <c r="S30" s="715">
        <f t="shared" si="2"/>
        <v>3</v>
      </c>
      <c r="T30" s="715">
        <f t="shared" si="2"/>
        <v>3</v>
      </c>
      <c r="U30" s="715">
        <f t="shared" si="2"/>
        <v>3</v>
      </c>
      <c r="V30" s="715">
        <f t="shared" si="2"/>
        <v>3</v>
      </c>
      <c r="W30" s="715">
        <f t="shared" si="2"/>
        <v>3</v>
      </c>
      <c r="X30" s="715">
        <f t="shared" si="2"/>
        <v>3</v>
      </c>
      <c r="Y30" s="715">
        <f t="shared" si="2"/>
        <v>3</v>
      </c>
      <c r="Z30" s="715">
        <f t="shared" si="2"/>
        <v>3</v>
      </c>
      <c r="AA30" s="715">
        <f t="shared" si="2"/>
        <v>3</v>
      </c>
      <c r="AB30" s="715">
        <f t="shared" si="2"/>
        <v>4</v>
      </c>
      <c r="AC30" s="715">
        <f t="shared" si="2"/>
        <v>4</v>
      </c>
      <c r="AD30" s="715">
        <f t="shared" si="2"/>
        <v>4</v>
      </c>
      <c r="AE30" s="715">
        <f t="shared" si="2"/>
        <v>4</v>
      </c>
      <c r="AF30" s="715">
        <f t="shared" si="2"/>
        <v>0</v>
      </c>
      <c r="AG30" s="715">
        <f t="shared" si="2"/>
        <v>0</v>
      </c>
    </row>
    <row r="31" spans="1:33" ht="16.5" customHeight="1" outlineLevel="1">
      <c r="A31" s="127"/>
      <c r="B31" s="127"/>
      <c r="C31" s="235"/>
      <c r="D31" s="270"/>
      <c r="E31" s="235"/>
      <c r="F31" s="235"/>
      <c r="G31" s="235"/>
      <c r="H31" s="235"/>
      <c r="I31" s="786"/>
      <c r="J31" s="786"/>
      <c r="K31" s="786"/>
      <c r="L31" s="786"/>
      <c r="M31" s="786"/>
      <c r="N31" s="786"/>
      <c r="O31" s="786"/>
      <c r="P31" s="786"/>
      <c r="Q31" s="786"/>
      <c r="R31" s="786"/>
      <c r="S31" s="786"/>
      <c r="T31" s="786"/>
      <c r="U31" s="786"/>
      <c r="V31" s="786"/>
      <c r="W31" s="786"/>
      <c r="X31" s="786"/>
      <c r="Y31" s="786"/>
      <c r="Z31" s="786"/>
      <c r="AA31" s="786"/>
      <c r="AB31" s="786"/>
      <c r="AC31" s="786"/>
      <c r="AD31" s="786"/>
      <c r="AE31" s="786"/>
      <c r="AF31" s="786"/>
      <c r="AG31" s="786"/>
    </row>
    <row r="32" spans="1:33" ht="16.5" customHeight="1" outlineLevel="1">
      <c r="A32" s="127"/>
      <c r="B32" s="683" t="str">
        <f>Inputs!$B$126</f>
        <v>4.</v>
      </c>
      <c r="C32" s="986" t="str">
        <f>Inputs!$C$126</f>
        <v>General and Administration Staff</v>
      </c>
      <c r="D32" s="270"/>
      <c r="E32" s="235"/>
      <c r="F32" s="127"/>
      <c r="G32" s="127"/>
      <c r="H32" s="127"/>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row>
    <row r="33" spans="1:33" ht="16.5" customHeight="1" outlineLevel="1">
      <c r="A33" s="127"/>
      <c r="B33" s="127"/>
      <c r="C33" s="40" t="str">
        <f>IF(Inputs!C127="","",Inputs!C127)</f>
        <v>Fill in name or positon here</v>
      </c>
      <c r="D33" s="73" t="s">
        <v>39</v>
      </c>
      <c r="E33" s="769">
        <v>1</v>
      </c>
      <c r="F33" s="282"/>
      <c r="G33" s="282"/>
      <c r="H33" s="273" t="str">
        <f>IF(AND(SUMPRODUCT((J$6:AG$6),(J33:AG33))&gt;0,Inputs!G127=0),"Check base salary","")</f>
        <v/>
      </c>
      <c r="I33" s="420"/>
      <c r="J33" s="437">
        <v>1</v>
      </c>
      <c r="K33" s="437">
        <v>1</v>
      </c>
      <c r="L33" s="437">
        <v>1</v>
      </c>
      <c r="M33" s="437">
        <v>1</v>
      </c>
      <c r="N33" s="437">
        <v>1</v>
      </c>
      <c r="O33" s="437">
        <v>2</v>
      </c>
      <c r="P33" s="437">
        <v>2</v>
      </c>
      <c r="Q33" s="437">
        <v>2</v>
      </c>
      <c r="R33" s="437">
        <v>2</v>
      </c>
      <c r="S33" s="437">
        <v>2</v>
      </c>
      <c r="T33" s="437">
        <v>2</v>
      </c>
      <c r="U33" s="437">
        <v>2</v>
      </c>
      <c r="V33" s="437">
        <v>2</v>
      </c>
      <c r="W33" s="437">
        <v>3</v>
      </c>
      <c r="X33" s="437">
        <v>3</v>
      </c>
      <c r="Y33" s="437">
        <v>3</v>
      </c>
      <c r="Z33" s="437">
        <v>3</v>
      </c>
      <c r="AA33" s="437">
        <v>3</v>
      </c>
      <c r="AB33" s="437">
        <v>3</v>
      </c>
      <c r="AC33" s="437">
        <v>3</v>
      </c>
      <c r="AD33" s="437">
        <v>3</v>
      </c>
      <c r="AE33" s="437">
        <v>4</v>
      </c>
      <c r="AF33" s="437">
        <v>4</v>
      </c>
      <c r="AG33" s="437">
        <v>4</v>
      </c>
    </row>
    <row r="34" spans="1:33" ht="16.5" customHeight="1" outlineLevel="1">
      <c r="A34" s="127"/>
      <c r="B34" s="127"/>
      <c r="C34" s="40" t="str">
        <f>IF(Inputs!C128="","",Inputs!C128)</f>
        <v>Fill in name or positon here</v>
      </c>
      <c r="D34" s="73" t="s">
        <v>39</v>
      </c>
      <c r="E34" s="769">
        <v>1</v>
      </c>
      <c r="F34" s="282"/>
      <c r="G34" s="282"/>
      <c r="H34" s="273" t="str">
        <f>IF(AND(SUMPRODUCT((J$6:AG$6),(J34:AG34))&gt;0,Inputs!G128=0),"Check base salary","")</f>
        <v/>
      </c>
      <c r="I34" s="420"/>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row>
    <row r="35" spans="1:33" s="199" customFormat="1" ht="16.5" customHeight="1" outlineLevel="1">
      <c r="A35" s="127"/>
      <c r="B35" s="127"/>
      <c r="C35" s="40" t="str">
        <f>IF(Inputs!C129="","",Inputs!C129)</f>
        <v>Fill in name or positon here</v>
      </c>
      <c r="D35" s="73" t="s">
        <v>39</v>
      </c>
      <c r="E35" s="769">
        <v>1</v>
      </c>
      <c r="F35" s="282"/>
      <c r="G35" s="282"/>
      <c r="H35" s="273" t="str">
        <f>IF(AND(SUMPRODUCT((J$6:AG$6),(J35:AG35))&gt;0,Inputs!G129=0),"Check base salary","")</f>
        <v/>
      </c>
      <c r="I35" s="420"/>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row>
    <row r="36" spans="1:33" s="878" customFormat="1" ht="16.5" customHeight="1" outlineLevel="1">
      <c r="A36" s="127"/>
      <c r="B36" s="127"/>
      <c r="C36" s="40" t="str">
        <f>IF(Inputs!C130="","",Inputs!C130)</f>
        <v>Fill in name or positon here</v>
      </c>
      <c r="D36" s="73" t="s">
        <v>39</v>
      </c>
      <c r="E36" s="769">
        <v>1</v>
      </c>
      <c r="F36" s="861"/>
      <c r="G36" s="861"/>
      <c r="H36" s="273" t="str">
        <f>IF(AND(SUMPRODUCT((J$6:AG$6),(J36:AG36))&gt;0,Inputs!G130=0),"Check base salary","")</f>
        <v/>
      </c>
      <c r="I36" s="420"/>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row>
    <row r="37" spans="1:33" s="878" customFormat="1" ht="16.5" customHeight="1" outlineLevel="1">
      <c r="A37" s="127"/>
      <c r="B37" s="127"/>
      <c r="C37" s="40" t="str">
        <f>IF(Inputs!C131="","",Inputs!C131)</f>
        <v>Fill in name or positon here</v>
      </c>
      <c r="D37" s="73" t="s">
        <v>39</v>
      </c>
      <c r="E37" s="769">
        <v>1</v>
      </c>
      <c r="F37" s="861"/>
      <c r="G37" s="861"/>
      <c r="H37" s="273" t="str">
        <f>IF(AND(SUMPRODUCT((J$6:AG$6),(J37:AG37))&gt;0,Inputs!G131=0),"Check base salary","")</f>
        <v/>
      </c>
      <c r="I37" s="420"/>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row>
    <row r="38" spans="1:33" s="878" customFormat="1" ht="16.5" customHeight="1" outlineLevel="1">
      <c r="A38" s="127"/>
      <c r="B38" s="127"/>
      <c r="C38" s="40" t="str">
        <f>IF(Inputs!C132="","",Inputs!C132)</f>
        <v>Fill in name or positon here</v>
      </c>
      <c r="D38" s="73" t="s">
        <v>39</v>
      </c>
      <c r="E38" s="769">
        <v>1</v>
      </c>
      <c r="F38" s="861"/>
      <c r="G38" s="861"/>
      <c r="H38" s="273" t="str">
        <f>IF(AND(SUMPRODUCT((J$6:AG$6),(J38:AG38))&gt;0,Inputs!G132=0),"Check base salary","")</f>
        <v/>
      </c>
      <c r="I38" s="420"/>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row>
    <row r="39" spans="1:33" s="878" customFormat="1" ht="16.5" customHeight="1" outlineLevel="1">
      <c r="A39" s="127"/>
      <c r="B39" s="127"/>
      <c r="C39" s="40" t="str">
        <f>IF(Inputs!C133="","",Inputs!C133)</f>
        <v>Fill in name or positon here</v>
      </c>
      <c r="D39" s="73" t="s">
        <v>39</v>
      </c>
      <c r="E39" s="769">
        <v>1</v>
      </c>
      <c r="F39" s="861"/>
      <c r="G39" s="861"/>
      <c r="H39" s="273" t="str">
        <f>IF(AND(SUMPRODUCT((J$6:AG$6),(J39:AG39))&gt;0,Inputs!G133=0),"Check base salary","")</f>
        <v/>
      </c>
      <c r="I39" s="420"/>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row>
    <row r="40" spans="1:33" ht="16.5" customHeight="1" outlineLevel="1">
      <c r="A40" s="127"/>
      <c r="B40" s="127"/>
      <c r="C40" s="40" t="str">
        <f>IF(Inputs!C134="","",Inputs!C134)</f>
        <v>Fill in name or positon here</v>
      </c>
      <c r="D40" s="73" t="s">
        <v>39</v>
      </c>
      <c r="E40" s="769">
        <v>1</v>
      </c>
      <c r="F40" s="861"/>
      <c r="G40" s="861"/>
      <c r="H40" s="273" t="str">
        <f>IF(AND(SUMPRODUCT((J$6:AG$6),(J40:AG40))&gt;0,Inputs!G134=0),"Check base salary","")</f>
        <v/>
      </c>
      <c r="I40" s="420"/>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row>
    <row r="41" spans="1:33" ht="16.5" customHeight="1" outlineLevel="1">
      <c r="A41" s="127"/>
      <c r="B41" s="127"/>
      <c r="C41" s="75" t="s">
        <v>235</v>
      </c>
      <c r="D41" s="73"/>
      <c r="E41" s="36"/>
      <c r="F41" s="36"/>
      <c r="G41" s="36"/>
      <c r="H41" s="36"/>
      <c r="I41" s="549"/>
      <c r="J41" s="715">
        <f>SUM(J33:J40)*J$6</f>
        <v>1</v>
      </c>
      <c r="K41" s="715">
        <f t="shared" ref="K41:AG41" si="3">SUM(K33:K40)*K$6</f>
        <v>1</v>
      </c>
      <c r="L41" s="715">
        <f t="shared" si="3"/>
        <v>1</v>
      </c>
      <c r="M41" s="715">
        <f t="shared" si="3"/>
        <v>1</v>
      </c>
      <c r="N41" s="715">
        <f t="shared" si="3"/>
        <v>1</v>
      </c>
      <c r="O41" s="715">
        <f t="shared" si="3"/>
        <v>2</v>
      </c>
      <c r="P41" s="715">
        <f t="shared" si="3"/>
        <v>2</v>
      </c>
      <c r="Q41" s="715">
        <f t="shared" si="3"/>
        <v>2</v>
      </c>
      <c r="R41" s="715">
        <f t="shared" si="3"/>
        <v>2</v>
      </c>
      <c r="S41" s="715">
        <f t="shared" si="3"/>
        <v>2</v>
      </c>
      <c r="T41" s="715">
        <f t="shared" si="3"/>
        <v>2</v>
      </c>
      <c r="U41" s="715">
        <f t="shared" si="3"/>
        <v>2</v>
      </c>
      <c r="V41" s="715">
        <f t="shared" si="3"/>
        <v>2</v>
      </c>
      <c r="W41" s="715">
        <f t="shared" si="3"/>
        <v>3</v>
      </c>
      <c r="X41" s="715">
        <f t="shared" si="3"/>
        <v>3</v>
      </c>
      <c r="Y41" s="715">
        <f t="shared" si="3"/>
        <v>3</v>
      </c>
      <c r="Z41" s="715">
        <f t="shared" si="3"/>
        <v>3</v>
      </c>
      <c r="AA41" s="715">
        <f t="shared" si="3"/>
        <v>3</v>
      </c>
      <c r="AB41" s="715">
        <f t="shared" si="3"/>
        <v>3</v>
      </c>
      <c r="AC41" s="715">
        <f t="shared" si="3"/>
        <v>3</v>
      </c>
      <c r="AD41" s="715">
        <f t="shared" si="3"/>
        <v>3</v>
      </c>
      <c r="AE41" s="715">
        <f t="shared" si="3"/>
        <v>4</v>
      </c>
      <c r="AF41" s="715">
        <f t="shared" si="3"/>
        <v>0</v>
      </c>
      <c r="AG41" s="715">
        <f t="shared" si="3"/>
        <v>0</v>
      </c>
    </row>
    <row r="42" spans="1:33" outlineLevel="1">
      <c r="A42" s="127"/>
      <c r="B42" s="127"/>
      <c r="C42" s="235"/>
      <c r="D42" s="270"/>
      <c r="E42" s="235"/>
      <c r="F42" s="235"/>
      <c r="G42" s="235"/>
      <c r="H42" s="235"/>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6"/>
    </row>
    <row r="43" spans="1:33" ht="16.5" customHeight="1" outlineLevel="1" thickBot="1">
      <c r="A43" s="127"/>
      <c r="B43" s="127"/>
      <c r="C43" s="75" t="s">
        <v>243</v>
      </c>
      <c r="D43" s="73" t="s">
        <v>39</v>
      </c>
      <c r="E43" s="36"/>
      <c r="F43" s="36"/>
      <c r="G43" s="36"/>
      <c r="H43" s="36"/>
      <c r="I43" s="1058">
        <v>0</v>
      </c>
      <c r="J43" s="684">
        <f t="shared" ref="J43:AG43" ca="1" si="4">(J14+J19+J30+J41)*J6</f>
        <v>3.3386527777777779</v>
      </c>
      <c r="K43" s="684">
        <f t="shared" ca="1" si="4"/>
        <v>4.1289305555555558</v>
      </c>
      <c r="L43" s="684">
        <f t="shared" ca="1" si="4"/>
        <v>4.9084444444444451</v>
      </c>
      <c r="M43" s="684">
        <f t="shared" ca="1" si="4"/>
        <v>5.549428472222222</v>
      </c>
      <c r="N43" s="684">
        <f t="shared" ca="1" si="4"/>
        <v>6.245592361111111</v>
      </c>
      <c r="O43" s="684">
        <f t="shared" ca="1" si="4"/>
        <v>7.9642215555555556</v>
      </c>
      <c r="P43" s="684">
        <f t="shared" ca="1" si="4"/>
        <v>8.6612043552777784</v>
      </c>
      <c r="Q43" s="684">
        <f t="shared" ca="1" si="4"/>
        <v>11.41412994198889</v>
      </c>
      <c r="R43" s="684">
        <f t="shared" ca="1" si="4"/>
        <v>12.192060364668446</v>
      </c>
      <c r="S43" s="684">
        <f t="shared" ca="1" si="4"/>
        <v>12.803838426130184</v>
      </c>
      <c r="T43" s="684">
        <f t="shared" ca="1" si="4"/>
        <v>13.534240471300391</v>
      </c>
      <c r="U43" s="684">
        <f t="shared" ca="1" si="4"/>
        <v>14.270547023277407</v>
      </c>
      <c r="V43" s="684">
        <f t="shared" ca="1" si="4"/>
        <v>14.884755160614754</v>
      </c>
      <c r="W43" s="684">
        <f t="shared" ca="1" si="4"/>
        <v>16.596778627233093</v>
      </c>
      <c r="X43" s="684">
        <f t="shared" ca="1" si="4"/>
        <v>17.319566235516167</v>
      </c>
      <c r="Y43" s="684">
        <f t="shared" ca="1" si="4"/>
        <v>17.954542326347752</v>
      </c>
      <c r="Z43" s="684">
        <f t="shared" ca="1" si="4"/>
        <v>18.672191471466725</v>
      </c>
      <c r="AA43" s="684">
        <f t="shared" ca="1" si="4"/>
        <v>19.405081816670457</v>
      </c>
      <c r="AB43" s="684">
        <f t="shared" ca="1" si="4"/>
        <v>21.077110997024668</v>
      </c>
      <c r="AC43" s="684">
        <f t="shared" ca="1" si="4"/>
        <v>21.82107556607702</v>
      </c>
      <c r="AD43" s="684">
        <f t="shared" ca="1" si="4"/>
        <v>22.584565495944275</v>
      </c>
      <c r="AE43" s="684">
        <f t="shared" ca="1" si="4"/>
        <v>24.308666753228788</v>
      </c>
      <c r="AF43" s="684">
        <f t="shared" ca="1" si="4"/>
        <v>0</v>
      </c>
      <c r="AG43" s="684">
        <f t="shared" ca="1" si="4"/>
        <v>0</v>
      </c>
    </row>
    <row r="44" spans="1:33" ht="16.5" customHeight="1" outlineLevel="1" thickTop="1">
      <c r="A44" s="127"/>
      <c r="B44" s="127"/>
      <c r="C44" s="322" t="s">
        <v>244</v>
      </c>
      <c r="D44" s="271"/>
      <c r="E44" s="127"/>
      <c r="F44" s="127"/>
      <c r="G44" s="127"/>
      <c r="H44" s="127"/>
      <c r="I44" s="420"/>
      <c r="J44" s="685">
        <f t="shared" ref="J44:AG44" ca="1" si="5">IF(J6=0,"",J43-I43)</f>
        <v>3.3386527777777779</v>
      </c>
      <c r="K44" s="685">
        <f t="shared" ca="1" si="5"/>
        <v>0.79027777777777786</v>
      </c>
      <c r="L44" s="685">
        <f t="shared" ca="1" si="5"/>
        <v>0.77951388888888928</v>
      </c>
      <c r="M44" s="685">
        <f t="shared" ca="1" si="5"/>
        <v>0.64098402777777697</v>
      </c>
      <c r="N44" s="685">
        <f t="shared" ca="1" si="5"/>
        <v>0.69616388888888903</v>
      </c>
      <c r="O44" s="685">
        <f t="shared" ca="1" si="5"/>
        <v>1.7186291944444445</v>
      </c>
      <c r="P44" s="685">
        <f t="shared" ca="1" si="5"/>
        <v>0.69698279972222288</v>
      </c>
      <c r="Q44" s="685">
        <f t="shared" ca="1" si="5"/>
        <v>2.7529255867111111</v>
      </c>
      <c r="R44" s="685">
        <f t="shared" ca="1" si="5"/>
        <v>0.7779304226795567</v>
      </c>
      <c r="S44" s="685">
        <f t="shared" ca="1" si="5"/>
        <v>0.61177806146173808</v>
      </c>
      <c r="T44" s="685">
        <f t="shared" ca="1" si="5"/>
        <v>0.7304020451702069</v>
      </c>
      <c r="U44" s="685">
        <f t="shared" ca="1" si="5"/>
        <v>0.736306551977016</v>
      </c>
      <c r="V44" s="685">
        <f t="shared" ca="1" si="5"/>
        <v>0.61420813733734647</v>
      </c>
      <c r="W44" s="685">
        <f t="shared" ca="1" si="5"/>
        <v>1.7120234666183389</v>
      </c>
      <c r="X44" s="685">
        <f t="shared" ca="1" si="5"/>
        <v>0.72278760828307398</v>
      </c>
      <c r="Y44" s="685">
        <f t="shared" ca="1" si="5"/>
        <v>0.63497609083158579</v>
      </c>
      <c r="Z44" s="685">
        <f t="shared" ca="1" si="5"/>
        <v>0.7176491451189726</v>
      </c>
      <c r="AA44" s="685">
        <f t="shared" ca="1" si="5"/>
        <v>0.73289034520373164</v>
      </c>
      <c r="AB44" s="685">
        <f t="shared" ca="1" si="5"/>
        <v>1.6720291803542118</v>
      </c>
      <c r="AC44" s="685">
        <f t="shared" ca="1" si="5"/>
        <v>0.74396456905235198</v>
      </c>
      <c r="AD44" s="685">
        <f t="shared" ca="1" si="5"/>
        <v>0.76348992986725506</v>
      </c>
      <c r="AE44" s="685">
        <f t="shared" ca="1" si="5"/>
        <v>1.7241012572845129</v>
      </c>
      <c r="AF44" s="685" t="str">
        <f t="shared" si="5"/>
        <v/>
      </c>
      <c r="AG44" s="685" t="str">
        <f t="shared" si="5"/>
        <v/>
      </c>
    </row>
    <row r="45" spans="1:33" ht="10.5" customHeight="1" outlineLevel="1">
      <c r="A45" s="127"/>
      <c r="B45" s="127"/>
      <c r="C45" s="270"/>
      <c r="D45" s="235"/>
      <c r="E45" s="235"/>
      <c r="F45" s="270"/>
      <c r="G45" s="235"/>
      <c r="H45" s="235"/>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row>
    <row r="46" spans="1:33">
      <c r="A46" s="127"/>
      <c r="B46" s="127"/>
      <c r="C46" s="270" t="s">
        <v>245</v>
      </c>
      <c r="D46" s="282"/>
      <c r="E46" s="282"/>
      <c r="F46" s="270" t="s">
        <v>245</v>
      </c>
      <c r="G46" s="282"/>
      <c r="H46" s="282"/>
      <c r="I46" s="786"/>
      <c r="J46" s="420"/>
      <c r="K46" s="512"/>
      <c r="L46" s="420"/>
      <c r="M46" s="786"/>
      <c r="N46" s="786"/>
      <c r="O46" s="786"/>
      <c r="P46" s="786"/>
      <c r="Q46" s="786"/>
      <c r="R46" s="786"/>
      <c r="S46" s="786"/>
      <c r="T46" s="786"/>
      <c r="U46" s="786"/>
      <c r="V46" s="786"/>
      <c r="W46" s="786"/>
      <c r="X46" s="786"/>
      <c r="Y46" s="786"/>
      <c r="Z46" s="786"/>
      <c r="AA46" s="786"/>
      <c r="AB46" s="786"/>
      <c r="AC46" s="786"/>
      <c r="AD46" s="786"/>
      <c r="AE46" s="786"/>
      <c r="AF46" s="786"/>
      <c r="AG46" s="786"/>
    </row>
    <row r="47" spans="1:33" ht="10.5" customHeight="1">
      <c r="A47" s="127"/>
      <c r="B47" s="127"/>
      <c r="C47" s="320"/>
      <c r="D47" s="270"/>
      <c r="E47" s="127"/>
      <c r="F47" s="127"/>
      <c r="G47" s="127"/>
      <c r="H47" s="127"/>
      <c r="I47" s="420"/>
      <c r="J47" s="420"/>
      <c r="K47" s="420"/>
      <c r="L47" s="420"/>
      <c r="M47" s="786"/>
      <c r="N47" s="786"/>
      <c r="O47" s="786"/>
      <c r="P47" s="786"/>
      <c r="Q47" s="786"/>
      <c r="R47" s="786"/>
      <c r="S47" s="786"/>
      <c r="T47" s="786"/>
      <c r="U47" s="786"/>
      <c r="V47" s="786"/>
      <c r="W47" s="786"/>
      <c r="X47" s="786"/>
      <c r="Y47" s="786"/>
      <c r="Z47" s="786"/>
      <c r="AA47" s="786"/>
      <c r="AB47" s="786"/>
      <c r="AC47" s="786"/>
      <c r="AD47" s="786"/>
      <c r="AE47" s="786"/>
      <c r="AF47" s="786"/>
      <c r="AG47" s="786"/>
    </row>
    <row r="48" spans="1:33" ht="21.75" customHeight="1" thickBot="1">
      <c r="A48" s="316"/>
      <c r="B48" s="316"/>
      <c r="C48" s="316" t="s">
        <v>221</v>
      </c>
      <c r="D48" s="316"/>
      <c r="E48" s="316"/>
      <c r="F48" s="316"/>
      <c r="G48" s="316"/>
      <c r="H48" s="316"/>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row>
    <row r="49" spans="1:33" ht="16.5" customHeight="1" outlineLevel="1">
      <c r="A49" s="861"/>
      <c r="B49" s="683" t="str">
        <f>Inputs!$B$109</f>
        <v>1.</v>
      </c>
      <c r="C49" s="986" t="str">
        <f>Inputs!$C$109</f>
        <v>Direct Labor Staff</v>
      </c>
      <c r="D49" s="270"/>
      <c r="E49" s="127"/>
      <c r="F49" s="127"/>
      <c r="G49" s="127"/>
      <c r="H49" s="127"/>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row>
    <row r="50" spans="1:33" ht="16.5" customHeight="1" outlineLevel="1">
      <c r="A50" s="127"/>
      <c r="B50" s="127"/>
      <c r="C50" s="40" t="str">
        <f>C13</f>
        <v>Direct Labor FTEs for WonderApp</v>
      </c>
      <c r="D50" s="8" t="str">
        <f>Currency_Label</f>
        <v>USD</v>
      </c>
      <c r="E50" s="127"/>
      <c r="F50" s="127"/>
      <c r="G50" s="127"/>
      <c r="H50" s="127"/>
      <c r="I50" s="236">
        <f ca="1">SUM(J50:AG50)</f>
        <v>204162.40257879085</v>
      </c>
      <c r="J50" s="982">
        <f ca="1">J13*LOOKUP(J$8,Inputs!$G$109:$K$109,Inputs!$G110:$K110)/months_yr*J$6</f>
        <v>1242</v>
      </c>
      <c r="K50" s="982">
        <f ca="1">K13*LOOKUP(K$8,Inputs!$G$109:$K$109,Inputs!$G110:$K110)/months_yr*K$6</f>
        <v>1842</v>
      </c>
      <c r="L50" s="982">
        <f ca="1">L13*LOOKUP(L$8,Inputs!$G$109:$K$109,Inputs!$G110:$K110)/months_yr*L$6</f>
        <v>2592.0000000000005</v>
      </c>
      <c r="M50" s="982">
        <f ca="1">M13*LOOKUP(M$8,Inputs!$G$109:$K$109,Inputs!$G110:$K110)/months_yr*M$6</f>
        <v>3309.9</v>
      </c>
      <c r="N50" s="982">
        <f ca="1">N13*LOOKUP(N$8,Inputs!$G$109:$K$109,Inputs!$G110:$K110)/months_yr*N$6</f>
        <v>4091.1000000000004</v>
      </c>
      <c r="O50" s="982">
        <f ca="1">O13*LOOKUP(O$8,Inputs!$G$109:$K$109,Inputs!$G110:$K110)/months_yr*O$6</f>
        <v>4897.2480000000005</v>
      </c>
      <c r="P50" s="982">
        <f ca="1">P13*LOOKUP(P$8,Inputs!$G$109:$K$109,Inputs!$G110:$K110)/months_yr*P$6</f>
        <v>5676.6469200000001</v>
      </c>
      <c r="Q50" s="982">
        <f ca="1">Q13*LOOKUP(Q$8,Inputs!$G$109:$K$109,Inputs!$G110:$K110)/months_yr*Q$6</f>
        <v>6520.0765968000014</v>
      </c>
      <c r="R50" s="982">
        <f ca="1">R13*LOOKUP(R$8,Inputs!$G$109:$K$109,Inputs!$G110:$K110)/months_yr*R$6</f>
        <v>7391.258460672002</v>
      </c>
      <c r="S50" s="982">
        <f ca="1">S13*LOOKUP(S$8,Inputs!$G$109:$K$109,Inputs!$G110:$K110)/months_yr*S$6</f>
        <v>8066.3378490988807</v>
      </c>
      <c r="T50" s="982">
        <f ca="1">T13*LOOKUP(T$8,Inputs!$G$109:$K$109,Inputs!$G110:$K110)/months_yr*T$6</f>
        <v>8878.6481530628371</v>
      </c>
      <c r="U50" s="982">
        <f ca="1">U13*LOOKUP(U$8,Inputs!$G$109:$K$109,Inputs!$G110:$K110)/months_yr*U$6</f>
        <v>9793.1208618772052</v>
      </c>
      <c r="V50" s="982">
        <f ca="1">V13*LOOKUP(V$8,Inputs!$G$109:$K$109,Inputs!$G110:$K110)/months_yr*V$6</f>
        <v>10472.635103927294</v>
      </c>
      <c r="W50" s="982">
        <f ca="1">W13*LOOKUP(W$8,Inputs!$G$109:$K$109,Inputs!$G110:$K110)/months_yr*W$6</f>
        <v>11265.940031357384</v>
      </c>
      <c r="X50" s="982">
        <f ca="1">X13*LOOKUP(X$8,Inputs!$G$109:$K$109,Inputs!$G110:$K110)/months_yr*X$6</f>
        <v>12070.02812372468</v>
      </c>
      <c r="Y50" s="982">
        <f ca="1">Y13*LOOKUP(Y$8,Inputs!$G$109:$K$109,Inputs!$G110:$K110)/months_yr*Y$6</f>
        <v>12768.261883785919</v>
      </c>
      <c r="Z50" s="982">
        <f ca="1">Z13*LOOKUP(Z$8,Inputs!$G$109:$K$109,Inputs!$G110:$K110)/months_yr*Z$6</f>
        <v>13562.148019530383</v>
      </c>
      <c r="AA50" s="982">
        <f ca="1">AA13*LOOKUP(AA$8,Inputs!$G$109:$K$109,Inputs!$G110:$K110)/months_yr*AA$6</f>
        <v>14371.868336263031</v>
      </c>
      <c r="AB50" s="982">
        <f ca="1">AB13*LOOKUP(AB$8,Inputs!$G$109:$K$109,Inputs!$G110:$K110)/months_yr*AB$6</f>
        <v>15107.348923486352</v>
      </c>
      <c r="AC50" s="982">
        <f ca="1">AC13*LOOKUP(AC$8,Inputs!$G$109:$K$109,Inputs!$G110:$K110)/months_yr*AC$6</f>
        <v>15925.52260389478</v>
      </c>
      <c r="AD50" s="982">
        <f ca="1">AD13*LOOKUP(AD$8,Inputs!$G$109:$K$109,Inputs!$G110:$K110)/months_yr*AD$6</f>
        <v>16764.323070543931</v>
      </c>
      <c r="AE50" s="982">
        <f ca="1">AE13*LOOKUP(AE$8,Inputs!$G$109:$K$109,Inputs!$G110:$K110)/months_yr*AE$6</f>
        <v>17553.989640766129</v>
      </c>
      <c r="AF50" s="982">
        <f ca="1">AF13*LOOKUP(AF$8,Inputs!$G$109:$K$109,Inputs!$G110:$K110)/months_yr*AF$6</f>
        <v>0</v>
      </c>
      <c r="AG50" s="982">
        <f ca="1">AG13*LOOKUP(AG$8,Inputs!$G$109:$K$109,Inputs!$G110:$K110)/months_yr*AG$6</f>
        <v>0</v>
      </c>
    </row>
    <row r="51" spans="1:33" s="878" customFormat="1" ht="16.5" customHeight="1" outlineLevel="1">
      <c r="A51" s="127"/>
      <c r="B51" s="127"/>
      <c r="C51" s="75" t="s">
        <v>235</v>
      </c>
      <c r="D51" s="8" t="str">
        <f>Currency_Label</f>
        <v>USD</v>
      </c>
      <c r="E51" s="36"/>
      <c r="F51" s="36"/>
      <c r="G51" s="36"/>
      <c r="H51" s="36"/>
      <c r="I51" s="236">
        <f ca="1">SUM(J51:AG51)</f>
        <v>204162.40257879085</v>
      </c>
      <c r="J51" s="715">
        <f t="shared" ref="J51:AG51" ca="1" si="6">SUM(J50:J50)</f>
        <v>1242</v>
      </c>
      <c r="K51" s="715">
        <f t="shared" ca="1" si="6"/>
        <v>1842</v>
      </c>
      <c r="L51" s="715">
        <f t="shared" ca="1" si="6"/>
        <v>2592.0000000000005</v>
      </c>
      <c r="M51" s="715">
        <f t="shared" ca="1" si="6"/>
        <v>3309.9</v>
      </c>
      <c r="N51" s="715">
        <f t="shared" ca="1" si="6"/>
        <v>4091.1000000000004</v>
      </c>
      <c r="O51" s="715">
        <f t="shared" ca="1" si="6"/>
        <v>4897.2480000000005</v>
      </c>
      <c r="P51" s="715">
        <f t="shared" ca="1" si="6"/>
        <v>5676.6469200000001</v>
      </c>
      <c r="Q51" s="715">
        <f t="shared" ca="1" si="6"/>
        <v>6520.0765968000014</v>
      </c>
      <c r="R51" s="715">
        <f t="shared" ca="1" si="6"/>
        <v>7391.258460672002</v>
      </c>
      <c r="S51" s="715">
        <f t="shared" ca="1" si="6"/>
        <v>8066.3378490988807</v>
      </c>
      <c r="T51" s="715">
        <f t="shared" ca="1" si="6"/>
        <v>8878.6481530628371</v>
      </c>
      <c r="U51" s="715">
        <f t="shared" ca="1" si="6"/>
        <v>9793.1208618772052</v>
      </c>
      <c r="V51" s="715">
        <f t="shared" ca="1" si="6"/>
        <v>10472.635103927294</v>
      </c>
      <c r="W51" s="715">
        <f t="shared" ca="1" si="6"/>
        <v>11265.940031357384</v>
      </c>
      <c r="X51" s="715">
        <f t="shared" ca="1" si="6"/>
        <v>12070.02812372468</v>
      </c>
      <c r="Y51" s="715">
        <f t="shared" ca="1" si="6"/>
        <v>12768.261883785919</v>
      </c>
      <c r="Z51" s="715">
        <f t="shared" ca="1" si="6"/>
        <v>13562.148019530383</v>
      </c>
      <c r="AA51" s="715">
        <f t="shared" ca="1" si="6"/>
        <v>14371.868336263031</v>
      </c>
      <c r="AB51" s="715">
        <f t="shared" ca="1" si="6"/>
        <v>15107.348923486352</v>
      </c>
      <c r="AC51" s="715">
        <f t="shared" ca="1" si="6"/>
        <v>15925.52260389478</v>
      </c>
      <c r="AD51" s="715">
        <f t="shared" ca="1" si="6"/>
        <v>16764.323070543931</v>
      </c>
      <c r="AE51" s="715">
        <f t="shared" ca="1" si="6"/>
        <v>17553.989640766129</v>
      </c>
      <c r="AF51" s="715">
        <f t="shared" ca="1" si="6"/>
        <v>0</v>
      </c>
      <c r="AG51" s="715">
        <f t="shared" ca="1" si="6"/>
        <v>0</v>
      </c>
    </row>
    <row r="52" spans="1:33" s="878" customFormat="1" ht="16.5" customHeight="1" outlineLevel="1">
      <c r="A52" s="127"/>
      <c r="B52" s="127"/>
      <c r="C52" s="320"/>
      <c r="D52" s="270"/>
      <c r="E52" s="127"/>
      <c r="F52" s="127"/>
      <c r="G52" s="127"/>
      <c r="H52" s="127"/>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row>
    <row r="53" spans="1:33" ht="16.5" customHeight="1" outlineLevel="1">
      <c r="A53" s="127"/>
      <c r="B53" s="683" t="str">
        <f>Inputs!$B$112</f>
        <v>2.</v>
      </c>
      <c r="C53" s="986" t="str">
        <f>Inputs!$C$112</f>
        <v>Marketing and Sales Staff</v>
      </c>
      <c r="D53" s="270"/>
      <c r="E53" s="127"/>
      <c r="F53" s="127"/>
      <c r="G53" s="127"/>
      <c r="H53" s="127"/>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row>
    <row r="54" spans="1:33" ht="16.5" customHeight="1" outlineLevel="1">
      <c r="A54" s="127"/>
      <c r="B54" s="127"/>
      <c r="C54" s="40" t="str">
        <f>C17</f>
        <v>Sales Executive (Offering 1)</v>
      </c>
      <c r="D54" s="8" t="str">
        <f t="shared" ref="D54:D56" si="7">Currency_Label</f>
        <v>USD</v>
      </c>
      <c r="E54" s="127"/>
      <c r="F54" s="127"/>
      <c r="G54" s="127"/>
      <c r="H54" s="127"/>
      <c r="I54" s="236">
        <f t="shared" ref="I54:I56" si="8">SUM(J54:AG54)</f>
        <v>54114.637861959163</v>
      </c>
      <c r="J54" s="982">
        <f>J17*LOOKUP(J$8,Inputs!$G$109:$K$109,Inputs!$G113:$K113)/months_yr*J$6</f>
        <v>694.44444444444446</v>
      </c>
      <c r="K54" s="982">
        <f>K17*LOOKUP(K$8,Inputs!$G$109:$K$109,Inputs!$G113:$K113)/months_yr*K$6</f>
        <v>1388.8888888888889</v>
      </c>
      <c r="L54" s="982">
        <f>L17*LOOKUP(L$8,Inputs!$G$109:$K$109,Inputs!$G113:$K113)/months_yr*L$6</f>
        <v>1736.1111111111111</v>
      </c>
      <c r="M54" s="982">
        <f>M17*LOOKUP(M$8,Inputs!$G$109:$K$109,Inputs!$G113:$K113)/months_yr*M$6</f>
        <v>1805.5555555555557</v>
      </c>
      <c r="N54" s="982">
        <f>N17*LOOKUP(N$8,Inputs!$G$109:$K$109,Inputs!$G113:$K113)/months_yr*N$6</f>
        <v>1877.7777777777781</v>
      </c>
      <c r="O54" s="982">
        <f>O17*LOOKUP(O$8,Inputs!$G$109:$K$109,Inputs!$G113:$K113)/months_yr*O$6</f>
        <v>1952.8888888888894</v>
      </c>
      <c r="P54" s="982">
        <f>P17*LOOKUP(P$8,Inputs!$G$109:$K$109,Inputs!$G113:$K113)/months_yr*P$6</f>
        <v>2031.004444444445</v>
      </c>
      <c r="Q54" s="982">
        <f>Q17*LOOKUP(Q$8,Inputs!$G$109:$K$109,Inputs!$G113:$K113)/months_yr*Q$6</f>
        <v>2112.2446222222229</v>
      </c>
      <c r="R54" s="982">
        <f>R17*LOOKUP(R$8,Inputs!$G$109:$K$109,Inputs!$G113:$K113)/months_yr*R$6</f>
        <v>2196.7344071111115</v>
      </c>
      <c r="S54" s="982">
        <f>S17*LOOKUP(S$8,Inputs!$G$109:$K$109,Inputs!$G113:$K113)/months_yr*S$6</f>
        <v>2284.6037833955565</v>
      </c>
      <c r="T54" s="982">
        <f>T17*LOOKUP(T$8,Inputs!$G$109:$K$109,Inputs!$G113:$K113)/months_yr*T$6</f>
        <v>2375.9879347313786</v>
      </c>
      <c r="U54" s="982">
        <f>U17*LOOKUP(U$8,Inputs!$G$109:$K$109,Inputs!$G113:$K113)/months_yr*U$6</f>
        <v>2495.7377266418403</v>
      </c>
      <c r="V54" s="982">
        <f>V17*LOOKUP(V$8,Inputs!$G$109:$K$109,Inputs!$G113:$K113)/months_yr*V$6</f>
        <v>2595.5672357075136</v>
      </c>
      <c r="W54" s="982">
        <f>W17*LOOKUP(W$8,Inputs!$G$109:$K$109,Inputs!$G113:$K113)/months_yr*W$6</f>
        <v>2699.3899251358148</v>
      </c>
      <c r="X54" s="982">
        <f>X17*LOOKUP(X$8,Inputs!$G$109:$K$109,Inputs!$G113:$K113)/months_yr*X$6</f>
        <v>2807.3655221412469</v>
      </c>
      <c r="Y54" s="982">
        <f>Y17*LOOKUP(Y$8,Inputs!$G$109:$K$109,Inputs!$G113:$K113)/months_yr*Y$6</f>
        <v>2919.6601430268965</v>
      </c>
      <c r="Z54" s="982">
        <f>Z17*LOOKUP(Z$8,Inputs!$G$109:$K$109,Inputs!$G113:$K113)/months_yr*Z$6</f>
        <v>3036.4465487479724</v>
      </c>
      <c r="AA54" s="982">
        <f>AA17*LOOKUP(AA$8,Inputs!$G$109:$K$109,Inputs!$G113:$K113)/months_yr*AA$6</f>
        <v>3157.9044106978922</v>
      </c>
      <c r="AB54" s="982">
        <f>AB17*LOOKUP(AB$8,Inputs!$G$109:$K$109,Inputs!$G113:$K113)/months_yr*AB$6</f>
        <v>3284.220587125807</v>
      </c>
      <c r="AC54" s="982">
        <f>AC17*LOOKUP(AC$8,Inputs!$G$109:$K$109,Inputs!$G113:$K113)/months_yr*AC$6</f>
        <v>3415.5894106108403</v>
      </c>
      <c r="AD54" s="982">
        <f>AD17*LOOKUP(AD$8,Inputs!$G$109:$K$109,Inputs!$G113:$K113)/months_yr*AD$6</f>
        <v>3552.2129870352746</v>
      </c>
      <c r="AE54" s="982">
        <f>AE17*LOOKUP(AE$8,Inputs!$G$109:$K$109,Inputs!$G113:$K113)/months_yr*AE$6</f>
        <v>3694.3015065166855</v>
      </c>
      <c r="AF54" s="982">
        <f>AF17*LOOKUP(AF$8,Inputs!$G$109:$K$109,Inputs!$G113:$K113)/months_yr*AF$6</f>
        <v>0</v>
      </c>
      <c r="AG54" s="982">
        <f>AG17*LOOKUP(AG$8,Inputs!$G$109:$K$109,Inputs!$G113:$K113)/months_yr*AG$6</f>
        <v>0</v>
      </c>
    </row>
    <row r="55" spans="1:33" s="878" customFormat="1" ht="16.5" customHeight="1" outlineLevel="1">
      <c r="A55" s="127"/>
      <c r="B55" s="127"/>
      <c r="C55" s="40" t="str">
        <f>C18</f>
        <v>Account Manager (Offering 1)</v>
      </c>
      <c r="D55" s="8" t="str">
        <f t="shared" si="7"/>
        <v>USD</v>
      </c>
      <c r="E55" s="127"/>
      <c r="F55" s="127"/>
      <c r="G55" s="127"/>
      <c r="H55" s="127"/>
      <c r="I55" s="236">
        <f t="shared" ca="1" si="8"/>
        <v>182136.23985705126</v>
      </c>
      <c r="J55" s="982">
        <f ca="1">J18*LOOKUP(J$8,Inputs!$G$109:$K$109,Inputs!$G114:$K114)/months_yr*J$6</f>
        <v>1104</v>
      </c>
      <c r="K55" s="982">
        <f ca="1">K18*LOOKUP(K$8,Inputs!$G$109:$K$109,Inputs!$G114:$K114)/months_yr*K$6</f>
        <v>1637.3333333333333</v>
      </c>
      <c r="L55" s="982">
        <f ca="1">L18*LOOKUP(L$8,Inputs!$G$109:$K$109,Inputs!$G114:$K114)/months_yr*L$6</f>
        <v>2304</v>
      </c>
      <c r="M55" s="982">
        <f ca="1">M18*LOOKUP(M$8,Inputs!$G$109:$K$109,Inputs!$G114:$K114)/months_yr*M$6</f>
        <v>2942.1333333333332</v>
      </c>
      <c r="N55" s="982">
        <f ca="1">N18*LOOKUP(N$8,Inputs!$G$109:$K$109,Inputs!$G114:$K114)/months_yr*N$6</f>
        <v>3636.5333333333333</v>
      </c>
      <c r="O55" s="982">
        <f ca="1">O18*LOOKUP(O$8,Inputs!$G$109:$K$109,Inputs!$G114:$K114)/months_yr*O$6</f>
        <v>4353.1093333333338</v>
      </c>
      <c r="P55" s="982">
        <f ca="1">P18*LOOKUP(P$8,Inputs!$G$109:$K$109,Inputs!$G114:$K114)/months_yr*P$6</f>
        <v>5045.9083733333346</v>
      </c>
      <c r="Q55" s="982">
        <f ca="1">Q18*LOOKUP(Q$8,Inputs!$G$109:$K$109,Inputs!$G114:$K114)/months_yr*Q$6</f>
        <v>5795.623641600002</v>
      </c>
      <c r="R55" s="982">
        <f ca="1">R18*LOOKUP(R$8,Inputs!$G$109:$K$109,Inputs!$G114:$K114)/months_yr*R$6</f>
        <v>6570.0075205973344</v>
      </c>
      <c r="S55" s="982">
        <f ca="1">S18*LOOKUP(S$8,Inputs!$G$109:$K$109,Inputs!$G114:$K114)/months_yr*S$6</f>
        <v>7170.0780880878947</v>
      </c>
      <c r="T55" s="982">
        <f ca="1">T18*LOOKUP(T$8,Inputs!$G$109:$K$109,Inputs!$G114:$K114)/months_yr*T$6</f>
        <v>7892.131691611411</v>
      </c>
      <c r="U55" s="982">
        <f ca="1">U18*LOOKUP(U$8,Inputs!$G$109:$K$109,Inputs!$G114:$K114)/months_yr*U$6</f>
        <v>8748.090362865003</v>
      </c>
      <c r="V55" s="982">
        <f ca="1">V18*LOOKUP(V$8,Inputs!$G$109:$K$109,Inputs!$G114:$K114)/months_yr*V$6</f>
        <v>9355.0931841462716</v>
      </c>
      <c r="W55" s="982">
        <f ca="1">W18*LOOKUP(W$8,Inputs!$G$109:$K$109,Inputs!$G114:$K114)/months_yr*W$6</f>
        <v>10063.744010409455</v>
      </c>
      <c r="X55" s="982">
        <f ca="1">X18*LOOKUP(X$8,Inputs!$G$109:$K$109,Inputs!$G114:$K114)/months_yr*X$6</f>
        <v>10782.027322843167</v>
      </c>
      <c r="Y55" s="982">
        <f ca="1">Y18*LOOKUP(Y$8,Inputs!$G$109:$K$109,Inputs!$G114:$K114)/months_yr*Y$6</f>
        <v>11405.752089806561</v>
      </c>
      <c r="Z55" s="982">
        <f ca="1">Z18*LOOKUP(Z$8,Inputs!$G$109:$K$109,Inputs!$G114:$K114)/months_yr*Z$6</f>
        <v>12114.922103254861</v>
      </c>
      <c r="AA55" s="982">
        <f ca="1">AA18*LOOKUP(AA$8,Inputs!$G$109:$K$109,Inputs!$G114:$K114)/months_yr*AA$6</f>
        <v>12838.236621612297</v>
      </c>
      <c r="AB55" s="982">
        <f ca="1">AB18*LOOKUP(AB$8,Inputs!$G$109:$K$109,Inputs!$G114:$K114)/months_yr*AB$6</f>
        <v>13495.233581816186</v>
      </c>
      <c r="AC55" s="982">
        <f ca="1">AC18*LOOKUP(AC$8,Inputs!$G$109:$K$109,Inputs!$G114:$K114)/months_yr*AC$6</f>
        <v>14226.099399738787</v>
      </c>
      <c r="AD55" s="982">
        <f ca="1">AD18*LOOKUP(AD$8,Inputs!$G$109:$K$109,Inputs!$G114:$K114)/months_yr*AD$6</f>
        <v>14975.390905700408</v>
      </c>
      <c r="AE55" s="982">
        <f ca="1">AE18*LOOKUP(AE$8,Inputs!$G$109:$K$109,Inputs!$G114:$K114)/months_yr*AE$6</f>
        <v>15680.791626294935</v>
      </c>
      <c r="AF55" s="982">
        <f ca="1">AF18*LOOKUP(AF$8,Inputs!$G$109:$K$109,Inputs!$G114:$K114)/months_yr*AF$6</f>
        <v>0</v>
      </c>
      <c r="AG55" s="982">
        <f ca="1">AG18*LOOKUP(AG$8,Inputs!$G$109:$K$109,Inputs!$G114:$K114)/months_yr*AG$6</f>
        <v>0</v>
      </c>
    </row>
    <row r="56" spans="1:33" ht="16.5" customHeight="1" outlineLevel="1">
      <c r="A56" s="127"/>
      <c r="B56" s="127"/>
      <c r="C56" s="75" t="s">
        <v>235</v>
      </c>
      <c r="D56" s="8" t="str">
        <f t="shared" si="7"/>
        <v>USD</v>
      </c>
      <c r="E56" s="36"/>
      <c r="F56" s="36"/>
      <c r="G56" s="36"/>
      <c r="H56" s="36"/>
      <c r="I56" s="236">
        <f t="shared" ca="1" si="8"/>
        <v>236250.8777190104</v>
      </c>
      <c r="J56" s="715">
        <f t="shared" ref="J56:AG56" ca="1" si="9">SUM(J54:J55)</f>
        <v>1798.4444444444443</v>
      </c>
      <c r="K56" s="715">
        <f t="shared" ca="1" si="9"/>
        <v>3026.2222222222222</v>
      </c>
      <c r="L56" s="715">
        <f t="shared" ca="1" si="9"/>
        <v>4040.1111111111113</v>
      </c>
      <c r="M56" s="715">
        <f t="shared" ca="1" si="9"/>
        <v>4747.6888888888889</v>
      </c>
      <c r="N56" s="715">
        <f t="shared" ca="1" si="9"/>
        <v>5514.3111111111111</v>
      </c>
      <c r="O56" s="715">
        <f t="shared" ca="1" si="9"/>
        <v>6305.9982222222234</v>
      </c>
      <c r="P56" s="715">
        <f t="shared" ca="1" si="9"/>
        <v>7076.9128177777793</v>
      </c>
      <c r="Q56" s="715">
        <f t="shared" ca="1" si="9"/>
        <v>7907.8682638222253</v>
      </c>
      <c r="R56" s="715">
        <f t="shared" ca="1" si="9"/>
        <v>8766.7419277084464</v>
      </c>
      <c r="S56" s="715">
        <f t="shared" ca="1" si="9"/>
        <v>9454.6818714834517</v>
      </c>
      <c r="T56" s="715">
        <f t="shared" ca="1" si="9"/>
        <v>10268.11962634279</v>
      </c>
      <c r="U56" s="715">
        <f t="shared" ca="1" si="9"/>
        <v>11243.828089506844</v>
      </c>
      <c r="V56" s="715">
        <f t="shared" ca="1" si="9"/>
        <v>11950.660419853786</v>
      </c>
      <c r="W56" s="715">
        <f t="shared" ca="1" si="9"/>
        <v>12763.133935545269</v>
      </c>
      <c r="X56" s="715">
        <f t="shared" ca="1" si="9"/>
        <v>13589.392844984413</v>
      </c>
      <c r="Y56" s="715">
        <f t="shared" ca="1" si="9"/>
        <v>14325.412232833458</v>
      </c>
      <c r="Z56" s="715">
        <f t="shared" ca="1" si="9"/>
        <v>15151.368652002833</v>
      </c>
      <c r="AA56" s="715">
        <f t="shared" ca="1" si="9"/>
        <v>15996.14103231019</v>
      </c>
      <c r="AB56" s="715">
        <f t="shared" ca="1" si="9"/>
        <v>16779.454168941993</v>
      </c>
      <c r="AC56" s="715">
        <f t="shared" ca="1" si="9"/>
        <v>17641.688810349628</v>
      </c>
      <c r="AD56" s="715">
        <f t="shared" ca="1" si="9"/>
        <v>18527.603892735682</v>
      </c>
      <c r="AE56" s="715">
        <f t="shared" ca="1" si="9"/>
        <v>19375.09313281162</v>
      </c>
      <c r="AF56" s="715">
        <f t="shared" ca="1" si="9"/>
        <v>0</v>
      </c>
      <c r="AG56" s="715">
        <f t="shared" ca="1" si="9"/>
        <v>0</v>
      </c>
    </row>
    <row r="57" spans="1:33" ht="16.5" customHeight="1" outlineLevel="1">
      <c r="A57" s="127"/>
      <c r="B57" s="416"/>
      <c r="C57" s="127"/>
      <c r="D57" s="270"/>
      <c r="E57" s="127"/>
      <c r="F57" s="127"/>
      <c r="G57" s="127"/>
      <c r="H57" s="127"/>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row>
    <row r="58" spans="1:33" ht="16.5" customHeight="1" outlineLevel="1">
      <c r="A58" s="127"/>
      <c r="B58" s="683" t="str">
        <f>Inputs!$B$116</f>
        <v>3.</v>
      </c>
      <c r="C58" s="986" t="str">
        <f>Inputs!$C$116</f>
        <v>Research and Development Staff</v>
      </c>
      <c r="D58" s="270"/>
      <c r="E58" s="127"/>
      <c r="F58" s="127"/>
      <c r="G58" s="127"/>
      <c r="H58" s="127"/>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row>
    <row r="59" spans="1:33" ht="16.5" customHeight="1" outlineLevel="1">
      <c r="A59" s="127"/>
      <c r="B59" s="127"/>
      <c r="C59" s="40" t="str">
        <f t="shared" ref="C59:C66" si="10">C22</f>
        <v>Fill in name or positon here</v>
      </c>
      <c r="D59" s="8" t="str">
        <f t="shared" ref="D59:D67" si="11">Currency_Label</f>
        <v>USD</v>
      </c>
      <c r="E59" s="127"/>
      <c r="F59" s="127"/>
      <c r="G59" s="127"/>
      <c r="H59" s="127"/>
      <c r="I59" s="236">
        <f t="shared" ref="I59:I67" si="12">SUM(J59:AG59)</f>
        <v>120341.66666666667</v>
      </c>
      <c r="J59" s="982">
        <f>J22*LOOKUP(J$8,Inputs!$G$109:$K$109,Inputs!$G117:$K117)/months_yr*J$6</f>
        <v>2916.6666666666665</v>
      </c>
      <c r="K59" s="982">
        <f>K22*LOOKUP(K$8,Inputs!$G$109:$K$109,Inputs!$G117:$K117)/months_yr*K$6</f>
        <v>2916.6666666666665</v>
      </c>
      <c r="L59" s="982">
        <f>L22*LOOKUP(L$8,Inputs!$G$109:$K$109,Inputs!$G117:$K117)/months_yr*L$6</f>
        <v>2916.6666666666665</v>
      </c>
      <c r="M59" s="982">
        <f>M22*LOOKUP(M$8,Inputs!$G$109:$K$109,Inputs!$G117:$K117)/months_yr*M$6</f>
        <v>2916.6666666666665</v>
      </c>
      <c r="N59" s="982">
        <f>N22*LOOKUP(N$8,Inputs!$G$109:$K$109,Inputs!$G117:$K117)/months_yr*N$6</f>
        <v>2916.6666666666665</v>
      </c>
      <c r="O59" s="982">
        <f>O22*LOOKUP(O$8,Inputs!$G$109:$K$109,Inputs!$G117:$K117)/months_yr*O$6</f>
        <v>2916.6666666666665</v>
      </c>
      <c r="P59" s="982">
        <f>P22*LOOKUP(P$8,Inputs!$G$109:$K$109,Inputs!$G117:$K117)/months_yr*P$6</f>
        <v>2916.6666666666665</v>
      </c>
      <c r="Q59" s="982">
        <f>Q22*LOOKUP(Q$8,Inputs!$G$109:$K$109,Inputs!$G117:$K117)/months_yr*Q$6</f>
        <v>5833.333333333333</v>
      </c>
      <c r="R59" s="982">
        <f>R22*LOOKUP(R$8,Inputs!$G$109:$K$109,Inputs!$G117:$K117)/months_yr*R$6</f>
        <v>5833.333333333333</v>
      </c>
      <c r="S59" s="982">
        <f>S22*LOOKUP(S$8,Inputs!$G$109:$K$109,Inputs!$G117:$K117)/months_yr*S$6</f>
        <v>5833.333333333333</v>
      </c>
      <c r="T59" s="982">
        <f>T22*LOOKUP(T$8,Inputs!$G$109:$K$109,Inputs!$G117:$K117)/months_yr*T$6</f>
        <v>5833.333333333333</v>
      </c>
      <c r="U59" s="982">
        <f>U22*LOOKUP(U$8,Inputs!$G$109:$K$109,Inputs!$G117:$K117)/months_yr*U$6</f>
        <v>5891.666666666667</v>
      </c>
      <c r="V59" s="982">
        <f>V22*LOOKUP(V$8,Inputs!$G$109:$K$109,Inputs!$G117:$K117)/months_yr*V$6</f>
        <v>5891.666666666667</v>
      </c>
      <c r="W59" s="982">
        <f>W22*LOOKUP(W$8,Inputs!$G$109:$K$109,Inputs!$G117:$K117)/months_yr*W$6</f>
        <v>5891.666666666667</v>
      </c>
      <c r="X59" s="982">
        <f>X22*LOOKUP(X$8,Inputs!$G$109:$K$109,Inputs!$G117:$K117)/months_yr*X$6</f>
        <v>5891.666666666667</v>
      </c>
      <c r="Y59" s="982">
        <f>Y22*LOOKUP(Y$8,Inputs!$G$109:$K$109,Inputs!$G117:$K117)/months_yr*Y$6</f>
        <v>5891.666666666667</v>
      </c>
      <c r="Z59" s="982">
        <f>Z22*LOOKUP(Z$8,Inputs!$G$109:$K$109,Inputs!$G117:$K117)/months_yr*Z$6</f>
        <v>5891.666666666667</v>
      </c>
      <c r="AA59" s="982">
        <f>AA22*LOOKUP(AA$8,Inputs!$G$109:$K$109,Inputs!$G117:$K117)/months_yr*AA$6</f>
        <v>5891.666666666667</v>
      </c>
      <c r="AB59" s="982">
        <f>AB22*LOOKUP(AB$8,Inputs!$G$109:$K$109,Inputs!$G117:$K117)/months_yr*AB$6</f>
        <v>8837.5</v>
      </c>
      <c r="AC59" s="982">
        <f>AC22*LOOKUP(AC$8,Inputs!$G$109:$K$109,Inputs!$G117:$K117)/months_yr*AC$6</f>
        <v>8837.5</v>
      </c>
      <c r="AD59" s="982">
        <f>AD22*LOOKUP(AD$8,Inputs!$G$109:$K$109,Inputs!$G117:$K117)/months_yr*AD$6</f>
        <v>8837.5</v>
      </c>
      <c r="AE59" s="982">
        <f>AE22*LOOKUP(AE$8,Inputs!$G$109:$K$109,Inputs!$G117:$K117)/months_yr*AE$6</f>
        <v>8837.5</v>
      </c>
      <c r="AF59" s="982">
        <f>AF22*LOOKUP(AF$8,Inputs!$G$109:$K$109,Inputs!$G117:$K117)/months_yr*AF$6</f>
        <v>0</v>
      </c>
      <c r="AG59" s="982">
        <f>AG22*LOOKUP(AG$8,Inputs!$G$109:$K$109,Inputs!$G117:$K117)/months_yr*AG$6</f>
        <v>0</v>
      </c>
    </row>
    <row r="60" spans="1:33" ht="16.5" customHeight="1" outlineLevel="1">
      <c r="A60" s="127"/>
      <c r="B60" s="127"/>
      <c r="C60" s="40" t="str">
        <f t="shared" si="10"/>
        <v>Fill in name or positon here</v>
      </c>
      <c r="D60" s="8" t="str">
        <f t="shared" si="11"/>
        <v>USD</v>
      </c>
      <c r="E60" s="127"/>
      <c r="F60" s="127"/>
      <c r="G60" s="127"/>
      <c r="H60" s="127"/>
      <c r="I60" s="236">
        <f t="shared" si="12"/>
        <v>37775</v>
      </c>
      <c r="J60" s="982">
        <f>J23*LOOKUP(J$8,Inputs!$G$109:$K$109,Inputs!$G118:$K118)/months_yr*J$6</f>
        <v>0</v>
      </c>
      <c r="K60" s="982">
        <f>K23*LOOKUP(K$8,Inputs!$G$109:$K$109,Inputs!$G118:$K118)/months_yr*K$6</f>
        <v>0</v>
      </c>
      <c r="L60" s="982">
        <f>L23*LOOKUP(L$8,Inputs!$G$109:$K$109,Inputs!$G118:$K118)/months_yr*L$6</f>
        <v>0</v>
      </c>
      <c r="M60" s="982">
        <f>M23*LOOKUP(M$8,Inputs!$G$109:$K$109,Inputs!$G118:$K118)/months_yr*M$6</f>
        <v>0</v>
      </c>
      <c r="N60" s="982">
        <f>N23*LOOKUP(N$8,Inputs!$G$109:$K$109,Inputs!$G118:$K118)/months_yr*N$6</f>
        <v>0</v>
      </c>
      <c r="O60" s="982">
        <f>O23*LOOKUP(O$8,Inputs!$G$109:$K$109,Inputs!$G118:$K118)/months_yr*O$6</f>
        <v>0</v>
      </c>
      <c r="P60" s="982">
        <f>P23*LOOKUP(P$8,Inputs!$G$109:$K$109,Inputs!$G118:$K118)/months_yr*P$6</f>
        <v>0</v>
      </c>
      <c r="Q60" s="982">
        <f>Q23*LOOKUP(Q$8,Inputs!$G$109:$K$109,Inputs!$G118:$K118)/months_yr*Q$6</f>
        <v>2500</v>
      </c>
      <c r="R60" s="982">
        <f>R23*LOOKUP(R$8,Inputs!$G$109:$K$109,Inputs!$G118:$K118)/months_yr*R$6</f>
        <v>2500</v>
      </c>
      <c r="S60" s="982">
        <f>S23*LOOKUP(S$8,Inputs!$G$109:$K$109,Inputs!$G118:$K118)/months_yr*S$6</f>
        <v>2500</v>
      </c>
      <c r="T60" s="982">
        <f>T23*LOOKUP(T$8,Inputs!$G$109:$K$109,Inputs!$G118:$K118)/months_yr*T$6</f>
        <v>2500</v>
      </c>
      <c r="U60" s="982">
        <f>U23*LOOKUP(U$8,Inputs!$G$109:$K$109,Inputs!$G118:$K118)/months_yr*U$6</f>
        <v>2525</v>
      </c>
      <c r="V60" s="982">
        <f>V23*LOOKUP(V$8,Inputs!$G$109:$K$109,Inputs!$G118:$K118)/months_yr*V$6</f>
        <v>2525</v>
      </c>
      <c r="W60" s="982">
        <f>W23*LOOKUP(W$8,Inputs!$G$109:$K$109,Inputs!$G118:$K118)/months_yr*W$6</f>
        <v>2525</v>
      </c>
      <c r="X60" s="982">
        <f>X23*LOOKUP(X$8,Inputs!$G$109:$K$109,Inputs!$G118:$K118)/months_yr*X$6</f>
        <v>2525</v>
      </c>
      <c r="Y60" s="982">
        <f>Y23*LOOKUP(Y$8,Inputs!$G$109:$K$109,Inputs!$G118:$K118)/months_yr*Y$6</f>
        <v>2525</v>
      </c>
      <c r="Z60" s="982">
        <f>Z23*LOOKUP(Z$8,Inputs!$G$109:$K$109,Inputs!$G118:$K118)/months_yr*Z$6</f>
        <v>2525</v>
      </c>
      <c r="AA60" s="982">
        <f>AA23*LOOKUP(AA$8,Inputs!$G$109:$K$109,Inputs!$G118:$K118)/months_yr*AA$6</f>
        <v>2525</v>
      </c>
      <c r="AB60" s="982">
        <f>AB23*LOOKUP(AB$8,Inputs!$G$109:$K$109,Inputs!$G118:$K118)/months_yr*AB$6</f>
        <v>2525</v>
      </c>
      <c r="AC60" s="982">
        <f>AC23*LOOKUP(AC$8,Inputs!$G$109:$K$109,Inputs!$G118:$K118)/months_yr*AC$6</f>
        <v>2525</v>
      </c>
      <c r="AD60" s="982">
        <f>AD23*LOOKUP(AD$8,Inputs!$G$109:$K$109,Inputs!$G118:$K118)/months_yr*AD$6</f>
        <v>2525</v>
      </c>
      <c r="AE60" s="982">
        <f>AE23*LOOKUP(AE$8,Inputs!$G$109:$K$109,Inputs!$G118:$K118)/months_yr*AE$6</f>
        <v>2525</v>
      </c>
      <c r="AF60" s="982">
        <f>AF23*LOOKUP(AF$8,Inputs!$G$109:$K$109,Inputs!$G118:$K118)/months_yr*AF$6</f>
        <v>0</v>
      </c>
      <c r="AG60" s="982">
        <f>AG23*LOOKUP(AG$8,Inputs!$G$109:$K$109,Inputs!$G118:$K118)/months_yr*AG$6</f>
        <v>0</v>
      </c>
    </row>
    <row r="61" spans="1:33" s="199" customFormat="1" ht="16.5" customHeight="1" outlineLevel="1">
      <c r="A61" s="127"/>
      <c r="B61" s="127"/>
      <c r="C61" s="40" t="str">
        <f t="shared" si="10"/>
        <v>Fill in name or positon here</v>
      </c>
      <c r="D61" s="8" t="str">
        <f t="shared" si="11"/>
        <v>USD</v>
      </c>
      <c r="E61" s="127"/>
      <c r="F61" s="127"/>
      <c r="G61" s="127"/>
      <c r="H61" s="127"/>
      <c r="I61" s="236">
        <f t="shared" si="12"/>
        <v>0</v>
      </c>
      <c r="J61" s="982">
        <f>J24*LOOKUP(J$8,Inputs!$G$109:$K$109,Inputs!$G119:$K119)/months_yr*J$6</f>
        <v>0</v>
      </c>
      <c r="K61" s="982">
        <f>K24*LOOKUP(K$8,Inputs!$G$109:$K$109,Inputs!$G119:$K119)/months_yr*K$6</f>
        <v>0</v>
      </c>
      <c r="L61" s="982">
        <f>L24*LOOKUP(L$8,Inputs!$G$109:$K$109,Inputs!$G119:$K119)/months_yr*L$6</f>
        <v>0</v>
      </c>
      <c r="M61" s="982">
        <f>M24*LOOKUP(M$8,Inputs!$G$109:$K$109,Inputs!$G119:$K119)/months_yr*M$6</f>
        <v>0</v>
      </c>
      <c r="N61" s="982">
        <f>N24*LOOKUP(N$8,Inputs!$G$109:$K$109,Inputs!$G119:$K119)/months_yr*N$6</f>
        <v>0</v>
      </c>
      <c r="O61" s="982">
        <f>O24*LOOKUP(O$8,Inputs!$G$109:$K$109,Inputs!$G119:$K119)/months_yr*O$6</f>
        <v>0</v>
      </c>
      <c r="P61" s="982">
        <f>P24*LOOKUP(P$8,Inputs!$G$109:$K$109,Inputs!$G119:$K119)/months_yr*P$6</f>
        <v>0</v>
      </c>
      <c r="Q61" s="982">
        <f>Q24*LOOKUP(Q$8,Inputs!$G$109:$K$109,Inputs!$G119:$K119)/months_yr*Q$6</f>
        <v>0</v>
      </c>
      <c r="R61" s="982">
        <f>R24*LOOKUP(R$8,Inputs!$G$109:$K$109,Inputs!$G119:$K119)/months_yr*R$6</f>
        <v>0</v>
      </c>
      <c r="S61" s="982">
        <f>S24*LOOKUP(S$8,Inputs!$G$109:$K$109,Inputs!$G119:$K119)/months_yr*S$6</f>
        <v>0</v>
      </c>
      <c r="T61" s="982">
        <f>T24*LOOKUP(T$8,Inputs!$G$109:$K$109,Inputs!$G119:$K119)/months_yr*T$6</f>
        <v>0</v>
      </c>
      <c r="U61" s="982">
        <f>U24*LOOKUP(U$8,Inputs!$G$109:$K$109,Inputs!$G119:$K119)/months_yr*U$6</f>
        <v>0</v>
      </c>
      <c r="V61" s="982">
        <f>V24*LOOKUP(V$8,Inputs!$G$109:$K$109,Inputs!$G119:$K119)/months_yr*V$6</f>
        <v>0</v>
      </c>
      <c r="W61" s="982">
        <f>W24*LOOKUP(W$8,Inputs!$G$109:$K$109,Inputs!$G119:$K119)/months_yr*W$6</f>
        <v>0</v>
      </c>
      <c r="X61" s="982">
        <f>X24*LOOKUP(X$8,Inputs!$G$109:$K$109,Inputs!$G119:$K119)/months_yr*X$6</f>
        <v>0</v>
      </c>
      <c r="Y61" s="982">
        <f>Y24*LOOKUP(Y$8,Inputs!$G$109:$K$109,Inputs!$G119:$K119)/months_yr*Y$6</f>
        <v>0</v>
      </c>
      <c r="Z61" s="982">
        <f>Z24*LOOKUP(Z$8,Inputs!$G$109:$K$109,Inputs!$G119:$K119)/months_yr*Z$6</f>
        <v>0</v>
      </c>
      <c r="AA61" s="982">
        <f>AA24*LOOKUP(AA$8,Inputs!$G$109:$K$109,Inputs!$G119:$K119)/months_yr*AA$6</f>
        <v>0</v>
      </c>
      <c r="AB61" s="982">
        <f>AB24*LOOKUP(AB$8,Inputs!$G$109:$K$109,Inputs!$G119:$K119)/months_yr*AB$6</f>
        <v>0</v>
      </c>
      <c r="AC61" s="982">
        <f>AC24*LOOKUP(AC$8,Inputs!$G$109:$K$109,Inputs!$G119:$K119)/months_yr*AC$6</f>
        <v>0</v>
      </c>
      <c r="AD61" s="982">
        <f>AD24*LOOKUP(AD$8,Inputs!$G$109:$K$109,Inputs!$G119:$K119)/months_yr*AD$6</f>
        <v>0</v>
      </c>
      <c r="AE61" s="982">
        <f>AE24*LOOKUP(AE$8,Inputs!$G$109:$K$109,Inputs!$G119:$K119)/months_yr*AE$6</f>
        <v>0</v>
      </c>
      <c r="AF61" s="982">
        <f>AF24*LOOKUP(AF$8,Inputs!$G$109:$K$109,Inputs!$G119:$K119)/months_yr*AF$6</f>
        <v>0</v>
      </c>
      <c r="AG61" s="982">
        <f>AG24*LOOKUP(AG$8,Inputs!$G$109:$K$109,Inputs!$G119:$K119)/months_yr*AG$6</f>
        <v>0</v>
      </c>
    </row>
    <row r="62" spans="1:33" s="878" customFormat="1" ht="16.5" customHeight="1" outlineLevel="1">
      <c r="A62" s="127"/>
      <c r="B62" s="127"/>
      <c r="C62" s="40" t="str">
        <f t="shared" si="10"/>
        <v>Fill in name or positon here</v>
      </c>
      <c r="D62" s="8" t="str">
        <f t="shared" si="11"/>
        <v>USD</v>
      </c>
      <c r="E62" s="127"/>
      <c r="F62" s="127"/>
      <c r="G62" s="127"/>
      <c r="H62" s="127"/>
      <c r="I62" s="236">
        <f t="shared" si="12"/>
        <v>0</v>
      </c>
      <c r="J62" s="982">
        <f>J25*LOOKUP(J$8,Inputs!$G$109:$K$109,Inputs!$G120:$K120)/months_yr*J$6</f>
        <v>0</v>
      </c>
      <c r="K62" s="982">
        <f>K25*LOOKUP(K$8,Inputs!$G$109:$K$109,Inputs!$G120:$K120)/months_yr*K$6</f>
        <v>0</v>
      </c>
      <c r="L62" s="982">
        <f>L25*LOOKUP(L$8,Inputs!$G$109:$K$109,Inputs!$G120:$K120)/months_yr*L$6</f>
        <v>0</v>
      </c>
      <c r="M62" s="982">
        <f>M25*LOOKUP(M$8,Inputs!$G$109:$K$109,Inputs!$G120:$K120)/months_yr*M$6</f>
        <v>0</v>
      </c>
      <c r="N62" s="982">
        <f>N25*LOOKUP(N$8,Inputs!$G$109:$K$109,Inputs!$G120:$K120)/months_yr*N$6</f>
        <v>0</v>
      </c>
      <c r="O62" s="982">
        <f>O25*LOOKUP(O$8,Inputs!$G$109:$K$109,Inputs!$G120:$K120)/months_yr*O$6</f>
        <v>0</v>
      </c>
      <c r="P62" s="982">
        <f>P25*LOOKUP(P$8,Inputs!$G$109:$K$109,Inputs!$G120:$K120)/months_yr*P$6</f>
        <v>0</v>
      </c>
      <c r="Q62" s="982">
        <f>Q25*LOOKUP(Q$8,Inputs!$G$109:$K$109,Inputs!$G120:$K120)/months_yr*Q$6</f>
        <v>0</v>
      </c>
      <c r="R62" s="982">
        <f>R25*LOOKUP(R$8,Inputs!$G$109:$K$109,Inputs!$G120:$K120)/months_yr*R$6</f>
        <v>0</v>
      </c>
      <c r="S62" s="982">
        <f>S25*LOOKUP(S$8,Inputs!$G$109:$K$109,Inputs!$G120:$K120)/months_yr*S$6</f>
        <v>0</v>
      </c>
      <c r="T62" s="982">
        <f>T25*LOOKUP(T$8,Inputs!$G$109:$K$109,Inputs!$G120:$K120)/months_yr*T$6</f>
        <v>0</v>
      </c>
      <c r="U62" s="982">
        <f>U25*LOOKUP(U$8,Inputs!$G$109:$K$109,Inputs!$G120:$K120)/months_yr*U$6</f>
        <v>0</v>
      </c>
      <c r="V62" s="982">
        <f>V25*LOOKUP(V$8,Inputs!$G$109:$K$109,Inputs!$G120:$K120)/months_yr*V$6</f>
        <v>0</v>
      </c>
      <c r="W62" s="982">
        <f>W25*LOOKUP(W$8,Inputs!$G$109:$K$109,Inputs!$G120:$K120)/months_yr*W$6</f>
        <v>0</v>
      </c>
      <c r="X62" s="982">
        <f>X25*LOOKUP(X$8,Inputs!$G$109:$K$109,Inputs!$G120:$K120)/months_yr*X$6</f>
        <v>0</v>
      </c>
      <c r="Y62" s="982">
        <f>Y25*LOOKUP(Y$8,Inputs!$G$109:$K$109,Inputs!$G120:$K120)/months_yr*Y$6</f>
        <v>0</v>
      </c>
      <c r="Z62" s="982">
        <f>Z25*LOOKUP(Z$8,Inputs!$G$109:$K$109,Inputs!$G120:$K120)/months_yr*Z$6</f>
        <v>0</v>
      </c>
      <c r="AA62" s="982">
        <f>AA25*LOOKUP(AA$8,Inputs!$G$109:$K$109,Inputs!$G120:$K120)/months_yr*AA$6</f>
        <v>0</v>
      </c>
      <c r="AB62" s="982">
        <f>AB25*LOOKUP(AB$8,Inputs!$G$109:$K$109,Inputs!$G120:$K120)/months_yr*AB$6</f>
        <v>0</v>
      </c>
      <c r="AC62" s="982">
        <f>AC25*LOOKUP(AC$8,Inputs!$G$109:$K$109,Inputs!$G120:$K120)/months_yr*AC$6</f>
        <v>0</v>
      </c>
      <c r="AD62" s="982">
        <f>AD25*LOOKUP(AD$8,Inputs!$G$109:$K$109,Inputs!$G120:$K120)/months_yr*AD$6</f>
        <v>0</v>
      </c>
      <c r="AE62" s="982">
        <f>AE25*LOOKUP(AE$8,Inputs!$G$109:$K$109,Inputs!$G120:$K120)/months_yr*AE$6</f>
        <v>0</v>
      </c>
      <c r="AF62" s="982">
        <f>AF25*LOOKUP(AF$8,Inputs!$G$109:$K$109,Inputs!$G120:$K120)/months_yr*AF$6</f>
        <v>0</v>
      </c>
      <c r="AG62" s="982">
        <f>AG25*LOOKUP(AG$8,Inputs!$G$109:$K$109,Inputs!$G120:$K120)/months_yr*AG$6</f>
        <v>0</v>
      </c>
    </row>
    <row r="63" spans="1:33" s="878" customFormat="1" ht="16.5" customHeight="1" outlineLevel="1">
      <c r="A63" s="127"/>
      <c r="B63" s="127"/>
      <c r="C63" s="40" t="str">
        <f t="shared" si="10"/>
        <v>Fill in name or positon here</v>
      </c>
      <c r="D63" s="8" t="str">
        <f t="shared" si="11"/>
        <v>USD</v>
      </c>
      <c r="E63" s="127"/>
      <c r="F63" s="127"/>
      <c r="G63" s="127"/>
      <c r="H63" s="127"/>
      <c r="I63" s="236">
        <f t="shared" si="12"/>
        <v>0</v>
      </c>
      <c r="J63" s="982">
        <f>J26*LOOKUP(J$8,Inputs!$G$109:$K$109,Inputs!$G121:$K121)/months_yr*J$6</f>
        <v>0</v>
      </c>
      <c r="K63" s="982">
        <f>K26*LOOKUP(K$8,Inputs!$G$109:$K$109,Inputs!$G121:$K121)/months_yr*K$6</f>
        <v>0</v>
      </c>
      <c r="L63" s="982">
        <f>L26*LOOKUP(L$8,Inputs!$G$109:$K$109,Inputs!$G121:$K121)/months_yr*L$6</f>
        <v>0</v>
      </c>
      <c r="M63" s="982">
        <f>M26*LOOKUP(M$8,Inputs!$G$109:$K$109,Inputs!$G121:$K121)/months_yr*M$6</f>
        <v>0</v>
      </c>
      <c r="N63" s="982">
        <f>N26*LOOKUP(N$8,Inputs!$G$109:$K$109,Inputs!$G121:$K121)/months_yr*N$6</f>
        <v>0</v>
      </c>
      <c r="O63" s="982">
        <f>O26*LOOKUP(O$8,Inputs!$G$109:$K$109,Inputs!$G121:$K121)/months_yr*O$6</f>
        <v>0</v>
      </c>
      <c r="P63" s="982">
        <f>P26*LOOKUP(P$8,Inputs!$G$109:$K$109,Inputs!$G121:$K121)/months_yr*P$6</f>
        <v>0</v>
      </c>
      <c r="Q63" s="982">
        <f>Q26*LOOKUP(Q$8,Inputs!$G$109:$K$109,Inputs!$G121:$K121)/months_yr*Q$6</f>
        <v>0</v>
      </c>
      <c r="R63" s="982">
        <f>R26*LOOKUP(R$8,Inputs!$G$109:$K$109,Inputs!$G121:$K121)/months_yr*R$6</f>
        <v>0</v>
      </c>
      <c r="S63" s="982">
        <f>S26*LOOKUP(S$8,Inputs!$G$109:$K$109,Inputs!$G121:$K121)/months_yr*S$6</f>
        <v>0</v>
      </c>
      <c r="T63" s="982">
        <f>T26*LOOKUP(T$8,Inputs!$G$109:$K$109,Inputs!$G121:$K121)/months_yr*T$6</f>
        <v>0</v>
      </c>
      <c r="U63" s="982">
        <f>U26*LOOKUP(U$8,Inputs!$G$109:$K$109,Inputs!$G121:$K121)/months_yr*U$6</f>
        <v>0</v>
      </c>
      <c r="V63" s="982">
        <f>V26*LOOKUP(V$8,Inputs!$G$109:$K$109,Inputs!$G121:$K121)/months_yr*V$6</f>
        <v>0</v>
      </c>
      <c r="W63" s="982">
        <f>W26*LOOKUP(W$8,Inputs!$G$109:$K$109,Inputs!$G121:$K121)/months_yr*W$6</f>
        <v>0</v>
      </c>
      <c r="X63" s="982">
        <f>X26*LOOKUP(X$8,Inputs!$G$109:$K$109,Inputs!$G121:$K121)/months_yr*X$6</f>
        <v>0</v>
      </c>
      <c r="Y63" s="982">
        <f>Y26*LOOKUP(Y$8,Inputs!$G$109:$K$109,Inputs!$G121:$K121)/months_yr*Y$6</f>
        <v>0</v>
      </c>
      <c r="Z63" s="982">
        <f>Z26*LOOKUP(Z$8,Inputs!$G$109:$K$109,Inputs!$G121:$K121)/months_yr*Z$6</f>
        <v>0</v>
      </c>
      <c r="AA63" s="982">
        <f>AA26*LOOKUP(AA$8,Inputs!$G$109:$K$109,Inputs!$G121:$K121)/months_yr*AA$6</f>
        <v>0</v>
      </c>
      <c r="AB63" s="982">
        <f>AB26*LOOKUP(AB$8,Inputs!$G$109:$K$109,Inputs!$G121:$K121)/months_yr*AB$6</f>
        <v>0</v>
      </c>
      <c r="AC63" s="982">
        <f>AC26*LOOKUP(AC$8,Inputs!$G$109:$K$109,Inputs!$G121:$K121)/months_yr*AC$6</f>
        <v>0</v>
      </c>
      <c r="AD63" s="982">
        <f>AD26*LOOKUP(AD$8,Inputs!$G$109:$K$109,Inputs!$G121:$K121)/months_yr*AD$6</f>
        <v>0</v>
      </c>
      <c r="AE63" s="982">
        <f>AE26*LOOKUP(AE$8,Inputs!$G$109:$K$109,Inputs!$G121:$K121)/months_yr*AE$6</f>
        <v>0</v>
      </c>
      <c r="AF63" s="982">
        <f>AF26*LOOKUP(AF$8,Inputs!$G$109:$K$109,Inputs!$G121:$K121)/months_yr*AF$6</f>
        <v>0</v>
      </c>
      <c r="AG63" s="982">
        <f>AG26*LOOKUP(AG$8,Inputs!$G$109:$K$109,Inputs!$G121:$K121)/months_yr*AG$6</f>
        <v>0</v>
      </c>
    </row>
    <row r="64" spans="1:33" s="878" customFormat="1" ht="16.5" customHeight="1" outlineLevel="1">
      <c r="A64" s="127"/>
      <c r="B64" s="127"/>
      <c r="C64" s="40" t="str">
        <f t="shared" si="10"/>
        <v>Fill in name or positon here</v>
      </c>
      <c r="D64" s="8" t="str">
        <f t="shared" si="11"/>
        <v>USD</v>
      </c>
      <c r="E64" s="127"/>
      <c r="F64" s="127"/>
      <c r="G64" s="127"/>
      <c r="H64" s="127"/>
      <c r="I64" s="236">
        <f t="shared" si="12"/>
        <v>0</v>
      </c>
      <c r="J64" s="982">
        <f>J27*LOOKUP(J$8,Inputs!$G$109:$K$109,Inputs!$G122:$K122)/months_yr*J$6</f>
        <v>0</v>
      </c>
      <c r="K64" s="982">
        <f>K27*LOOKUP(K$8,Inputs!$G$109:$K$109,Inputs!$G122:$K122)/months_yr*K$6</f>
        <v>0</v>
      </c>
      <c r="L64" s="982">
        <f>L27*LOOKUP(L$8,Inputs!$G$109:$K$109,Inputs!$G122:$K122)/months_yr*L$6</f>
        <v>0</v>
      </c>
      <c r="M64" s="982">
        <f>M27*LOOKUP(M$8,Inputs!$G$109:$K$109,Inputs!$G122:$K122)/months_yr*M$6</f>
        <v>0</v>
      </c>
      <c r="N64" s="982">
        <f>N27*LOOKUP(N$8,Inputs!$G$109:$K$109,Inputs!$G122:$K122)/months_yr*N$6</f>
        <v>0</v>
      </c>
      <c r="O64" s="982">
        <f>O27*LOOKUP(O$8,Inputs!$G$109:$K$109,Inputs!$G122:$K122)/months_yr*O$6</f>
        <v>0</v>
      </c>
      <c r="P64" s="982">
        <f>P27*LOOKUP(P$8,Inputs!$G$109:$K$109,Inputs!$G122:$K122)/months_yr*P$6</f>
        <v>0</v>
      </c>
      <c r="Q64" s="982">
        <f>Q27*LOOKUP(Q$8,Inputs!$G$109:$K$109,Inputs!$G122:$K122)/months_yr*Q$6</f>
        <v>0</v>
      </c>
      <c r="R64" s="982">
        <f>R27*LOOKUP(R$8,Inputs!$G$109:$K$109,Inputs!$G122:$K122)/months_yr*R$6</f>
        <v>0</v>
      </c>
      <c r="S64" s="982">
        <f>S27*LOOKUP(S$8,Inputs!$G$109:$K$109,Inputs!$G122:$K122)/months_yr*S$6</f>
        <v>0</v>
      </c>
      <c r="T64" s="982">
        <f>T27*LOOKUP(T$8,Inputs!$G$109:$K$109,Inputs!$G122:$K122)/months_yr*T$6</f>
        <v>0</v>
      </c>
      <c r="U64" s="982">
        <f>U27*LOOKUP(U$8,Inputs!$G$109:$K$109,Inputs!$G122:$K122)/months_yr*U$6</f>
        <v>0</v>
      </c>
      <c r="V64" s="982">
        <f>V27*LOOKUP(V$8,Inputs!$G$109:$K$109,Inputs!$G122:$K122)/months_yr*V$6</f>
        <v>0</v>
      </c>
      <c r="W64" s="982">
        <f>W27*LOOKUP(W$8,Inputs!$G$109:$K$109,Inputs!$G122:$K122)/months_yr*W$6</f>
        <v>0</v>
      </c>
      <c r="X64" s="982">
        <f>X27*LOOKUP(X$8,Inputs!$G$109:$K$109,Inputs!$G122:$K122)/months_yr*X$6</f>
        <v>0</v>
      </c>
      <c r="Y64" s="982">
        <f>Y27*LOOKUP(Y$8,Inputs!$G$109:$K$109,Inputs!$G122:$K122)/months_yr*Y$6</f>
        <v>0</v>
      </c>
      <c r="Z64" s="982">
        <f>Z27*LOOKUP(Z$8,Inputs!$G$109:$K$109,Inputs!$G122:$K122)/months_yr*Z$6</f>
        <v>0</v>
      </c>
      <c r="AA64" s="982">
        <f>AA27*LOOKUP(AA$8,Inputs!$G$109:$K$109,Inputs!$G122:$K122)/months_yr*AA$6</f>
        <v>0</v>
      </c>
      <c r="AB64" s="982">
        <f>AB27*LOOKUP(AB$8,Inputs!$G$109:$K$109,Inputs!$G122:$K122)/months_yr*AB$6</f>
        <v>0</v>
      </c>
      <c r="AC64" s="982">
        <f>AC27*LOOKUP(AC$8,Inputs!$G$109:$K$109,Inputs!$G122:$K122)/months_yr*AC$6</f>
        <v>0</v>
      </c>
      <c r="AD64" s="982">
        <f>AD27*LOOKUP(AD$8,Inputs!$G$109:$K$109,Inputs!$G122:$K122)/months_yr*AD$6</f>
        <v>0</v>
      </c>
      <c r="AE64" s="982">
        <f>AE27*LOOKUP(AE$8,Inputs!$G$109:$K$109,Inputs!$G122:$K122)/months_yr*AE$6</f>
        <v>0</v>
      </c>
      <c r="AF64" s="982">
        <f>AF27*LOOKUP(AF$8,Inputs!$G$109:$K$109,Inputs!$G122:$K122)/months_yr*AF$6</f>
        <v>0</v>
      </c>
      <c r="AG64" s="982">
        <f>AG27*LOOKUP(AG$8,Inputs!$G$109:$K$109,Inputs!$G122:$K122)/months_yr*AG$6</f>
        <v>0</v>
      </c>
    </row>
    <row r="65" spans="1:33" s="878" customFormat="1" ht="16.5" customHeight="1" outlineLevel="1">
      <c r="A65" s="127"/>
      <c r="B65" s="127"/>
      <c r="C65" s="40" t="str">
        <f t="shared" si="10"/>
        <v>Fill in name or positon here</v>
      </c>
      <c r="D65" s="8" t="str">
        <f t="shared" si="11"/>
        <v>USD</v>
      </c>
      <c r="E65" s="127"/>
      <c r="F65" s="127"/>
      <c r="G65" s="127"/>
      <c r="H65" s="127"/>
      <c r="I65" s="236">
        <f t="shared" si="12"/>
        <v>0</v>
      </c>
      <c r="J65" s="982">
        <f>J28*LOOKUP(J$8,Inputs!$G$109:$K$109,Inputs!$G123:$K123)/months_yr*J$6</f>
        <v>0</v>
      </c>
      <c r="K65" s="982">
        <f>K28*LOOKUP(K$8,Inputs!$G$109:$K$109,Inputs!$G123:$K123)/months_yr*K$6</f>
        <v>0</v>
      </c>
      <c r="L65" s="982">
        <f>L28*LOOKUP(L$8,Inputs!$G$109:$K$109,Inputs!$G123:$K123)/months_yr*L$6</f>
        <v>0</v>
      </c>
      <c r="M65" s="982">
        <f>M28*LOOKUP(M$8,Inputs!$G$109:$K$109,Inputs!$G123:$K123)/months_yr*M$6</f>
        <v>0</v>
      </c>
      <c r="N65" s="982">
        <f>N28*LOOKUP(N$8,Inputs!$G$109:$K$109,Inputs!$G123:$K123)/months_yr*N$6</f>
        <v>0</v>
      </c>
      <c r="O65" s="982">
        <f>O28*LOOKUP(O$8,Inputs!$G$109:$K$109,Inputs!$G123:$K123)/months_yr*O$6</f>
        <v>0</v>
      </c>
      <c r="P65" s="982">
        <f>P28*LOOKUP(P$8,Inputs!$G$109:$K$109,Inputs!$G123:$K123)/months_yr*P$6</f>
        <v>0</v>
      </c>
      <c r="Q65" s="982">
        <f>Q28*LOOKUP(Q$8,Inputs!$G$109:$K$109,Inputs!$G123:$K123)/months_yr*Q$6</f>
        <v>0</v>
      </c>
      <c r="R65" s="982">
        <f>R28*LOOKUP(R$8,Inputs!$G$109:$K$109,Inputs!$G123:$K123)/months_yr*R$6</f>
        <v>0</v>
      </c>
      <c r="S65" s="982">
        <f>S28*LOOKUP(S$8,Inputs!$G$109:$K$109,Inputs!$G123:$K123)/months_yr*S$6</f>
        <v>0</v>
      </c>
      <c r="T65" s="982">
        <f>T28*LOOKUP(T$8,Inputs!$G$109:$K$109,Inputs!$G123:$K123)/months_yr*T$6</f>
        <v>0</v>
      </c>
      <c r="U65" s="982">
        <f>U28*LOOKUP(U$8,Inputs!$G$109:$K$109,Inputs!$G123:$K123)/months_yr*U$6</f>
        <v>0</v>
      </c>
      <c r="V65" s="982">
        <f>V28*LOOKUP(V$8,Inputs!$G$109:$K$109,Inputs!$G123:$K123)/months_yr*V$6</f>
        <v>0</v>
      </c>
      <c r="W65" s="982">
        <f>W28*LOOKUP(W$8,Inputs!$G$109:$K$109,Inputs!$G123:$K123)/months_yr*W$6</f>
        <v>0</v>
      </c>
      <c r="X65" s="982">
        <f>X28*LOOKUP(X$8,Inputs!$G$109:$K$109,Inputs!$G123:$K123)/months_yr*X$6</f>
        <v>0</v>
      </c>
      <c r="Y65" s="982">
        <f>Y28*LOOKUP(Y$8,Inputs!$G$109:$K$109,Inputs!$G123:$K123)/months_yr*Y$6</f>
        <v>0</v>
      </c>
      <c r="Z65" s="982">
        <f>Z28*LOOKUP(Z$8,Inputs!$G$109:$K$109,Inputs!$G123:$K123)/months_yr*Z$6</f>
        <v>0</v>
      </c>
      <c r="AA65" s="982">
        <f>AA28*LOOKUP(AA$8,Inputs!$G$109:$K$109,Inputs!$G123:$K123)/months_yr*AA$6</f>
        <v>0</v>
      </c>
      <c r="AB65" s="982">
        <f>AB28*LOOKUP(AB$8,Inputs!$G$109:$K$109,Inputs!$G123:$K123)/months_yr*AB$6</f>
        <v>0</v>
      </c>
      <c r="AC65" s="982">
        <f>AC28*LOOKUP(AC$8,Inputs!$G$109:$K$109,Inputs!$G123:$K123)/months_yr*AC$6</f>
        <v>0</v>
      </c>
      <c r="AD65" s="982">
        <f>AD28*LOOKUP(AD$8,Inputs!$G$109:$K$109,Inputs!$G123:$K123)/months_yr*AD$6</f>
        <v>0</v>
      </c>
      <c r="AE65" s="982">
        <f>AE28*LOOKUP(AE$8,Inputs!$G$109:$K$109,Inputs!$G123:$K123)/months_yr*AE$6</f>
        <v>0</v>
      </c>
      <c r="AF65" s="982">
        <f>AF28*LOOKUP(AF$8,Inputs!$G$109:$K$109,Inputs!$G123:$K123)/months_yr*AF$6</f>
        <v>0</v>
      </c>
      <c r="AG65" s="982">
        <f>AG28*LOOKUP(AG$8,Inputs!$G$109:$K$109,Inputs!$G123:$K123)/months_yr*AG$6</f>
        <v>0</v>
      </c>
    </row>
    <row r="66" spans="1:33" ht="16.5" customHeight="1" outlineLevel="1">
      <c r="A66" s="127"/>
      <c r="B66" s="127"/>
      <c r="C66" s="40" t="str">
        <f t="shared" si="10"/>
        <v>Fill in name or positon here</v>
      </c>
      <c r="D66" s="8" t="str">
        <f t="shared" si="11"/>
        <v>USD</v>
      </c>
      <c r="E66" s="127"/>
      <c r="F66" s="127"/>
      <c r="G66" s="127"/>
      <c r="H66" s="127"/>
      <c r="I66" s="236">
        <f t="shared" si="12"/>
        <v>0</v>
      </c>
      <c r="J66" s="982">
        <f>J29*LOOKUP(J$8,Inputs!$G$109:$K$109,Inputs!$G124:$K124)/months_yr*J$6</f>
        <v>0</v>
      </c>
      <c r="K66" s="982">
        <f>K29*LOOKUP(K$8,Inputs!$G$109:$K$109,Inputs!$G124:$K124)/months_yr*K$6</f>
        <v>0</v>
      </c>
      <c r="L66" s="982">
        <f>L29*LOOKUP(L$8,Inputs!$G$109:$K$109,Inputs!$G124:$K124)/months_yr*L$6</f>
        <v>0</v>
      </c>
      <c r="M66" s="982">
        <f>M29*LOOKUP(M$8,Inputs!$G$109:$K$109,Inputs!$G124:$K124)/months_yr*M$6</f>
        <v>0</v>
      </c>
      <c r="N66" s="982">
        <f>N29*LOOKUP(N$8,Inputs!$G$109:$K$109,Inputs!$G124:$K124)/months_yr*N$6</f>
        <v>0</v>
      </c>
      <c r="O66" s="982">
        <f>O29*LOOKUP(O$8,Inputs!$G$109:$K$109,Inputs!$G124:$K124)/months_yr*O$6</f>
        <v>0</v>
      </c>
      <c r="P66" s="982">
        <f>P29*LOOKUP(P$8,Inputs!$G$109:$K$109,Inputs!$G124:$K124)/months_yr*P$6</f>
        <v>0</v>
      </c>
      <c r="Q66" s="982">
        <f>Q29*LOOKUP(Q$8,Inputs!$G$109:$K$109,Inputs!$G124:$K124)/months_yr*Q$6</f>
        <v>0</v>
      </c>
      <c r="R66" s="982">
        <f>R29*LOOKUP(R$8,Inputs!$G$109:$K$109,Inputs!$G124:$K124)/months_yr*R$6</f>
        <v>0</v>
      </c>
      <c r="S66" s="982">
        <f>S29*LOOKUP(S$8,Inputs!$G$109:$K$109,Inputs!$G124:$K124)/months_yr*S$6</f>
        <v>0</v>
      </c>
      <c r="T66" s="982">
        <f>T29*LOOKUP(T$8,Inputs!$G$109:$K$109,Inputs!$G124:$K124)/months_yr*T$6</f>
        <v>0</v>
      </c>
      <c r="U66" s="982">
        <f>U29*LOOKUP(U$8,Inputs!$G$109:$K$109,Inputs!$G124:$K124)/months_yr*U$6</f>
        <v>0</v>
      </c>
      <c r="V66" s="982">
        <f>V29*LOOKUP(V$8,Inputs!$G$109:$K$109,Inputs!$G124:$K124)/months_yr*V$6</f>
        <v>0</v>
      </c>
      <c r="W66" s="982">
        <f>W29*LOOKUP(W$8,Inputs!$G$109:$K$109,Inputs!$G124:$K124)/months_yr*W$6</f>
        <v>0</v>
      </c>
      <c r="X66" s="982">
        <f>X29*LOOKUP(X$8,Inputs!$G$109:$K$109,Inputs!$G124:$K124)/months_yr*X$6</f>
        <v>0</v>
      </c>
      <c r="Y66" s="982">
        <f>Y29*LOOKUP(Y$8,Inputs!$G$109:$K$109,Inputs!$G124:$K124)/months_yr*Y$6</f>
        <v>0</v>
      </c>
      <c r="Z66" s="982">
        <f>Z29*LOOKUP(Z$8,Inputs!$G$109:$K$109,Inputs!$G124:$K124)/months_yr*Z$6</f>
        <v>0</v>
      </c>
      <c r="AA66" s="982">
        <f>AA29*LOOKUP(AA$8,Inputs!$G$109:$K$109,Inputs!$G124:$K124)/months_yr*AA$6</f>
        <v>0</v>
      </c>
      <c r="AB66" s="982">
        <f>AB29*LOOKUP(AB$8,Inputs!$G$109:$K$109,Inputs!$G124:$K124)/months_yr*AB$6</f>
        <v>0</v>
      </c>
      <c r="AC66" s="982">
        <f>AC29*LOOKUP(AC$8,Inputs!$G$109:$K$109,Inputs!$G124:$K124)/months_yr*AC$6</f>
        <v>0</v>
      </c>
      <c r="AD66" s="982">
        <f>AD29*LOOKUP(AD$8,Inputs!$G$109:$K$109,Inputs!$G124:$K124)/months_yr*AD$6</f>
        <v>0</v>
      </c>
      <c r="AE66" s="982">
        <f>AE29*LOOKUP(AE$8,Inputs!$G$109:$K$109,Inputs!$G124:$K124)/months_yr*AE$6</f>
        <v>0</v>
      </c>
      <c r="AF66" s="982">
        <f>AF29*LOOKUP(AF$8,Inputs!$G$109:$K$109,Inputs!$G124:$K124)/months_yr*AF$6</f>
        <v>0</v>
      </c>
      <c r="AG66" s="982">
        <f>AG29*LOOKUP(AG$8,Inputs!$G$109:$K$109,Inputs!$G124:$K124)/months_yr*AG$6</f>
        <v>0</v>
      </c>
    </row>
    <row r="67" spans="1:33" ht="16.5" customHeight="1" outlineLevel="1">
      <c r="A67" s="127"/>
      <c r="B67" s="416"/>
      <c r="C67" s="75" t="s">
        <v>235</v>
      </c>
      <c r="D67" s="8" t="str">
        <f t="shared" si="11"/>
        <v>USD</v>
      </c>
      <c r="E67" s="36"/>
      <c r="F67" s="36"/>
      <c r="G67" s="36"/>
      <c r="H67" s="36"/>
      <c r="I67" s="236">
        <f t="shared" si="12"/>
        <v>158116.66666666669</v>
      </c>
      <c r="J67" s="715">
        <f>SUM(J59:J66)</f>
        <v>2916.6666666666665</v>
      </c>
      <c r="K67" s="715">
        <f t="shared" ref="K67:AG67" si="13">SUM(K59:K66)</f>
        <v>2916.6666666666665</v>
      </c>
      <c r="L67" s="715">
        <f t="shared" si="13"/>
        <v>2916.6666666666665</v>
      </c>
      <c r="M67" s="715">
        <f t="shared" si="13"/>
        <v>2916.6666666666665</v>
      </c>
      <c r="N67" s="715">
        <f t="shared" si="13"/>
        <v>2916.6666666666665</v>
      </c>
      <c r="O67" s="715">
        <f t="shared" si="13"/>
        <v>2916.6666666666665</v>
      </c>
      <c r="P67" s="715">
        <f t="shared" si="13"/>
        <v>2916.6666666666665</v>
      </c>
      <c r="Q67" s="715">
        <f t="shared" si="13"/>
        <v>8333.3333333333321</v>
      </c>
      <c r="R67" s="715">
        <f t="shared" si="13"/>
        <v>8333.3333333333321</v>
      </c>
      <c r="S67" s="715">
        <f t="shared" si="13"/>
        <v>8333.3333333333321</v>
      </c>
      <c r="T67" s="715">
        <f t="shared" si="13"/>
        <v>8333.3333333333321</v>
      </c>
      <c r="U67" s="715">
        <f t="shared" si="13"/>
        <v>8416.6666666666679</v>
      </c>
      <c r="V67" s="715">
        <f t="shared" si="13"/>
        <v>8416.6666666666679</v>
      </c>
      <c r="W67" s="715">
        <f t="shared" si="13"/>
        <v>8416.6666666666679</v>
      </c>
      <c r="X67" s="715">
        <f t="shared" si="13"/>
        <v>8416.6666666666679</v>
      </c>
      <c r="Y67" s="715">
        <f t="shared" si="13"/>
        <v>8416.6666666666679</v>
      </c>
      <c r="Z67" s="715">
        <f t="shared" si="13"/>
        <v>8416.6666666666679</v>
      </c>
      <c r="AA67" s="715">
        <f t="shared" si="13"/>
        <v>8416.6666666666679</v>
      </c>
      <c r="AB67" s="715">
        <f t="shared" si="13"/>
        <v>11362.5</v>
      </c>
      <c r="AC67" s="715">
        <f t="shared" si="13"/>
        <v>11362.5</v>
      </c>
      <c r="AD67" s="715">
        <f t="shared" si="13"/>
        <v>11362.5</v>
      </c>
      <c r="AE67" s="715">
        <f t="shared" si="13"/>
        <v>11362.5</v>
      </c>
      <c r="AF67" s="715">
        <f t="shared" si="13"/>
        <v>0</v>
      </c>
      <c r="AG67" s="715">
        <f t="shared" si="13"/>
        <v>0</v>
      </c>
    </row>
    <row r="68" spans="1:33" ht="16.5" customHeight="1" outlineLevel="1">
      <c r="A68" s="127"/>
      <c r="B68" s="127"/>
      <c r="C68" s="127"/>
      <c r="D68" s="270"/>
      <c r="E68" s="127"/>
      <c r="F68" s="127"/>
      <c r="G68" s="127"/>
      <c r="H68" s="127"/>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row>
    <row r="69" spans="1:33" ht="16.5" customHeight="1" outlineLevel="1">
      <c r="A69" s="127"/>
      <c r="B69" s="683" t="str">
        <f>Inputs!$B$126</f>
        <v>4.</v>
      </c>
      <c r="C69" s="986" t="str">
        <f>Inputs!$C$126</f>
        <v>General and Administration Staff</v>
      </c>
      <c r="D69" s="270"/>
      <c r="E69" s="127"/>
      <c r="F69" s="127"/>
      <c r="G69" s="127"/>
      <c r="H69" s="127"/>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row>
    <row r="70" spans="1:33" ht="16.5" customHeight="1" outlineLevel="1">
      <c r="A70" s="127"/>
      <c r="B70" s="127"/>
      <c r="C70" s="40" t="str">
        <f t="shared" ref="C70:C77" si="14">C33</f>
        <v>Fill in name or positon here</v>
      </c>
      <c r="D70" s="8" t="str">
        <f t="shared" ref="D70:D78" si="15">Currency_Label</f>
        <v>USD</v>
      </c>
      <c r="E70" s="127"/>
      <c r="F70" s="127"/>
      <c r="G70" s="127"/>
      <c r="H70" s="127"/>
      <c r="I70" s="236">
        <f t="shared" ref="I70:I78" si="16">SUM(J70:AG70)</f>
        <v>143850</v>
      </c>
      <c r="J70" s="982">
        <f>J33*LOOKUP(J$8,Inputs!$G$109:$K$109,Inputs!$G127:$K127)/months_yr*J$6</f>
        <v>2916.6666666666665</v>
      </c>
      <c r="K70" s="982">
        <f>K33*LOOKUP(K$8,Inputs!$G$109:$K$109,Inputs!$G127:$K127)/months_yr*K$6</f>
        <v>2916.6666666666665</v>
      </c>
      <c r="L70" s="982">
        <f>L33*LOOKUP(L$8,Inputs!$G$109:$K$109,Inputs!$G127:$K127)/months_yr*L$6</f>
        <v>2916.6666666666665</v>
      </c>
      <c r="M70" s="982">
        <f>M33*LOOKUP(M$8,Inputs!$G$109:$K$109,Inputs!$G127:$K127)/months_yr*M$6</f>
        <v>2916.6666666666665</v>
      </c>
      <c r="N70" s="982">
        <f>N33*LOOKUP(N$8,Inputs!$G$109:$K$109,Inputs!$G127:$K127)/months_yr*N$6</f>
        <v>2916.6666666666665</v>
      </c>
      <c r="O70" s="982">
        <f>O33*LOOKUP(O$8,Inputs!$G$109:$K$109,Inputs!$G127:$K127)/months_yr*O$6</f>
        <v>5833.333333333333</v>
      </c>
      <c r="P70" s="982">
        <f>P33*LOOKUP(P$8,Inputs!$G$109:$K$109,Inputs!$G127:$K127)/months_yr*P$6</f>
        <v>5833.333333333333</v>
      </c>
      <c r="Q70" s="982">
        <f>Q33*LOOKUP(Q$8,Inputs!$G$109:$K$109,Inputs!$G127:$K127)/months_yr*Q$6</f>
        <v>5833.333333333333</v>
      </c>
      <c r="R70" s="982">
        <f>R33*LOOKUP(R$8,Inputs!$G$109:$K$109,Inputs!$G127:$K127)/months_yr*R$6</f>
        <v>5833.333333333333</v>
      </c>
      <c r="S70" s="982">
        <f>S33*LOOKUP(S$8,Inputs!$G$109:$K$109,Inputs!$G127:$K127)/months_yr*S$6</f>
        <v>5833.333333333333</v>
      </c>
      <c r="T70" s="982">
        <f>T33*LOOKUP(T$8,Inputs!$G$109:$K$109,Inputs!$G127:$K127)/months_yr*T$6</f>
        <v>5833.333333333333</v>
      </c>
      <c r="U70" s="982">
        <f>U33*LOOKUP(U$8,Inputs!$G$109:$K$109,Inputs!$G127:$K127)/months_yr*U$6</f>
        <v>5891.666666666667</v>
      </c>
      <c r="V70" s="982">
        <f>V33*LOOKUP(V$8,Inputs!$G$109:$K$109,Inputs!$G127:$K127)/months_yr*V$6</f>
        <v>5891.666666666667</v>
      </c>
      <c r="W70" s="982">
        <f>W33*LOOKUP(W$8,Inputs!$G$109:$K$109,Inputs!$G127:$K127)/months_yr*W$6</f>
        <v>8837.5</v>
      </c>
      <c r="X70" s="982">
        <f>X33*LOOKUP(X$8,Inputs!$G$109:$K$109,Inputs!$G127:$K127)/months_yr*X$6</f>
        <v>8837.5</v>
      </c>
      <c r="Y70" s="982">
        <f>Y33*LOOKUP(Y$8,Inputs!$G$109:$K$109,Inputs!$G127:$K127)/months_yr*Y$6</f>
        <v>8837.5</v>
      </c>
      <c r="Z70" s="982">
        <f>Z33*LOOKUP(Z$8,Inputs!$G$109:$K$109,Inputs!$G127:$K127)/months_yr*Z$6</f>
        <v>8837.5</v>
      </c>
      <c r="AA70" s="982">
        <f>AA33*LOOKUP(AA$8,Inputs!$G$109:$K$109,Inputs!$G127:$K127)/months_yr*AA$6</f>
        <v>8837.5</v>
      </c>
      <c r="AB70" s="982">
        <f>AB33*LOOKUP(AB$8,Inputs!$G$109:$K$109,Inputs!$G127:$K127)/months_yr*AB$6</f>
        <v>8837.5</v>
      </c>
      <c r="AC70" s="982">
        <f>AC33*LOOKUP(AC$8,Inputs!$G$109:$K$109,Inputs!$G127:$K127)/months_yr*AC$6</f>
        <v>8837.5</v>
      </c>
      <c r="AD70" s="982">
        <f>AD33*LOOKUP(AD$8,Inputs!$G$109:$K$109,Inputs!$G127:$K127)/months_yr*AD$6</f>
        <v>8837.5</v>
      </c>
      <c r="AE70" s="982">
        <f>AE33*LOOKUP(AE$8,Inputs!$G$109:$K$109,Inputs!$G127:$K127)/months_yr*AE$6</f>
        <v>11783.333333333334</v>
      </c>
      <c r="AF70" s="982">
        <f>AF33*LOOKUP(AF$8,Inputs!$G$109:$K$109,Inputs!$G127:$K127)/months_yr*AF$6</f>
        <v>0</v>
      </c>
      <c r="AG70" s="982">
        <f>AG33*LOOKUP(AG$8,Inputs!$G$109:$K$109,Inputs!$G127:$K127)/months_yr*AG$6</f>
        <v>0</v>
      </c>
    </row>
    <row r="71" spans="1:33" ht="16.5" customHeight="1" outlineLevel="1">
      <c r="A71" s="127"/>
      <c r="B71" s="127"/>
      <c r="C71" s="40" t="str">
        <f t="shared" si="14"/>
        <v>Fill in name or positon here</v>
      </c>
      <c r="D71" s="8" t="str">
        <f t="shared" si="15"/>
        <v>USD</v>
      </c>
      <c r="E71" s="127"/>
      <c r="F71" s="127"/>
      <c r="G71" s="127"/>
      <c r="H71" s="127"/>
      <c r="I71" s="236">
        <f t="shared" si="16"/>
        <v>0</v>
      </c>
      <c r="J71" s="982">
        <f>J34*LOOKUP(J$8,Inputs!$G$109:$K$109,Inputs!$G128:$K128)/months_yr*J$6</f>
        <v>0</v>
      </c>
      <c r="K71" s="982">
        <f>K34*LOOKUP(K$8,Inputs!$G$109:$K$109,Inputs!$G128:$K128)/months_yr*K$6</f>
        <v>0</v>
      </c>
      <c r="L71" s="982">
        <f>L34*LOOKUP(L$8,Inputs!$G$109:$K$109,Inputs!$G128:$K128)/months_yr*L$6</f>
        <v>0</v>
      </c>
      <c r="M71" s="982">
        <f>M34*LOOKUP(M$8,Inputs!$G$109:$K$109,Inputs!$G128:$K128)/months_yr*M$6</f>
        <v>0</v>
      </c>
      <c r="N71" s="982">
        <f>N34*LOOKUP(N$8,Inputs!$G$109:$K$109,Inputs!$G128:$K128)/months_yr*N$6</f>
        <v>0</v>
      </c>
      <c r="O71" s="982">
        <f>O34*LOOKUP(O$8,Inputs!$G$109:$K$109,Inputs!$G128:$K128)/months_yr*O$6</f>
        <v>0</v>
      </c>
      <c r="P71" s="982">
        <f>P34*LOOKUP(P$8,Inputs!$G$109:$K$109,Inputs!$G128:$K128)/months_yr*P$6</f>
        <v>0</v>
      </c>
      <c r="Q71" s="982">
        <f>Q34*LOOKUP(Q$8,Inputs!$G$109:$K$109,Inputs!$G128:$K128)/months_yr*Q$6</f>
        <v>0</v>
      </c>
      <c r="R71" s="982">
        <f>R34*LOOKUP(R$8,Inputs!$G$109:$K$109,Inputs!$G128:$K128)/months_yr*R$6</f>
        <v>0</v>
      </c>
      <c r="S71" s="982">
        <f>S34*LOOKUP(S$8,Inputs!$G$109:$K$109,Inputs!$G128:$K128)/months_yr*S$6</f>
        <v>0</v>
      </c>
      <c r="T71" s="982">
        <f>T34*LOOKUP(T$8,Inputs!$G$109:$K$109,Inputs!$G128:$K128)/months_yr*T$6</f>
        <v>0</v>
      </c>
      <c r="U71" s="982">
        <f>U34*LOOKUP(U$8,Inputs!$G$109:$K$109,Inputs!$G128:$K128)/months_yr*U$6</f>
        <v>0</v>
      </c>
      <c r="V71" s="982">
        <f>V34*LOOKUP(V$8,Inputs!$G$109:$K$109,Inputs!$G128:$K128)/months_yr*V$6</f>
        <v>0</v>
      </c>
      <c r="W71" s="982">
        <f>W34*LOOKUP(W$8,Inputs!$G$109:$K$109,Inputs!$G128:$K128)/months_yr*W$6</f>
        <v>0</v>
      </c>
      <c r="X71" s="982">
        <f>X34*LOOKUP(X$8,Inputs!$G$109:$K$109,Inputs!$G128:$K128)/months_yr*X$6</f>
        <v>0</v>
      </c>
      <c r="Y71" s="982">
        <f>Y34*LOOKUP(Y$8,Inputs!$G$109:$K$109,Inputs!$G128:$K128)/months_yr*Y$6</f>
        <v>0</v>
      </c>
      <c r="Z71" s="982">
        <f>Z34*LOOKUP(Z$8,Inputs!$G$109:$K$109,Inputs!$G128:$K128)/months_yr*Z$6</f>
        <v>0</v>
      </c>
      <c r="AA71" s="982">
        <f>AA34*LOOKUP(AA$8,Inputs!$G$109:$K$109,Inputs!$G128:$K128)/months_yr*AA$6</f>
        <v>0</v>
      </c>
      <c r="AB71" s="982">
        <f>AB34*LOOKUP(AB$8,Inputs!$G$109:$K$109,Inputs!$G128:$K128)/months_yr*AB$6</f>
        <v>0</v>
      </c>
      <c r="AC71" s="982">
        <f>AC34*LOOKUP(AC$8,Inputs!$G$109:$K$109,Inputs!$G128:$K128)/months_yr*AC$6</f>
        <v>0</v>
      </c>
      <c r="AD71" s="982">
        <f>AD34*LOOKUP(AD$8,Inputs!$G$109:$K$109,Inputs!$G128:$K128)/months_yr*AD$6</f>
        <v>0</v>
      </c>
      <c r="AE71" s="982">
        <f>AE34*LOOKUP(AE$8,Inputs!$G$109:$K$109,Inputs!$G128:$K128)/months_yr*AE$6</f>
        <v>0</v>
      </c>
      <c r="AF71" s="982">
        <f>AF34*LOOKUP(AF$8,Inputs!$G$109:$K$109,Inputs!$G128:$K128)/months_yr*AF$6</f>
        <v>0</v>
      </c>
      <c r="AG71" s="982">
        <f>AG34*LOOKUP(AG$8,Inputs!$G$109:$K$109,Inputs!$G128:$K128)/months_yr*AG$6</f>
        <v>0</v>
      </c>
    </row>
    <row r="72" spans="1:33" s="199" customFormat="1" ht="16.5" customHeight="1" outlineLevel="1">
      <c r="A72" s="127"/>
      <c r="B72" s="127"/>
      <c r="C72" s="40" t="str">
        <f t="shared" si="14"/>
        <v>Fill in name or positon here</v>
      </c>
      <c r="D72" s="8" t="str">
        <f t="shared" si="15"/>
        <v>USD</v>
      </c>
      <c r="E72" s="127"/>
      <c r="F72" s="127"/>
      <c r="G72" s="127"/>
      <c r="H72" s="127"/>
      <c r="I72" s="236">
        <f t="shared" si="16"/>
        <v>0</v>
      </c>
      <c r="J72" s="982">
        <f>J35*LOOKUP(J$8,Inputs!$G$109:$K$109,Inputs!$G129:$K129)/months_yr*J$6</f>
        <v>0</v>
      </c>
      <c r="K72" s="982">
        <f>K35*LOOKUP(K$8,Inputs!$G$109:$K$109,Inputs!$G129:$K129)/months_yr*K$6</f>
        <v>0</v>
      </c>
      <c r="L72" s="982">
        <f>L35*LOOKUP(L$8,Inputs!$G$109:$K$109,Inputs!$G129:$K129)/months_yr*L$6</f>
        <v>0</v>
      </c>
      <c r="M72" s="982">
        <f>M35*LOOKUP(M$8,Inputs!$G$109:$K$109,Inputs!$G129:$K129)/months_yr*M$6</f>
        <v>0</v>
      </c>
      <c r="N72" s="982">
        <f>N35*LOOKUP(N$8,Inputs!$G$109:$K$109,Inputs!$G129:$K129)/months_yr*N$6</f>
        <v>0</v>
      </c>
      <c r="O72" s="982">
        <f>O35*LOOKUP(O$8,Inputs!$G$109:$K$109,Inputs!$G129:$K129)/months_yr*O$6</f>
        <v>0</v>
      </c>
      <c r="P72" s="982">
        <f>P35*LOOKUP(P$8,Inputs!$G$109:$K$109,Inputs!$G129:$K129)/months_yr*P$6</f>
        <v>0</v>
      </c>
      <c r="Q72" s="982">
        <f>Q35*LOOKUP(Q$8,Inputs!$G$109:$K$109,Inputs!$G129:$K129)/months_yr*Q$6</f>
        <v>0</v>
      </c>
      <c r="R72" s="982">
        <f>R35*LOOKUP(R$8,Inputs!$G$109:$K$109,Inputs!$G129:$K129)/months_yr*R$6</f>
        <v>0</v>
      </c>
      <c r="S72" s="982">
        <f>S35*LOOKUP(S$8,Inputs!$G$109:$K$109,Inputs!$G129:$K129)/months_yr*S$6</f>
        <v>0</v>
      </c>
      <c r="T72" s="982">
        <f>T35*LOOKUP(T$8,Inputs!$G$109:$K$109,Inputs!$G129:$K129)/months_yr*T$6</f>
        <v>0</v>
      </c>
      <c r="U72" s="982">
        <f>U35*LOOKUP(U$8,Inputs!$G$109:$K$109,Inputs!$G129:$K129)/months_yr*U$6</f>
        <v>0</v>
      </c>
      <c r="V72" s="982">
        <f>V35*LOOKUP(V$8,Inputs!$G$109:$K$109,Inputs!$G129:$K129)/months_yr*V$6</f>
        <v>0</v>
      </c>
      <c r="W72" s="982">
        <f>W35*LOOKUP(W$8,Inputs!$G$109:$K$109,Inputs!$G129:$K129)/months_yr*W$6</f>
        <v>0</v>
      </c>
      <c r="X72" s="982">
        <f>X35*LOOKUP(X$8,Inputs!$G$109:$K$109,Inputs!$G129:$K129)/months_yr*X$6</f>
        <v>0</v>
      </c>
      <c r="Y72" s="982">
        <f>Y35*LOOKUP(Y$8,Inputs!$G$109:$K$109,Inputs!$G129:$K129)/months_yr*Y$6</f>
        <v>0</v>
      </c>
      <c r="Z72" s="982">
        <f>Z35*LOOKUP(Z$8,Inputs!$G$109:$K$109,Inputs!$G129:$K129)/months_yr*Z$6</f>
        <v>0</v>
      </c>
      <c r="AA72" s="982">
        <f>AA35*LOOKUP(AA$8,Inputs!$G$109:$K$109,Inputs!$G129:$K129)/months_yr*AA$6</f>
        <v>0</v>
      </c>
      <c r="AB72" s="982">
        <f>AB35*LOOKUP(AB$8,Inputs!$G$109:$K$109,Inputs!$G129:$K129)/months_yr*AB$6</f>
        <v>0</v>
      </c>
      <c r="AC72" s="982">
        <f>AC35*LOOKUP(AC$8,Inputs!$G$109:$K$109,Inputs!$G129:$K129)/months_yr*AC$6</f>
        <v>0</v>
      </c>
      <c r="AD72" s="982">
        <f>AD35*LOOKUP(AD$8,Inputs!$G$109:$K$109,Inputs!$G129:$K129)/months_yr*AD$6</f>
        <v>0</v>
      </c>
      <c r="AE72" s="982">
        <f>AE35*LOOKUP(AE$8,Inputs!$G$109:$K$109,Inputs!$G129:$K129)/months_yr*AE$6</f>
        <v>0</v>
      </c>
      <c r="AF72" s="982">
        <f>AF35*LOOKUP(AF$8,Inputs!$G$109:$K$109,Inputs!$G129:$K129)/months_yr*AF$6</f>
        <v>0</v>
      </c>
      <c r="AG72" s="982">
        <f>AG35*LOOKUP(AG$8,Inputs!$G$109:$K$109,Inputs!$G129:$K129)/months_yr*AG$6</f>
        <v>0</v>
      </c>
    </row>
    <row r="73" spans="1:33" s="878" customFormat="1" ht="16.5" customHeight="1" outlineLevel="1">
      <c r="A73" s="127"/>
      <c r="B73" s="127"/>
      <c r="C73" s="40" t="str">
        <f t="shared" si="14"/>
        <v>Fill in name or positon here</v>
      </c>
      <c r="D73" s="8" t="str">
        <f t="shared" si="15"/>
        <v>USD</v>
      </c>
      <c r="E73" s="127"/>
      <c r="F73" s="127"/>
      <c r="G73" s="127"/>
      <c r="H73" s="127"/>
      <c r="I73" s="236">
        <f t="shared" si="16"/>
        <v>0</v>
      </c>
      <c r="J73" s="982">
        <f>J36*LOOKUP(J$8,Inputs!$G$109:$K$109,Inputs!$G130:$K130)/months_yr*J$6</f>
        <v>0</v>
      </c>
      <c r="K73" s="982">
        <f>K36*LOOKUP(K$8,Inputs!$G$109:$K$109,Inputs!$G130:$K130)/months_yr*K$6</f>
        <v>0</v>
      </c>
      <c r="L73" s="982">
        <f>L36*LOOKUP(L$8,Inputs!$G$109:$K$109,Inputs!$G130:$K130)/months_yr*L$6</f>
        <v>0</v>
      </c>
      <c r="M73" s="982">
        <f>M36*LOOKUP(M$8,Inputs!$G$109:$K$109,Inputs!$G130:$K130)/months_yr*M$6</f>
        <v>0</v>
      </c>
      <c r="N73" s="982">
        <f>N36*LOOKUP(N$8,Inputs!$G$109:$K$109,Inputs!$G130:$K130)/months_yr*N$6</f>
        <v>0</v>
      </c>
      <c r="O73" s="982">
        <f>O36*LOOKUP(O$8,Inputs!$G$109:$K$109,Inputs!$G130:$K130)/months_yr*O$6</f>
        <v>0</v>
      </c>
      <c r="P73" s="982">
        <f>P36*LOOKUP(P$8,Inputs!$G$109:$K$109,Inputs!$G130:$K130)/months_yr*P$6</f>
        <v>0</v>
      </c>
      <c r="Q73" s="982">
        <f>Q36*LOOKUP(Q$8,Inputs!$G$109:$K$109,Inputs!$G130:$K130)/months_yr*Q$6</f>
        <v>0</v>
      </c>
      <c r="R73" s="982">
        <f>R36*LOOKUP(R$8,Inputs!$G$109:$K$109,Inputs!$G130:$K130)/months_yr*R$6</f>
        <v>0</v>
      </c>
      <c r="S73" s="982">
        <f>S36*LOOKUP(S$8,Inputs!$G$109:$K$109,Inputs!$G130:$K130)/months_yr*S$6</f>
        <v>0</v>
      </c>
      <c r="T73" s="982">
        <f>T36*LOOKUP(T$8,Inputs!$G$109:$K$109,Inputs!$G130:$K130)/months_yr*T$6</f>
        <v>0</v>
      </c>
      <c r="U73" s="982">
        <f>U36*LOOKUP(U$8,Inputs!$G$109:$K$109,Inputs!$G130:$K130)/months_yr*U$6</f>
        <v>0</v>
      </c>
      <c r="V73" s="982">
        <f>V36*LOOKUP(V$8,Inputs!$G$109:$K$109,Inputs!$G130:$K130)/months_yr*V$6</f>
        <v>0</v>
      </c>
      <c r="W73" s="982">
        <f>W36*LOOKUP(W$8,Inputs!$G$109:$K$109,Inputs!$G130:$K130)/months_yr*W$6</f>
        <v>0</v>
      </c>
      <c r="X73" s="982">
        <f>X36*LOOKUP(X$8,Inputs!$G$109:$K$109,Inputs!$G130:$K130)/months_yr*X$6</f>
        <v>0</v>
      </c>
      <c r="Y73" s="982">
        <f>Y36*LOOKUP(Y$8,Inputs!$G$109:$K$109,Inputs!$G130:$K130)/months_yr*Y$6</f>
        <v>0</v>
      </c>
      <c r="Z73" s="982">
        <f>Z36*LOOKUP(Z$8,Inputs!$G$109:$K$109,Inputs!$G130:$K130)/months_yr*Z$6</f>
        <v>0</v>
      </c>
      <c r="AA73" s="982">
        <f>AA36*LOOKUP(AA$8,Inputs!$G$109:$K$109,Inputs!$G130:$K130)/months_yr*AA$6</f>
        <v>0</v>
      </c>
      <c r="AB73" s="982">
        <f>AB36*LOOKUP(AB$8,Inputs!$G$109:$K$109,Inputs!$G130:$K130)/months_yr*AB$6</f>
        <v>0</v>
      </c>
      <c r="AC73" s="982">
        <f>AC36*LOOKUP(AC$8,Inputs!$G$109:$K$109,Inputs!$G130:$K130)/months_yr*AC$6</f>
        <v>0</v>
      </c>
      <c r="AD73" s="982">
        <f>AD36*LOOKUP(AD$8,Inputs!$G$109:$K$109,Inputs!$G130:$K130)/months_yr*AD$6</f>
        <v>0</v>
      </c>
      <c r="AE73" s="982">
        <f>AE36*LOOKUP(AE$8,Inputs!$G$109:$K$109,Inputs!$G130:$K130)/months_yr*AE$6</f>
        <v>0</v>
      </c>
      <c r="AF73" s="982">
        <f>AF36*LOOKUP(AF$8,Inputs!$G$109:$K$109,Inputs!$G130:$K130)/months_yr*AF$6</f>
        <v>0</v>
      </c>
      <c r="AG73" s="982">
        <f>AG36*LOOKUP(AG$8,Inputs!$G$109:$K$109,Inputs!$G130:$K130)/months_yr*AG$6</f>
        <v>0</v>
      </c>
    </row>
    <row r="74" spans="1:33" s="878" customFormat="1" ht="16.5" customHeight="1" outlineLevel="1">
      <c r="A74" s="127"/>
      <c r="B74" s="127"/>
      <c r="C74" s="40" t="str">
        <f t="shared" si="14"/>
        <v>Fill in name or positon here</v>
      </c>
      <c r="D74" s="8" t="str">
        <f t="shared" si="15"/>
        <v>USD</v>
      </c>
      <c r="E74" s="127"/>
      <c r="F74" s="127"/>
      <c r="G74" s="127"/>
      <c r="H74" s="127"/>
      <c r="I74" s="236">
        <f t="shared" si="16"/>
        <v>0</v>
      </c>
      <c r="J74" s="982">
        <f>J37*LOOKUP(J$8,Inputs!$G$109:$K$109,Inputs!$G131:$K131)/months_yr*J$6</f>
        <v>0</v>
      </c>
      <c r="K74" s="982">
        <f>K37*LOOKUP(K$8,Inputs!$G$109:$K$109,Inputs!$G131:$K131)/months_yr*K$6</f>
        <v>0</v>
      </c>
      <c r="L74" s="982">
        <f>L37*LOOKUP(L$8,Inputs!$G$109:$K$109,Inputs!$G131:$K131)/months_yr*L$6</f>
        <v>0</v>
      </c>
      <c r="M74" s="982">
        <f>M37*LOOKUP(M$8,Inputs!$G$109:$K$109,Inputs!$G131:$K131)/months_yr*M$6</f>
        <v>0</v>
      </c>
      <c r="N74" s="982">
        <f>N37*LOOKUP(N$8,Inputs!$G$109:$K$109,Inputs!$G131:$K131)/months_yr*N$6</f>
        <v>0</v>
      </c>
      <c r="O74" s="982">
        <f>O37*LOOKUP(O$8,Inputs!$G$109:$K$109,Inputs!$G131:$K131)/months_yr*O$6</f>
        <v>0</v>
      </c>
      <c r="P74" s="982">
        <f>P37*LOOKUP(P$8,Inputs!$G$109:$K$109,Inputs!$G131:$K131)/months_yr*P$6</f>
        <v>0</v>
      </c>
      <c r="Q74" s="982">
        <f>Q37*LOOKUP(Q$8,Inputs!$G$109:$K$109,Inputs!$G131:$K131)/months_yr*Q$6</f>
        <v>0</v>
      </c>
      <c r="R74" s="982">
        <f>R37*LOOKUP(R$8,Inputs!$G$109:$K$109,Inputs!$G131:$K131)/months_yr*R$6</f>
        <v>0</v>
      </c>
      <c r="S74" s="982">
        <f>S37*LOOKUP(S$8,Inputs!$G$109:$K$109,Inputs!$G131:$K131)/months_yr*S$6</f>
        <v>0</v>
      </c>
      <c r="T74" s="982">
        <f>T37*LOOKUP(T$8,Inputs!$G$109:$K$109,Inputs!$G131:$K131)/months_yr*T$6</f>
        <v>0</v>
      </c>
      <c r="U74" s="982">
        <f>U37*LOOKUP(U$8,Inputs!$G$109:$K$109,Inputs!$G131:$K131)/months_yr*U$6</f>
        <v>0</v>
      </c>
      <c r="V74" s="982">
        <f>V37*LOOKUP(V$8,Inputs!$G$109:$K$109,Inputs!$G131:$K131)/months_yr*V$6</f>
        <v>0</v>
      </c>
      <c r="W74" s="982">
        <f>W37*LOOKUP(W$8,Inputs!$G$109:$K$109,Inputs!$G131:$K131)/months_yr*W$6</f>
        <v>0</v>
      </c>
      <c r="X74" s="982">
        <f>X37*LOOKUP(X$8,Inputs!$G$109:$K$109,Inputs!$G131:$K131)/months_yr*X$6</f>
        <v>0</v>
      </c>
      <c r="Y74" s="982">
        <f>Y37*LOOKUP(Y$8,Inputs!$G$109:$K$109,Inputs!$G131:$K131)/months_yr*Y$6</f>
        <v>0</v>
      </c>
      <c r="Z74" s="982">
        <f>Z37*LOOKUP(Z$8,Inputs!$G$109:$K$109,Inputs!$G131:$K131)/months_yr*Z$6</f>
        <v>0</v>
      </c>
      <c r="AA74" s="982">
        <f>AA37*LOOKUP(AA$8,Inputs!$G$109:$K$109,Inputs!$G131:$K131)/months_yr*AA$6</f>
        <v>0</v>
      </c>
      <c r="AB74" s="982">
        <f>AB37*LOOKUP(AB$8,Inputs!$G$109:$K$109,Inputs!$G131:$K131)/months_yr*AB$6</f>
        <v>0</v>
      </c>
      <c r="AC74" s="982">
        <f>AC37*LOOKUP(AC$8,Inputs!$G$109:$K$109,Inputs!$G131:$K131)/months_yr*AC$6</f>
        <v>0</v>
      </c>
      <c r="AD74" s="982">
        <f>AD37*LOOKUP(AD$8,Inputs!$G$109:$K$109,Inputs!$G131:$K131)/months_yr*AD$6</f>
        <v>0</v>
      </c>
      <c r="AE74" s="982">
        <f>AE37*LOOKUP(AE$8,Inputs!$G$109:$K$109,Inputs!$G131:$K131)/months_yr*AE$6</f>
        <v>0</v>
      </c>
      <c r="AF74" s="982">
        <f>AF37*LOOKUP(AF$8,Inputs!$G$109:$K$109,Inputs!$G131:$K131)/months_yr*AF$6</f>
        <v>0</v>
      </c>
      <c r="AG74" s="982">
        <f>AG37*LOOKUP(AG$8,Inputs!$G$109:$K$109,Inputs!$G131:$K131)/months_yr*AG$6</f>
        <v>0</v>
      </c>
    </row>
    <row r="75" spans="1:33" s="878" customFormat="1" ht="16.5" customHeight="1" outlineLevel="1">
      <c r="A75" s="127"/>
      <c r="B75" s="127"/>
      <c r="C75" s="40" t="str">
        <f t="shared" si="14"/>
        <v>Fill in name or positon here</v>
      </c>
      <c r="D75" s="8" t="str">
        <f t="shared" si="15"/>
        <v>USD</v>
      </c>
      <c r="E75" s="127"/>
      <c r="F75" s="127"/>
      <c r="G75" s="127"/>
      <c r="H75" s="127"/>
      <c r="I75" s="236">
        <f t="shared" si="16"/>
        <v>0</v>
      </c>
      <c r="J75" s="982">
        <f>J38*LOOKUP(J$8,Inputs!$G$109:$K$109,Inputs!$G132:$K132)/months_yr*J$6</f>
        <v>0</v>
      </c>
      <c r="K75" s="982">
        <f>K38*LOOKUP(K$8,Inputs!$G$109:$K$109,Inputs!$G132:$K132)/months_yr*K$6</f>
        <v>0</v>
      </c>
      <c r="L75" s="982">
        <f>L38*LOOKUP(L$8,Inputs!$G$109:$K$109,Inputs!$G132:$K132)/months_yr*L$6</f>
        <v>0</v>
      </c>
      <c r="M75" s="982">
        <f>M38*LOOKUP(M$8,Inputs!$G$109:$K$109,Inputs!$G132:$K132)/months_yr*M$6</f>
        <v>0</v>
      </c>
      <c r="N75" s="982">
        <f>N38*LOOKUP(N$8,Inputs!$G$109:$K$109,Inputs!$G132:$K132)/months_yr*N$6</f>
        <v>0</v>
      </c>
      <c r="O75" s="982">
        <f>O38*LOOKUP(O$8,Inputs!$G$109:$K$109,Inputs!$G132:$K132)/months_yr*O$6</f>
        <v>0</v>
      </c>
      <c r="P75" s="982">
        <f>P38*LOOKUP(P$8,Inputs!$G$109:$K$109,Inputs!$G132:$K132)/months_yr*P$6</f>
        <v>0</v>
      </c>
      <c r="Q75" s="982">
        <f>Q38*LOOKUP(Q$8,Inputs!$G$109:$K$109,Inputs!$G132:$K132)/months_yr*Q$6</f>
        <v>0</v>
      </c>
      <c r="R75" s="982">
        <f>R38*LOOKUP(R$8,Inputs!$G$109:$K$109,Inputs!$G132:$K132)/months_yr*R$6</f>
        <v>0</v>
      </c>
      <c r="S75" s="982">
        <f>S38*LOOKUP(S$8,Inputs!$G$109:$K$109,Inputs!$G132:$K132)/months_yr*S$6</f>
        <v>0</v>
      </c>
      <c r="T75" s="982">
        <f>T38*LOOKUP(T$8,Inputs!$G$109:$K$109,Inputs!$G132:$K132)/months_yr*T$6</f>
        <v>0</v>
      </c>
      <c r="U75" s="982">
        <f>U38*LOOKUP(U$8,Inputs!$G$109:$K$109,Inputs!$G132:$K132)/months_yr*U$6</f>
        <v>0</v>
      </c>
      <c r="V75" s="982">
        <f>V38*LOOKUP(V$8,Inputs!$G$109:$K$109,Inputs!$G132:$K132)/months_yr*V$6</f>
        <v>0</v>
      </c>
      <c r="W75" s="982">
        <f>W38*LOOKUP(W$8,Inputs!$G$109:$K$109,Inputs!$G132:$K132)/months_yr*W$6</f>
        <v>0</v>
      </c>
      <c r="X75" s="982">
        <f>X38*LOOKUP(X$8,Inputs!$G$109:$K$109,Inputs!$G132:$K132)/months_yr*X$6</f>
        <v>0</v>
      </c>
      <c r="Y75" s="982">
        <f>Y38*LOOKUP(Y$8,Inputs!$G$109:$K$109,Inputs!$G132:$K132)/months_yr*Y$6</f>
        <v>0</v>
      </c>
      <c r="Z75" s="982">
        <f>Z38*LOOKUP(Z$8,Inputs!$G$109:$K$109,Inputs!$G132:$K132)/months_yr*Z$6</f>
        <v>0</v>
      </c>
      <c r="AA75" s="982">
        <f>AA38*LOOKUP(AA$8,Inputs!$G$109:$K$109,Inputs!$G132:$K132)/months_yr*AA$6</f>
        <v>0</v>
      </c>
      <c r="AB75" s="982">
        <f>AB38*LOOKUP(AB$8,Inputs!$G$109:$K$109,Inputs!$G132:$K132)/months_yr*AB$6</f>
        <v>0</v>
      </c>
      <c r="AC75" s="982">
        <f>AC38*LOOKUP(AC$8,Inputs!$G$109:$K$109,Inputs!$G132:$K132)/months_yr*AC$6</f>
        <v>0</v>
      </c>
      <c r="AD75" s="982">
        <f>AD38*LOOKUP(AD$8,Inputs!$G$109:$K$109,Inputs!$G132:$K132)/months_yr*AD$6</f>
        <v>0</v>
      </c>
      <c r="AE75" s="982">
        <f>AE38*LOOKUP(AE$8,Inputs!$G$109:$K$109,Inputs!$G132:$K132)/months_yr*AE$6</f>
        <v>0</v>
      </c>
      <c r="AF75" s="982">
        <f>AF38*LOOKUP(AF$8,Inputs!$G$109:$K$109,Inputs!$G132:$K132)/months_yr*AF$6</f>
        <v>0</v>
      </c>
      <c r="AG75" s="982">
        <f>AG38*LOOKUP(AG$8,Inputs!$G$109:$K$109,Inputs!$G132:$K132)/months_yr*AG$6</f>
        <v>0</v>
      </c>
    </row>
    <row r="76" spans="1:33" s="878" customFormat="1" ht="16.5" customHeight="1" outlineLevel="1">
      <c r="A76" s="127"/>
      <c r="B76" s="127"/>
      <c r="C76" s="40" t="str">
        <f t="shared" si="14"/>
        <v>Fill in name or positon here</v>
      </c>
      <c r="D76" s="8" t="str">
        <f t="shared" si="15"/>
        <v>USD</v>
      </c>
      <c r="E76" s="127"/>
      <c r="F76" s="127"/>
      <c r="G76" s="127"/>
      <c r="H76" s="127"/>
      <c r="I76" s="236">
        <f t="shared" si="16"/>
        <v>0</v>
      </c>
      <c r="J76" s="982">
        <f>J39*LOOKUP(J$8,Inputs!$G$109:$K$109,Inputs!$G133:$K133)/months_yr*J$6</f>
        <v>0</v>
      </c>
      <c r="K76" s="982">
        <f>K39*LOOKUP(K$8,Inputs!$G$109:$K$109,Inputs!$G133:$K133)/months_yr*K$6</f>
        <v>0</v>
      </c>
      <c r="L76" s="982">
        <f>L39*LOOKUP(L$8,Inputs!$G$109:$K$109,Inputs!$G133:$K133)/months_yr*L$6</f>
        <v>0</v>
      </c>
      <c r="M76" s="982">
        <f>M39*LOOKUP(M$8,Inputs!$G$109:$K$109,Inputs!$G133:$K133)/months_yr*M$6</f>
        <v>0</v>
      </c>
      <c r="N76" s="982">
        <f>N39*LOOKUP(N$8,Inputs!$G$109:$K$109,Inputs!$G133:$K133)/months_yr*N$6</f>
        <v>0</v>
      </c>
      <c r="O76" s="982">
        <f>O39*LOOKUP(O$8,Inputs!$G$109:$K$109,Inputs!$G133:$K133)/months_yr*O$6</f>
        <v>0</v>
      </c>
      <c r="P76" s="982">
        <f>P39*LOOKUP(P$8,Inputs!$G$109:$K$109,Inputs!$G133:$K133)/months_yr*P$6</f>
        <v>0</v>
      </c>
      <c r="Q76" s="982">
        <f>Q39*LOOKUP(Q$8,Inputs!$G$109:$K$109,Inputs!$G133:$K133)/months_yr*Q$6</f>
        <v>0</v>
      </c>
      <c r="R76" s="982">
        <f>R39*LOOKUP(R$8,Inputs!$G$109:$K$109,Inputs!$G133:$K133)/months_yr*R$6</f>
        <v>0</v>
      </c>
      <c r="S76" s="982">
        <f>S39*LOOKUP(S$8,Inputs!$G$109:$K$109,Inputs!$G133:$K133)/months_yr*S$6</f>
        <v>0</v>
      </c>
      <c r="T76" s="982">
        <f>T39*LOOKUP(T$8,Inputs!$G$109:$K$109,Inputs!$G133:$K133)/months_yr*T$6</f>
        <v>0</v>
      </c>
      <c r="U76" s="982">
        <f>U39*LOOKUP(U$8,Inputs!$G$109:$K$109,Inputs!$G133:$K133)/months_yr*U$6</f>
        <v>0</v>
      </c>
      <c r="V76" s="982">
        <f>V39*LOOKUP(V$8,Inputs!$G$109:$K$109,Inputs!$G133:$K133)/months_yr*V$6</f>
        <v>0</v>
      </c>
      <c r="W76" s="982">
        <f>W39*LOOKUP(W$8,Inputs!$G$109:$K$109,Inputs!$G133:$K133)/months_yr*W$6</f>
        <v>0</v>
      </c>
      <c r="X76" s="982">
        <f>X39*LOOKUP(X$8,Inputs!$G$109:$K$109,Inputs!$G133:$K133)/months_yr*X$6</f>
        <v>0</v>
      </c>
      <c r="Y76" s="982">
        <f>Y39*LOOKUP(Y$8,Inputs!$G$109:$K$109,Inputs!$G133:$K133)/months_yr*Y$6</f>
        <v>0</v>
      </c>
      <c r="Z76" s="982">
        <f>Z39*LOOKUP(Z$8,Inputs!$G$109:$K$109,Inputs!$G133:$K133)/months_yr*Z$6</f>
        <v>0</v>
      </c>
      <c r="AA76" s="982">
        <f>AA39*LOOKUP(AA$8,Inputs!$G$109:$K$109,Inputs!$G133:$K133)/months_yr*AA$6</f>
        <v>0</v>
      </c>
      <c r="AB76" s="982">
        <f>AB39*LOOKUP(AB$8,Inputs!$G$109:$K$109,Inputs!$G133:$K133)/months_yr*AB$6</f>
        <v>0</v>
      </c>
      <c r="AC76" s="982">
        <f>AC39*LOOKUP(AC$8,Inputs!$G$109:$K$109,Inputs!$G133:$K133)/months_yr*AC$6</f>
        <v>0</v>
      </c>
      <c r="AD76" s="982">
        <f>AD39*LOOKUP(AD$8,Inputs!$G$109:$K$109,Inputs!$G133:$K133)/months_yr*AD$6</f>
        <v>0</v>
      </c>
      <c r="AE76" s="982">
        <f>AE39*LOOKUP(AE$8,Inputs!$G$109:$K$109,Inputs!$G133:$K133)/months_yr*AE$6</f>
        <v>0</v>
      </c>
      <c r="AF76" s="982">
        <f>AF39*LOOKUP(AF$8,Inputs!$G$109:$K$109,Inputs!$G133:$K133)/months_yr*AF$6</f>
        <v>0</v>
      </c>
      <c r="AG76" s="982">
        <f>AG39*LOOKUP(AG$8,Inputs!$G$109:$K$109,Inputs!$G133:$K133)/months_yr*AG$6</f>
        <v>0</v>
      </c>
    </row>
    <row r="77" spans="1:33" ht="16.5" customHeight="1" outlineLevel="1">
      <c r="A77" s="127"/>
      <c r="B77" s="127"/>
      <c r="C77" s="40" t="str">
        <f t="shared" si="14"/>
        <v>Fill in name or positon here</v>
      </c>
      <c r="D77" s="8" t="str">
        <f t="shared" si="15"/>
        <v>USD</v>
      </c>
      <c r="E77" s="127"/>
      <c r="F77" s="127"/>
      <c r="G77" s="127"/>
      <c r="H77" s="127"/>
      <c r="I77" s="236">
        <f t="shared" si="16"/>
        <v>0</v>
      </c>
      <c r="J77" s="982">
        <f>J40*LOOKUP(J$8,Inputs!$G$109:$K$109,Inputs!$G134:$K134)/months_yr*J$6</f>
        <v>0</v>
      </c>
      <c r="K77" s="982">
        <f>K40*LOOKUP(K$8,Inputs!$G$109:$K$109,Inputs!$G134:$K134)/months_yr*K$6</f>
        <v>0</v>
      </c>
      <c r="L77" s="982">
        <f>L40*LOOKUP(L$8,Inputs!$G$109:$K$109,Inputs!$G134:$K134)/months_yr*L$6</f>
        <v>0</v>
      </c>
      <c r="M77" s="982">
        <f>M40*LOOKUP(M$8,Inputs!$G$109:$K$109,Inputs!$G134:$K134)/months_yr*M$6</f>
        <v>0</v>
      </c>
      <c r="N77" s="982">
        <f>N40*LOOKUP(N$8,Inputs!$G$109:$K$109,Inputs!$G134:$K134)/months_yr*N$6</f>
        <v>0</v>
      </c>
      <c r="O77" s="982">
        <f>O40*LOOKUP(O$8,Inputs!$G$109:$K$109,Inputs!$G134:$K134)/months_yr*O$6</f>
        <v>0</v>
      </c>
      <c r="P77" s="982">
        <f>P40*LOOKUP(P$8,Inputs!$G$109:$K$109,Inputs!$G134:$K134)/months_yr*P$6</f>
        <v>0</v>
      </c>
      <c r="Q77" s="982">
        <f>Q40*LOOKUP(Q$8,Inputs!$G$109:$K$109,Inputs!$G134:$K134)/months_yr*Q$6</f>
        <v>0</v>
      </c>
      <c r="R77" s="982">
        <f>R40*LOOKUP(R$8,Inputs!$G$109:$K$109,Inputs!$G134:$K134)/months_yr*R$6</f>
        <v>0</v>
      </c>
      <c r="S77" s="982">
        <f>S40*LOOKUP(S$8,Inputs!$G$109:$K$109,Inputs!$G134:$K134)/months_yr*S$6</f>
        <v>0</v>
      </c>
      <c r="T77" s="982">
        <f>T40*LOOKUP(T$8,Inputs!$G$109:$K$109,Inputs!$G134:$K134)/months_yr*T$6</f>
        <v>0</v>
      </c>
      <c r="U77" s="982">
        <f>U40*LOOKUP(U$8,Inputs!$G$109:$K$109,Inputs!$G134:$K134)/months_yr*U$6</f>
        <v>0</v>
      </c>
      <c r="V77" s="982">
        <f>V40*LOOKUP(V$8,Inputs!$G$109:$K$109,Inputs!$G134:$K134)/months_yr*V$6</f>
        <v>0</v>
      </c>
      <c r="W77" s="982">
        <f>W40*LOOKUP(W$8,Inputs!$G$109:$K$109,Inputs!$G134:$K134)/months_yr*W$6</f>
        <v>0</v>
      </c>
      <c r="X77" s="982">
        <f>X40*LOOKUP(X$8,Inputs!$G$109:$K$109,Inputs!$G134:$K134)/months_yr*X$6</f>
        <v>0</v>
      </c>
      <c r="Y77" s="982">
        <f>Y40*LOOKUP(Y$8,Inputs!$G$109:$K$109,Inputs!$G134:$K134)/months_yr*Y$6</f>
        <v>0</v>
      </c>
      <c r="Z77" s="982">
        <f>Z40*LOOKUP(Z$8,Inputs!$G$109:$K$109,Inputs!$G134:$K134)/months_yr*Z$6</f>
        <v>0</v>
      </c>
      <c r="AA77" s="982">
        <f>AA40*LOOKUP(AA$8,Inputs!$G$109:$K$109,Inputs!$G134:$K134)/months_yr*AA$6</f>
        <v>0</v>
      </c>
      <c r="AB77" s="982">
        <f>AB40*LOOKUP(AB$8,Inputs!$G$109:$K$109,Inputs!$G134:$K134)/months_yr*AB$6</f>
        <v>0</v>
      </c>
      <c r="AC77" s="982">
        <f>AC40*LOOKUP(AC$8,Inputs!$G$109:$K$109,Inputs!$G134:$K134)/months_yr*AC$6</f>
        <v>0</v>
      </c>
      <c r="AD77" s="982">
        <f>AD40*LOOKUP(AD$8,Inputs!$G$109:$K$109,Inputs!$G134:$K134)/months_yr*AD$6</f>
        <v>0</v>
      </c>
      <c r="AE77" s="982">
        <f>AE40*LOOKUP(AE$8,Inputs!$G$109:$K$109,Inputs!$G134:$K134)/months_yr*AE$6</f>
        <v>0</v>
      </c>
      <c r="AF77" s="982">
        <f>AF40*LOOKUP(AF$8,Inputs!$G$109:$K$109,Inputs!$G134:$K134)/months_yr*AF$6</f>
        <v>0</v>
      </c>
      <c r="AG77" s="982">
        <f>AG40*LOOKUP(AG$8,Inputs!$G$109:$K$109,Inputs!$G134:$K134)/months_yr*AG$6</f>
        <v>0</v>
      </c>
    </row>
    <row r="78" spans="1:33" ht="16.5" customHeight="1" outlineLevel="1">
      <c r="A78" s="127"/>
      <c r="B78" s="127"/>
      <c r="C78" s="75" t="s">
        <v>235</v>
      </c>
      <c r="D78" s="8" t="str">
        <f t="shared" si="15"/>
        <v>USD</v>
      </c>
      <c r="E78" s="36"/>
      <c r="F78" s="36"/>
      <c r="G78" s="36"/>
      <c r="H78" s="36"/>
      <c r="I78" s="236">
        <f t="shared" si="16"/>
        <v>143850</v>
      </c>
      <c r="J78" s="715">
        <f>SUM(J70:J77)</f>
        <v>2916.6666666666665</v>
      </c>
      <c r="K78" s="715">
        <f t="shared" ref="K78:AG78" si="17">SUM(K70:K77)</f>
        <v>2916.6666666666665</v>
      </c>
      <c r="L78" s="715">
        <f t="shared" si="17"/>
        <v>2916.6666666666665</v>
      </c>
      <c r="M78" s="715">
        <f t="shared" si="17"/>
        <v>2916.6666666666665</v>
      </c>
      <c r="N78" s="715">
        <f t="shared" si="17"/>
        <v>2916.6666666666665</v>
      </c>
      <c r="O78" s="715">
        <f t="shared" si="17"/>
        <v>5833.333333333333</v>
      </c>
      <c r="P78" s="715">
        <f t="shared" si="17"/>
        <v>5833.333333333333</v>
      </c>
      <c r="Q78" s="715">
        <f t="shared" si="17"/>
        <v>5833.333333333333</v>
      </c>
      <c r="R78" s="715">
        <f t="shared" si="17"/>
        <v>5833.333333333333</v>
      </c>
      <c r="S78" s="715">
        <f t="shared" si="17"/>
        <v>5833.333333333333</v>
      </c>
      <c r="T78" s="715">
        <f t="shared" si="17"/>
        <v>5833.333333333333</v>
      </c>
      <c r="U78" s="715">
        <f t="shared" si="17"/>
        <v>5891.666666666667</v>
      </c>
      <c r="V78" s="715">
        <f t="shared" si="17"/>
        <v>5891.666666666667</v>
      </c>
      <c r="W78" s="715">
        <f t="shared" si="17"/>
        <v>8837.5</v>
      </c>
      <c r="X78" s="715">
        <f t="shared" si="17"/>
        <v>8837.5</v>
      </c>
      <c r="Y78" s="715">
        <f t="shared" si="17"/>
        <v>8837.5</v>
      </c>
      <c r="Z78" s="715">
        <f t="shared" si="17"/>
        <v>8837.5</v>
      </c>
      <c r="AA78" s="715">
        <f t="shared" si="17"/>
        <v>8837.5</v>
      </c>
      <c r="AB78" s="715">
        <f t="shared" si="17"/>
        <v>8837.5</v>
      </c>
      <c r="AC78" s="715">
        <f t="shared" si="17"/>
        <v>8837.5</v>
      </c>
      <c r="AD78" s="715">
        <f t="shared" si="17"/>
        <v>8837.5</v>
      </c>
      <c r="AE78" s="715">
        <f t="shared" si="17"/>
        <v>11783.333333333334</v>
      </c>
      <c r="AF78" s="715">
        <f t="shared" si="17"/>
        <v>0</v>
      </c>
      <c r="AG78" s="715">
        <f t="shared" si="17"/>
        <v>0</v>
      </c>
    </row>
    <row r="79" spans="1:33" ht="16.5" customHeight="1" outlineLevel="1">
      <c r="A79" s="127"/>
      <c r="B79" s="127"/>
      <c r="C79" s="127"/>
      <c r="D79" s="270"/>
      <c r="E79" s="127"/>
      <c r="F79" s="127"/>
      <c r="G79" s="127"/>
      <c r="H79" s="127"/>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row>
    <row r="80" spans="1:33" s="199" customFormat="1" ht="16.5" customHeight="1" outlineLevel="1" thickBot="1">
      <c r="A80" s="127"/>
      <c r="B80" s="127"/>
      <c r="C80" s="262" t="s">
        <v>242</v>
      </c>
      <c r="D80" s="398" t="str">
        <f>Currency_Label</f>
        <v>USD</v>
      </c>
      <c r="E80" s="36"/>
      <c r="F80" s="36"/>
      <c r="G80" s="36"/>
      <c r="H80" s="36"/>
      <c r="I80" s="236">
        <f ca="1">SUM(J80:AG80)</f>
        <v>742379.94696446764</v>
      </c>
      <c r="J80" s="686">
        <f t="shared" ref="J80:AG80" ca="1" si="18">J51+J56+J67+J78</f>
        <v>8873.7777777777774</v>
      </c>
      <c r="K80" s="686">
        <f t="shared" ca="1" si="18"/>
        <v>10701.555555555555</v>
      </c>
      <c r="L80" s="686">
        <f t="shared" ca="1" si="18"/>
        <v>12465.444444444443</v>
      </c>
      <c r="M80" s="686">
        <f t="shared" ca="1" si="18"/>
        <v>13890.922222222222</v>
      </c>
      <c r="N80" s="686">
        <f t="shared" ca="1" si="18"/>
        <v>15438.744444444445</v>
      </c>
      <c r="O80" s="686">
        <f t="shared" ca="1" si="18"/>
        <v>19953.246222222224</v>
      </c>
      <c r="P80" s="686">
        <f t="shared" ca="1" si="18"/>
        <v>21503.559737777778</v>
      </c>
      <c r="Q80" s="686">
        <f t="shared" ca="1" si="18"/>
        <v>28594.611527288889</v>
      </c>
      <c r="R80" s="686">
        <f t="shared" ca="1" si="18"/>
        <v>30324.667055047114</v>
      </c>
      <c r="S80" s="686">
        <f t="shared" ca="1" si="18"/>
        <v>31687.686387248996</v>
      </c>
      <c r="T80" s="686">
        <f t="shared" ca="1" si="18"/>
        <v>33313.434446072293</v>
      </c>
      <c r="U80" s="686">
        <f t="shared" ca="1" si="18"/>
        <v>35345.282284717381</v>
      </c>
      <c r="V80" s="686">
        <f t="shared" ca="1" si="18"/>
        <v>36731.628857114418</v>
      </c>
      <c r="W80" s="686">
        <f t="shared" ca="1" si="18"/>
        <v>41283.240633569323</v>
      </c>
      <c r="X80" s="686">
        <f t="shared" ca="1" si="18"/>
        <v>42913.587635375763</v>
      </c>
      <c r="Y80" s="686">
        <f t="shared" ca="1" si="18"/>
        <v>44347.840783286039</v>
      </c>
      <c r="Z80" s="686">
        <f t="shared" ca="1" si="18"/>
        <v>45967.683338199888</v>
      </c>
      <c r="AA80" s="686">
        <f t="shared" ca="1" si="18"/>
        <v>47622.176035239885</v>
      </c>
      <c r="AB80" s="686">
        <f t="shared" ca="1" si="18"/>
        <v>52086.803092428345</v>
      </c>
      <c r="AC80" s="686">
        <f t="shared" ca="1" si="18"/>
        <v>53767.211414244404</v>
      </c>
      <c r="AD80" s="686">
        <f t="shared" ca="1" si="18"/>
        <v>55491.926963279613</v>
      </c>
      <c r="AE80" s="686">
        <f t="shared" ca="1" si="18"/>
        <v>60074.916106911085</v>
      </c>
      <c r="AF80" s="686">
        <f t="shared" ca="1" si="18"/>
        <v>0</v>
      </c>
      <c r="AG80" s="686">
        <f t="shared" ca="1" si="18"/>
        <v>0</v>
      </c>
    </row>
    <row r="81" spans="1:33" s="878" customFormat="1" ht="16.5" customHeight="1" outlineLevel="1" thickTop="1">
      <c r="A81" s="127"/>
      <c r="B81" s="127"/>
      <c r="C81" s="262" t="str">
        <f>CHOOSE(language,"  Total without direct labour","  Total without direct labor")</f>
        <v xml:space="preserve">  Total without direct labor</v>
      </c>
      <c r="D81" s="398" t="str">
        <f>Currency_Label</f>
        <v>USD</v>
      </c>
      <c r="F81" s="36"/>
      <c r="G81" s="36"/>
      <c r="H81" s="36"/>
      <c r="I81" s="236">
        <f ca="1">SUM(J81:AG81)</f>
        <v>538217.54438567697</v>
      </c>
      <c r="J81" s="984">
        <f t="shared" ref="J81:AG81" ca="1" si="19">J80-J51</f>
        <v>7631.7777777777774</v>
      </c>
      <c r="K81" s="984">
        <f t="shared" ca="1" si="19"/>
        <v>8859.5555555555547</v>
      </c>
      <c r="L81" s="984">
        <f t="shared" ca="1" si="19"/>
        <v>9873.4444444444434</v>
      </c>
      <c r="M81" s="984">
        <f t="shared" ca="1" si="19"/>
        <v>10581.022222222222</v>
      </c>
      <c r="N81" s="984">
        <f t="shared" ca="1" si="19"/>
        <v>11347.644444444444</v>
      </c>
      <c r="O81" s="984">
        <f t="shared" ca="1" si="19"/>
        <v>15055.998222222224</v>
      </c>
      <c r="P81" s="984">
        <f t="shared" ca="1" si="19"/>
        <v>15826.912817777778</v>
      </c>
      <c r="Q81" s="984">
        <f t="shared" ca="1" si="19"/>
        <v>22074.534930488888</v>
      </c>
      <c r="R81" s="984">
        <f t="shared" ca="1" si="19"/>
        <v>22933.408594375112</v>
      </c>
      <c r="S81" s="984">
        <f t="shared" ca="1" si="19"/>
        <v>23621.348538150116</v>
      </c>
      <c r="T81" s="984">
        <f t="shared" ca="1" si="19"/>
        <v>24434.786293009456</v>
      </c>
      <c r="U81" s="984">
        <f t="shared" ca="1" si="19"/>
        <v>25552.161422840174</v>
      </c>
      <c r="V81" s="984">
        <f t="shared" ca="1" si="19"/>
        <v>26258.993753187126</v>
      </c>
      <c r="W81" s="984">
        <f t="shared" ca="1" si="19"/>
        <v>30017.300602211937</v>
      </c>
      <c r="X81" s="984">
        <f t="shared" ca="1" si="19"/>
        <v>30843.559511651081</v>
      </c>
      <c r="Y81" s="984">
        <f t="shared" ca="1" si="19"/>
        <v>31579.57889950012</v>
      </c>
      <c r="Z81" s="984">
        <f t="shared" ca="1" si="19"/>
        <v>32405.535318669507</v>
      </c>
      <c r="AA81" s="984">
        <f t="shared" ca="1" si="19"/>
        <v>33250.307698976852</v>
      </c>
      <c r="AB81" s="984">
        <f t="shared" ca="1" si="19"/>
        <v>36979.454168941993</v>
      </c>
      <c r="AC81" s="984">
        <f t="shared" ca="1" si="19"/>
        <v>37841.688810349624</v>
      </c>
      <c r="AD81" s="984">
        <f t="shared" ca="1" si="19"/>
        <v>38727.603892735686</v>
      </c>
      <c r="AE81" s="984">
        <f t="shared" ca="1" si="19"/>
        <v>42520.926466144956</v>
      </c>
      <c r="AF81" s="984">
        <f t="shared" ca="1" si="19"/>
        <v>0</v>
      </c>
      <c r="AG81" s="984">
        <f t="shared" ca="1" si="19"/>
        <v>0</v>
      </c>
    </row>
    <row r="82" spans="1:33">
      <c r="A82" s="127"/>
      <c r="B82" s="127"/>
      <c r="C82" s="127"/>
      <c r="D82" s="127"/>
      <c r="E82" s="127"/>
      <c r="F82" s="127"/>
      <c r="G82" s="127"/>
      <c r="H82" s="127"/>
      <c r="I82" s="438"/>
      <c r="J82" s="420"/>
      <c r="K82" s="420"/>
      <c r="L82" s="420"/>
      <c r="M82" s="786"/>
      <c r="N82" s="786"/>
      <c r="O82" s="786"/>
      <c r="P82" s="786"/>
      <c r="Q82" s="786"/>
      <c r="R82" s="786"/>
      <c r="S82" s="786"/>
      <c r="T82" s="786"/>
      <c r="U82" s="786"/>
      <c r="V82" s="786"/>
      <c r="W82" s="786"/>
      <c r="X82" s="786"/>
      <c r="Y82" s="786"/>
      <c r="Z82" s="786"/>
      <c r="AA82" s="786"/>
      <c r="AB82" s="786"/>
      <c r="AC82" s="786"/>
      <c r="AD82" s="786"/>
      <c r="AE82" s="786"/>
      <c r="AF82" s="786"/>
      <c r="AG82" s="786"/>
    </row>
    <row r="83" spans="1:33" ht="21.75" customHeight="1" thickBot="1">
      <c r="A83" s="316"/>
      <c r="B83" s="316"/>
      <c r="C83" s="316" t="s">
        <v>229</v>
      </c>
      <c r="D83" s="316"/>
      <c r="E83" s="316"/>
      <c r="F83" s="316"/>
      <c r="G83" s="316"/>
      <c r="H83" s="316"/>
      <c r="I83" s="427"/>
      <c r="J83" s="427"/>
      <c r="K83" s="427"/>
      <c r="L83" s="427"/>
      <c r="M83" s="427"/>
      <c r="N83" s="427"/>
      <c r="O83" s="427"/>
      <c r="P83" s="427"/>
      <c r="Q83" s="427"/>
      <c r="R83" s="427"/>
      <c r="S83" s="427"/>
      <c r="T83" s="427"/>
      <c r="U83" s="427"/>
      <c r="V83" s="427"/>
      <c r="W83" s="427"/>
      <c r="X83" s="427"/>
      <c r="Y83" s="427"/>
      <c r="Z83" s="427"/>
      <c r="AA83" s="427"/>
      <c r="AB83" s="427"/>
      <c r="AC83" s="427"/>
      <c r="AD83" s="427"/>
      <c r="AE83" s="427"/>
      <c r="AF83" s="427"/>
      <c r="AG83" s="427"/>
    </row>
    <row r="84" spans="1:33" ht="10.5" customHeight="1" outlineLevel="1">
      <c r="A84" s="127"/>
      <c r="B84" s="127"/>
      <c r="C84" s="127"/>
      <c r="D84" s="127"/>
      <c r="E84" s="127"/>
      <c r="F84" s="127"/>
      <c r="G84" s="127"/>
      <c r="H84" s="127"/>
      <c r="I84" s="420"/>
      <c r="J84" s="420"/>
      <c r="K84" s="420"/>
      <c r="L84" s="420"/>
      <c r="M84" s="786"/>
      <c r="N84" s="786"/>
      <c r="O84" s="786"/>
      <c r="P84" s="786"/>
      <c r="Q84" s="786"/>
      <c r="R84" s="786"/>
      <c r="S84" s="786"/>
      <c r="T84" s="786"/>
      <c r="U84" s="441"/>
      <c r="V84" s="786"/>
      <c r="W84" s="786"/>
      <c r="X84" s="786"/>
      <c r="Y84" s="786"/>
      <c r="Z84" s="786"/>
      <c r="AA84" s="786"/>
      <c r="AB84" s="786"/>
      <c r="AC84" s="786"/>
      <c r="AD84" s="786"/>
      <c r="AE84" s="786"/>
      <c r="AF84" s="786"/>
      <c r="AG84" s="786"/>
    </row>
    <row r="85" spans="1:33" ht="16.5" customHeight="1" outlineLevel="1">
      <c r="A85" s="127"/>
      <c r="B85" s="683" t="str">
        <f>Inputs!$B$109</f>
        <v>1.</v>
      </c>
      <c r="C85" s="986" t="str">
        <f>Inputs!$C$109</f>
        <v>Direct Labor Staff</v>
      </c>
      <c r="D85" s="270"/>
      <c r="E85" s="397" t="s">
        <v>233</v>
      </c>
      <c r="F85" s="127"/>
      <c r="G85" s="127"/>
      <c r="H85" s="127"/>
      <c r="I85" s="420"/>
      <c r="J85" s="983"/>
      <c r="K85" s="420"/>
      <c r="L85" s="420"/>
      <c r="M85" s="786"/>
      <c r="N85" s="786"/>
      <c r="O85" s="786"/>
      <c r="P85" s="786"/>
      <c r="Q85" s="786"/>
      <c r="R85" s="786"/>
      <c r="S85" s="786"/>
      <c r="T85" s="786"/>
      <c r="U85" s="786"/>
      <c r="V85" s="786"/>
      <c r="W85" s="786"/>
      <c r="X85" s="786"/>
      <c r="Y85" s="786"/>
      <c r="Z85" s="786"/>
      <c r="AA85" s="786"/>
      <c r="AB85" s="786"/>
      <c r="AC85" s="786"/>
      <c r="AD85" s="786"/>
      <c r="AE85" s="786"/>
      <c r="AF85" s="786"/>
      <c r="AG85" s="786"/>
    </row>
    <row r="86" spans="1:33" ht="16.5" customHeight="1" outlineLevel="1">
      <c r="A86" s="127"/>
      <c r="B86" s="127"/>
      <c r="C86" s="40" t="str">
        <f>C13</f>
        <v>Direct Labor FTEs for WonderApp</v>
      </c>
      <c r="D86" s="8" t="str">
        <f>Currency_Label</f>
        <v>USD</v>
      </c>
      <c r="E86" s="730">
        <f>E13</f>
        <v>1</v>
      </c>
      <c r="F86" s="127"/>
      <c r="G86" s="127"/>
      <c r="H86" s="127"/>
      <c r="I86" s="236">
        <f ca="1">SUM(J86:AG86)</f>
        <v>40832.480515758165</v>
      </c>
      <c r="J86" s="982">
        <f t="shared" ref="J86:AG86" ca="1" si="20">IFERROR(J13*(J50/J13)*AGSatz_Pausch,0)*$E86</f>
        <v>248.4</v>
      </c>
      <c r="K86" s="982">
        <f t="shared" ca="1" si="20"/>
        <v>368.40000000000003</v>
      </c>
      <c r="L86" s="982">
        <f t="shared" ca="1" si="20"/>
        <v>518.40000000000009</v>
      </c>
      <c r="M86" s="982">
        <f t="shared" ca="1" si="20"/>
        <v>661.98</v>
      </c>
      <c r="N86" s="982">
        <f t="shared" ca="1" si="20"/>
        <v>818.22000000000014</v>
      </c>
      <c r="O86" s="982">
        <f t="shared" ca="1" si="20"/>
        <v>979.44960000000015</v>
      </c>
      <c r="P86" s="982">
        <f t="shared" ca="1" si="20"/>
        <v>1135.3293840000001</v>
      </c>
      <c r="Q86" s="982">
        <f t="shared" ca="1" si="20"/>
        <v>1304.0153193600004</v>
      </c>
      <c r="R86" s="982">
        <f t="shared" ca="1" si="20"/>
        <v>1478.2516921344004</v>
      </c>
      <c r="S86" s="982">
        <f t="shared" ca="1" si="20"/>
        <v>1613.2675698197763</v>
      </c>
      <c r="T86" s="982">
        <f t="shared" ca="1" si="20"/>
        <v>1775.7296306125675</v>
      </c>
      <c r="U86" s="982">
        <f t="shared" ca="1" si="20"/>
        <v>1958.624172375441</v>
      </c>
      <c r="V86" s="982">
        <f t="shared" ca="1" si="20"/>
        <v>2094.5270207854587</v>
      </c>
      <c r="W86" s="982">
        <f t="shared" ca="1" si="20"/>
        <v>2253.1880062714768</v>
      </c>
      <c r="X86" s="982">
        <f t="shared" ca="1" si="20"/>
        <v>2414.0056247449361</v>
      </c>
      <c r="Y86" s="982">
        <f t="shared" ca="1" si="20"/>
        <v>2553.6523767571839</v>
      </c>
      <c r="Z86" s="982">
        <f t="shared" ca="1" si="20"/>
        <v>2712.4296039060769</v>
      </c>
      <c r="AA86" s="982">
        <f t="shared" ca="1" si="20"/>
        <v>2874.3736672526065</v>
      </c>
      <c r="AB86" s="982">
        <f t="shared" ca="1" si="20"/>
        <v>3021.4697846972704</v>
      </c>
      <c r="AC86" s="982">
        <f t="shared" ca="1" si="20"/>
        <v>3185.1045207789562</v>
      </c>
      <c r="AD86" s="982">
        <f t="shared" ca="1" si="20"/>
        <v>3352.8646141087866</v>
      </c>
      <c r="AE86" s="982">
        <f t="shared" ca="1" si="20"/>
        <v>3510.7979281532262</v>
      </c>
      <c r="AF86" s="982">
        <f t="shared" ca="1" si="20"/>
        <v>0</v>
      </c>
      <c r="AG86" s="982">
        <f t="shared" ca="1" si="20"/>
        <v>0</v>
      </c>
    </row>
    <row r="87" spans="1:33" s="878" customFormat="1" ht="16.5" customHeight="1" outlineLevel="1">
      <c r="A87" s="127"/>
      <c r="B87" s="127"/>
      <c r="C87" s="75" t="str">
        <f>C14</f>
        <v xml:space="preserve">     Subtotal</v>
      </c>
      <c r="D87" s="8" t="str">
        <f>Currency_Label</f>
        <v>USD</v>
      </c>
      <c r="E87" s="36"/>
      <c r="F87" s="36"/>
      <c r="G87" s="36"/>
      <c r="H87" s="36"/>
      <c r="I87" s="236">
        <f ca="1">SUM(J87:AG87)</f>
        <v>40832.480515758165</v>
      </c>
      <c r="J87" s="984">
        <f t="shared" ref="J87:AG87" ca="1" si="21">SUM(J86:J86)</f>
        <v>248.4</v>
      </c>
      <c r="K87" s="984">
        <f t="shared" ca="1" si="21"/>
        <v>368.40000000000003</v>
      </c>
      <c r="L87" s="984">
        <f t="shared" ca="1" si="21"/>
        <v>518.40000000000009</v>
      </c>
      <c r="M87" s="984">
        <f t="shared" ca="1" si="21"/>
        <v>661.98</v>
      </c>
      <c r="N87" s="984">
        <f t="shared" ca="1" si="21"/>
        <v>818.22000000000014</v>
      </c>
      <c r="O87" s="984">
        <f t="shared" ca="1" si="21"/>
        <v>979.44960000000015</v>
      </c>
      <c r="P87" s="984">
        <f t="shared" ca="1" si="21"/>
        <v>1135.3293840000001</v>
      </c>
      <c r="Q87" s="984">
        <f t="shared" ca="1" si="21"/>
        <v>1304.0153193600004</v>
      </c>
      <c r="R87" s="984">
        <f t="shared" ca="1" si="21"/>
        <v>1478.2516921344004</v>
      </c>
      <c r="S87" s="984">
        <f t="shared" ca="1" si="21"/>
        <v>1613.2675698197763</v>
      </c>
      <c r="T87" s="984">
        <f t="shared" ca="1" si="21"/>
        <v>1775.7296306125675</v>
      </c>
      <c r="U87" s="984">
        <f t="shared" ca="1" si="21"/>
        <v>1958.624172375441</v>
      </c>
      <c r="V87" s="984">
        <f t="shared" ca="1" si="21"/>
        <v>2094.5270207854587</v>
      </c>
      <c r="W87" s="984">
        <f t="shared" ca="1" si="21"/>
        <v>2253.1880062714768</v>
      </c>
      <c r="X87" s="984">
        <f t="shared" ca="1" si="21"/>
        <v>2414.0056247449361</v>
      </c>
      <c r="Y87" s="984">
        <f t="shared" ca="1" si="21"/>
        <v>2553.6523767571839</v>
      </c>
      <c r="Z87" s="984">
        <f t="shared" ca="1" si="21"/>
        <v>2712.4296039060769</v>
      </c>
      <c r="AA87" s="984">
        <f t="shared" ca="1" si="21"/>
        <v>2874.3736672526065</v>
      </c>
      <c r="AB87" s="984">
        <f t="shared" ca="1" si="21"/>
        <v>3021.4697846972704</v>
      </c>
      <c r="AC87" s="984">
        <f t="shared" ca="1" si="21"/>
        <v>3185.1045207789562</v>
      </c>
      <c r="AD87" s="984">
        <f t="shared" ca="1" si="21"/>
        <v>3352.8646141087866</v>
      </c>
      <c r="AE87" s="984">
        <f t="shared" ca="1" si="21"/>
        <v>3510.7979281532262</v>
      </c>
      <c r="AF87" s="984">
        <f t="shared" ca="1" si="21"/>
        <v>0</v>
      </c>
      <c r="AG87" s="984">
        <f t="shared" ca="1" si="21"/>
        <v>0</v>
      </c>
    </row>
    <row r="88" spans="1:33" s="878" customFormat="1" ht="16.5" customHeight="1" outlineLevel="1">
      <c r="A88" s="127"/>
      <c r="B88" s="127"/>
      <c r="C88" s="320"/>
      <c r="D88" s="270"/>
      <c r="E88" s="127"/>
      <c r="F88" s="127"/>
      <c r="G88" s="127"/>
      <c r="H88" s="127"/>
      <c r="I88" s="438"/>
      <c r="J88" s="438"/>
      <c r="K88" s="438"/>
      <c r="L88" s="438"/>
      <c r="M88" s="441"/>
      <c r="N88" s="441"/>
      <c r="O88" s="441"/>
      <c r="P88" s="441"/>
      <c r="Q88" s="441"/>
      <c r="R88" s="441"/>
      <c r="S88" s="441"/>
      <c r="T88" s="441"/>
      <c r="U88" s="441"/>
      <c r="V88" s="441"/>
      <c r="W88" s="441"/>
      <c r="X88" s="441"/>
      <c r="Y88" s="441"/>
      <c r="Z88" s="441"/>
      <c r="AA88" s="441"/>
      <c r="AB88" s="441"/>
      <c r="AC88" s="441"/>
      <c r="AD88" s="441"/>
      <c r="AE88" s="441"/>
      <c r="AF88" s="441"/>
      <c r="AG88" s="441"/>
    </row>
    <row r="89" spans="1:33" ht="16.5" customHeight="1" outlineLevel="1">
      <c r="A89" s="127"/>
      <c r="B89" s="683" t="str">
        <f>Inputs!$B$112</f>
        <v>2.</v>
      </c>
      <c r="C89" s="986" t="str">
        <f>Inputs!$C$112</f>
        <v>Marketing and Sales Staff</v>
      </c>
      <c r="D89" s="270"/>
      <c r="E89" s="861"/>
      <c r="F89" s="235"/>
      <c r="G89" s="235"/>
      <c r="H89" s="127"/>
      <c r="I89" s="438"/>
      <c r="J89" s="438"/>
      <c r="K89" s="438"/>
      <c r="L89" s="438"/>
      <c r="M89" s="441"/>
      <c r="N89" s="441"/>
      <c r="O89" s="441"/>
      <c r="P89" s="441"/>
      <c r="Q89" s="441"/>
      <c r="R89" s="441"/>
      <c r="S89" s="441"/>
      <c r="T89" s="441"/>
      <c r="U89" s="441"/>
      <c r="V89" s="441"/>
      <c r="W89" s="441"/>
      <c r="X89" s="441"/>
      <c r="Y89" s="441"/>
      <c r="Z89" s="441"/>
      <c r="AA89" s="441"/>
      <c r="AB89" s="441"/>
      <c r="AC89" s="441"/>
      <c r="AD89" s="441"/>
      <c r="AE89" s="441"/>
      <c r="AF89" s="441"/>
      <c r="AG89" s="441"/>
    </row>
    <row r="90" spans="1:33" ht="16.5" customHeight="1" outlineLevel="1">
      <c r="A90" s="127"/>
      <c r="B90" s="127"/>
      <c r="C90" s="40" t="str">
        <f>C17</f>
        <v>Sales Executive (Offering 1)</v>
      </c>
      <c r="D90" s="8" t="str">
        <f t="shared" ref="D90:D92" si="22">Currency_Label</f>
        <v>USD</v>
      </c>
      <c r="E90" s="730">
        <f>E17</f>
        <v>1</v>
      </c>
      <c r="F90" s="127"/>
      <c r="G90" s="127"/>
      <c r="H90" s="127"/>
      <c r="I90" s="236">
        <f t="shared" ref="I90:I92" si="23">SUM(J90:AG90)</f>
        <v>10822.927572391833</v>
      </c>
      <c r="J90" s="982">
        <f t="shared" ref="J90:AG90" si="24">IFERROR(J17*(J54/J17)*AGSatz_Pausch,0)*$E90</f>
        <v>138.88888888888889</v>
      </c>
      <c r="K90" s="982">
        <f t="shared" si="24"/>
        <v>277.77777777777777</v>
      </c>
      <c r="L90" s="982">
        <f t="shared" si="24"/>
        <v>347.22222222222223</v>
      </c>
      <c r="M90" s="982">
        <f t="shared" si="24"/>
        <v>361.11111111111109</v>
      </c>
      <c r="N90" s="982">
        <f t="shared" si="24"/>
        <v>375.5555555555556</v>
      </c>
      <c r="O90" s="982">
        <f t="shared" si="24"/>
        <v>390.5777777777779</v>
      </c>
      <c r="P90" s="982">
        <f t="shared" si="24"/>
        <v>406.20088888888904</v>
      </c>
      <c r="Q90" s="982">
        <f t="shared" si="24"/>
        <v>422.44892444444463</v>
      </c>
      <c r="R90" s="982">
        <f t="shared" si="24"/>
        <v>439.34688142222234</v>
      </c>
      <c r="S90" s="982">
        <f t="shared" si="24"/>
        <v>456.92075667911132</v>
      </c>
      <c r="T90" s="982">
        <f t="shared" si="24"/>
        <v>475.19758694627575</v>
      </c>
      <c r="U90" s="982">
        <f t="shared" si="24"/>
        <v>499.1475453283681</v>
      </c>
      <c r="V90" s="982">
        <f t="shared" si="24"/>
        <v>519.11344714150277</v>
      </c>
      <c r="W90" s="982">
        <f t="shared" si="24"/>
        <v>539.87798502716294</v>
      </c>
      <c r="X90" s="982">
        <f t="shared" si="24"/>
        <v>561.47310442824948</v>
      </c>
      <c r="Y90" s="982">
        <f t="shared" si="24"/>
        <v>583.93202860537929</v>
      </c>
      <c r="Z90" s="982">
        <f t="shared" si="24"/>
        <v>607.28930974959451</v>
      </c>
      <c r="AA90" s="982">
        <f t="shared" si="24"/>
        <v>631.58088213957853</v>
      </c>
      <c r="AB90" s="982">
        <f t="shared" si="24"/>
        <v>656.84411742516147</v>
      </c>
      <c r="AC90" s="982">
        <f t="shared" si="24"/>
        <v>683.11788212216811</v>
      </c>
      <c r="AD90" s="982">
        <f t="shared" si="24"/>
        <v>710.4425974070549</v>
      </c>
      <c r="AE90" s="982">
        <f t="shared" si="24"/>
        <v>738.86030130333722</v>
      </c>
      <c r="AF90" s="982">
        <f t="shared" si="24"/>
        <v>0</v>
      </c>
      <c r="AG90" s="982">
        <f t="shared" si="24"/>
        <v>0</v>
      </c>
    </row>
    <row r="91" spans="1:33" s="878" customFormat="1" ht="16.5" customHeight="1" outlineLevel="1">
      <c r="A91" s="127"/>
      <c r="B91" s="127"/>
      <c r="C91" s="40" t="str">
        <f>C18</f>
        <v>Account Manager (Offering 1)</v>
      </c>
      <c r="D91" s="8" t="str">
        <f t="shared" si="22"/>
        <v>USD</v>
      </c>
      <c r="E91" s="730">
        <f>E18</f>
        <v>1</v>
      </c>
      <c r="F91" s="127"/>
      <c r="G91" s="127"/>
      <c r="H91" s="127"/>
      <c r="I91" s="236">
        <f t="shared" ca="1" si="23"/>
        <v>36427.247971410252</v>
      </c>
      <c r="J91" s="982">
        <f t="shared" ref="J91:AG91" ca="1" si="25">IFERROR(J18*(J55/J18)*AGSatz_Pausch,0)*$E91</f>
        <v>220.8</v>
      </c>
      <c r="K91" s="982">
        <f t="shared" ca="1" si="25"/>
        <v>327.4666666666667</v>
      </c>
      <c r="L91" s="982">
        <f t="shared" ca="1" si="25"/>
        <v>460.8</v>
      </c>
      <c r="M91" s="982">
        <f t="shared" ca="1" si="25"/>
        <v>588.42666666666662</v>
      </c>
      <c r="N91" s="982">
        <f t="shared" ca="1" si="25"/>
        <v>727.30666666666673</v>
      </c>
      <c r="O91" s="982">
        <f t="shared" ca="1" si="25"/>
        <v>870.62186666666685</v>
      </c>
      <c r="P91" s="982">
        <f t="shared" ca="1" si="25"/>
        <v>1009.1816746666669</v>
      </c>
      <c r="Q91" s="982">
        <f t="shared" ca="1" si="25"/>
        <v>1159.1247283200005</v>
      </c>
      <c r="R91" s="982">
        <f t="shared" ca="1" si="25"/>
        <v>1314.001504119467</v>
      </c>
      <c r="S91" s="982">
        <f t="shared" ca="1" si="25"/>
        <v>1434.0156176175788</v>
      </c>
      <c r="T91" s="982">
        <f t="shared" ca="1" si="25"/>
        <v>1578.4263383222824</v>
      </c>
      <c r="U91" s="982">
        <f t="shared" ca="1" si="25"/>
        <v>1749.6180725730007</v>
      </c>
      <c r="V91" s="982">
        <f t="shared" ca="1" si="25"/>
        <v>1871.0186368292543</v>
      </c>
      <c r="W91" s="982">
        <f t="shared" ca="1" si="25"/>
        <v>2012.748802081891</v>
      </c>
      <c r="X91" s="982">
        <f t="shared" ca="1" si="25"/>
        <v>2156.4054645686333</v>
      </c>
      <c r="Y91" s="982">
        <f t="shared" ca="1" si="25"/>
        <v>2281.1504179613125</v>
      </c>
      <c r="Z91" s="982">
        <f t="shared" ca="1" si="25"/>
        <v>2422.9844206509724</v>
      </c>
      <c r="AA91" s="982">
        <f t="shared" ca="1" si="25"/>
        <v>2567.6473243224596</v>
      </c>
      <c r="AB91" s="982">
        <f t="shared" ca="1" si="25"/>
        <v>2699.046716363237</v>
      </c>
      <c r="AC91" s="982">
        <f t="shared" ca="1" si="25"/>
        <v>2845.2198799477574</v>
      </c>
      <c r="AD91" s="982">
        <f t="shared" ca="1" si="25"/>
        <v>2995.0781811400816</v>
      </c>
      <c r="AE91" s="982">
        <f t="shared" ca="1" si="25"/>
        <v>3136.1583252589871</v>
      </c>
      <c r="AF91" s="982">
        <f t="shared" ca="1" si="25"/>
        <v>0</v>
      </c>
      <c r="AG91" s="982">
        <f t="shared" ca="1" si="25"/>
        <v>0</v>
      </c>
    </row>
    <row r="92" spans="1:33" ht="16.5" customHeight="1" outlineLevel="1">
      <c r="A92" s="127"/>
      <c r="B92" s="127"/>
      <c r="C92" s="75" t="str">
        <f>C19</f>
        <v xml:space="preserve">     Subtotal</v>
      </c>
      <c r="D92" s="8" t="str">
        <f t="shared" si="22"/>
        <v>USD</v>
      </c>
      <c r="E92" s="36"/>
      <c r="F92" s="36"/>
      <c r="G92" s="36"/>
      <c r="H92" s="36"/>
      <c r="I92" s="236">
        <f t="shared" ca="1" si="23"/>
        <v>47250.175543802085</v>
      </c>
      <c r="J92" s="984">
        <f t="shared" ref="J92:AG92" ca="1" si="26">SUM(J90:J91)</f>
        <v>359.68888888888887</v>
      </c>
      <c r="K92" s="984">
        <f t="shared" ca="1" si="26"/>
        <v>605.24444444444453</v>
      </c>
      <c r="L92" s="984">
        <f t="shared" ca="1" si="26"/>
        <v>808.02222222222224</v>
      </c>
      <c r="M92" s="984">
        <f t="shared" ca="1" si="26"/>
        <v>949.53777777777771</v>
      </c>
      <c r="N92" s="984">
        <f t="shared" ca="1" si="26"/>
        <v>1102.8622222222223</v>
      </c>
      <c r="O92" s="984">
        <f t="shared" ca="1" si="26"/>
        <v>1261.1996444444449</v>
      </c>
      <c r="P92" s="984">
        <f t="shared" ca="1" si="26"/>
        <v>1415.3825635555559</v>
      </c>
      <c r="Q92" s="984">
        <f t="shared" ca="1" si="26"/>
        <v>1581.5736527644451</v>
      </c>
      <c r="R92" s="984">
        <f t="shared" ca="1" si="26"/>
        <v>1753.3483855416894</v>
      </c>
      <c r="S92" s="984">
        <f t="shared" ca="1" si="26"/>
        <v>1890.93637429669</v>
      </c>
      <c r="T92" s="984">
        <f t="shared" ca="1" si="26"/>
        <v>2053.6239252685582</v>
      </c>
      <c r="U92" s="984">
        <f t="shared" ca="1" si="26"/>
        <v>2248.7656179013688</v>
      </c>
      <c r="V92" s="984">
        <f t="shared" ca="1" si="26"/>
        <v>2390.1320839707569</v>
      </c>
      <c r="W92" s="984">
        <f t="shared" ca="1" si="26"/>
        <v>2552.626787109054</v>
      </c>
      <c r="X92" s="984">
        <f t="shared" ca="1" si="26"/>
        <v>2717.8785689968827</v>
      </c>
      <c r="Y92" s="984">
        <f t="shared" ca="1" si="26"/>
        <v>2865.0824465666919</v>
      </c>
      <c r="Z92" s="984">
        <f t="shared" ca="1" si="26"/>
        <v>3030.2737304005668</v>
      </c>
      <c r="AA92" s="984">
        <f t="shared" ca="1" si="26"/>
        <v>3199.2282064620381</v>
      </c>
      <c r="AB92" s="984">
        <f t="shared" ca="1" si="26"/>
        <v>3355.8908337883986</v>
      </c>
      <c r="AC92" s="984">
        <f t="shared" ca="1" si="26"/>
        <v>3528.3377620699257</v>
      </c>
      <c r="AD92" s="984">
        <f t="shared" ca="1" si="26"/>
        <v>3705.5207785471366</v>
      </c>
      <c r="AE92" s="984">
        <f t="shared" ca="1" si="26"/>
        <v>3875.0186265623242</v>
      </c>
      <c r="AF92" s="984">
        <f t="shared" ca="1" si="26"/>
        <v>0</v>
      </c>
      <c r="AG92" s="984">
        <f t="shared" ca="1" si="26"/>
        <v>0</v>
      </c>
    </row>
    <row r="93" spans="1:33" ht="16.5" customHeight="1" outlineLevel="1">
      <c r="A93" s="127"/>
      <c r="B93" s="416"/>
      <c r="C93" s="127"/>
      <c r="D93" s="270"/>
      <c r="E93" s="127"/>
      <c r="F93" s="127"/>
      <c r="G93" s="127"/>
      <c r="H93" s="127"/>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8"/>
      <c r="AF93" s="438"/>
      <c r="AG93" s="438"/>
    </row>
    <row r="94" spans="1:33" ht="16.5" customHeight="1" outlineLevel="1">
      <c r="A94" s="127"/>
      <c r="B94" s="683" t="str">
        <f>Inputs!$B$116</f>
        <v>3.</v>
      </c>
      <c r="C94" s="986" t="str">
        <f>Inputs!$C$116</f>
        <v>Research and Development Staff</v>
      </c>
      <c r="D94" s="270"/>
      <c r="E94" s="127"/>
      <c r="F94" s="235"/>
      <c r="G94" s="235"/>
      <c r="H94" s="127"/>
      <c r="I94" s="438"/>
      <c r="J94" s="438"/>
      <c r="K94" s="438"/>
      <c r="L94" s="438"/>
      <c r="M94" s="438"/>
      <c r="N94" s="438"/>
      <c r="O94" s="438"/>
      <c r="P94" s="438"/>
      <c r="Q94" s="438"/>
      <c r="R94" s="438"/>
      <c r="S94" s="438"/>
      <c r="T94" s="438"/>
      <c r="U94" s="438"/>
      <c r="V94" s="438"/>
      <c r="W94" s="438"/>
      <c r="X94" s="438"/>
      <c r="Y94" s="438"/>
      <c r="Z94" s="438"/>
      <c r="AA94" s="438"/>
      <c r="AB94" s="438"/>
      <c r="AC94" s="438"/>
      <c r="AD94" s="438"/>
      <c r="AE94" s="438"/>
      <c r="AF94" s="438"/>
      <c r="AG94" s="438"/>
    </row>
    <row r="95" spans="1:33" ht="16.5" customHeight="1" outlineLevel="1">
      <c r="A95" s="127"/>
      <c r="B95" s="127"/>
      <c r="C95" s="40" t="str">
        <f t="shared" ref="C95:C103" si="27">C22</f>
        <v>Fill in name or positon here</v>
      </c>
      <c r="D95" s="8" t="str">
        <f t="shared" ref="D95:D103" si="28">Currency_Label</f>
        <v>USD</v>
      </c>
      <c r="E95" s="730">
        <f t="shared" ref="E95:E102" si="29">E22</f>
        <v>1</v>
      </c>
      <c r="F95" s="127"/>
      <c r="G95" s="127"/>
      <c r="H95" s="127"/>
      <c r="I95" s="236">
        <f t="shared" ref="I95:I103" si="30">SUM(J95:AG95)</f>
        <v>24068.333333333339</v>
      </c>
      <c r="J95" s="982">
        <f t="shared" ref="J95:AG95" si="31">IFERROR(J22*(J59/J22)*AGSatz_Pausch,0)*$E95</f>
        <v>583.33333333333337</v>
      </c>
      <c r="K95" s="982">
        <f t="shared" si="31"/>
        <v>583.33333333333337</v>
      </c>
      <c r="L95" s="982">
        <f t="shared" si="31"/>
        <v>583.33333333333337</v>
      </c>
      <c r="M95" s="982">
        <f t="shared" si="31"/>
        <v>583.33333333333337</v>
      </c>
      <c r="N95" s="982">
        <f t="shared" si="31"/>
        <v>583.33333333333337</v>
      </c>
      <c r="O95" s="982">
        <f t="shared" si="31"/>
        <v>583.33333333333337</v>
      </c>
      <c r="P95" s="982">
        <f t="shared" si="31"/>
        <v>583.33333333333337</v>
      </c>
      <c r="Q95" s="982">
        <f t="shared" si="31"/>
        <v>1166.6666666666667</v>
      </c>
      <c r="R95" s="982">
        <f t="shared" si="31"/>
        <v>1166.6666666666667</v>
      </c>
      <c r="S95" s="982">
        <f t="shared" si="31"/>
        <v>1166.6666666666667</v>
      </c>
      <c r="T95" s="982">
        <f t="shared" si="31"/>
        <v>1166.6666666666667</v>
      </c>
      <c r="U95" s="982">
        <f t="shared" si="31"/>
        <v>1178.3333333333335</v>
      </c>
      <c r="V95" s="982">
        <f t="shared" si="31"/>
        <v>1178.3333333333335</v>
      </c>
      <c r="W95" s="982">
        <f t="shared" si="31"/>
        <v>1178.3333333333335</v>
      </c>
      <c r="X95" s="982">
        <f t="shared" si="31"/>
        <v>1178.3333333333335</v>
      </c>
      <c r="Y95" s="982">
        <f t="shared" si="31"/>
        <v>1178.3333333333335</v>
      </c>
      <c r="Z95" s="982">
        <f t="shared" si="31"/>
        <v>1178.3333333333335</v>
      </c>
      <c r="AA95" s="982">
        <f t="shared" si="31"/>
        <v>1178.3333333333335</v>
      </c>
      <c r="AB95" s="982">
        <f t="shared" si="31"/>
        <v>1767.5</v>
      </c>
      <c r="AC95" s="982">
        <f t="shared" si="31"/>
        <v>1767.5</v>
      </c>
      <c r="AD95" s="982">
        <f t="shared" si="31"/>
        <v>1767.5</v>
      </c>
      <c r="AE95" s="982">
        <f t="shared" si="31"/>
        <v>1767.5</v>
      </c>
      <c r="AF95" s="982">
        <f t="shared" si="31"/>
        <v>0</v>
      </c>
      <c r="AG95" s="982">
        <f t="shared" si="31"/>
        <v>0</v>
      </c>
    </row>
    <row r="96" spans="1:33" ht="16.5" customHeight="1" outlineLevel="1">
      <c r="A96" s="127"/>
      <c r="B96" s="127"/>
      <c r="C96" s="40" t="str">
        <f t="shared" si="27"/>
        <v>Fill in name or positon here</v>
      </c>
      <c r="D96" s="8" t="str">
        <f t="shared" si="28"/>
        <v>USD</v>
      </c>
      <c r="E96" s="730">
        <f t="shared" si="29"/>
        <v>1</v>
      </c>
      <c r="F96" s="127"/>
      <c r="G96" s="127"/>
      <c r="H96" s="127"/>
      <c r="I96" s="236">
        <f t="shared" si="30"/>
        <v>7555</v>
      </c>
      <c r="J96" s="982">
        <f t="shared" ref="J96:AG96" si="32">IFERROR(J23*(J60/J23)*AGSatz_Pausch,0)*$E96</f>
        <v>0</v>
      </c>
      <c r="K96" s="982">
        <f t="shared" si="32"/>
        <v>0</v>
      </c>
      <c r="L96" s="982">
        <f t="shared" si="32"/>
        <v>0</v>
      </c>
      <c r="M96" s="982">
        <f t="shared" si="32"/>
        <v>0</v>
      </c>
      <c r="N96" s="982">
        <f t="shared" si="32"/>
        <v>0</v>
      </c>
      <c r="O96" s="982">
        <f t="shared" si="32"/>
        <v>0</v>
      </c>
      <c r="P96" s="982">
        <f t="shared" si="32"/>
        <v>0</v>
      </c>
      <c r="Q96" s="982">
        <f t="shared" si="32"/>
        <v>500</v>
      </c>
      <c r="R96" s="982">
        <f t="shared" si="32"/>
        <v>500</v>
      </c>
      <c r="S96" s="982">
        <f t="shared" si="32"/>
        <v>500</v>
      </c>
      <c r="T96" s="982">
        <f t="shared" si="32"/>
        <v>500</v>
      </c>
      <c r="U96" s="982">
        <f t="shared" si="32"/>
        <v>505</v>
      </c>
      <c r="V96" s="982">
        <f t="shared" si="32"/>
        <v>505</v>
      </c>
      <c r="W96" s="982">
        <f t="shared" si="32"/>
        <v>505</v>
      </c>
      <c r="X96" s="982">
        <f t="shared" si="32"/>
        <v>505</v>
      </c>
      <c r="Y96" s="982">
        <f t="shared" si="32"/>
        <v>505</v>
      </c>
      <c r="Z96" s="982">
        <f t="shared" si="32"/>
        <v>505</v>
      </c>
      <c r="AA96" s="982">
        <f t="shared" si="32"/>
        <v>505</v>
      </c>
      <c r="AB96" s="982">
        <f t="shared" si="32"/>
        <v>505</v>
      </c>
      <c r="AC96" s="982">
        <f t="shared" si="32"/>
        <v>505</v>
      </c>
      <c r="AD96" s="982">
        <f t="shared" si="32"/>
        <v>505</v>
      </c>
      <c r="AE96" s="982">
        <f t="shared" si="32"/>
        <v>505</v>
      </c>
      <c r="AF96" s="982">
        <f t="shared" si="32"/>
        <v>0</v>
      </c>
      <c r="AG96" s="982">
        <f t="shared" si="32"/>
        <v>0</v>
      </c>
    </row>
    <row r="97" spans="1:33" s="199" customFormat="1" ht="16.5" customHeight="1" outlineLevel="1">
      <c r="A97" s="127"/>
      <c r="B97" s="127"/>
      <c r="C97" s="40" t="str">
        <f t="shared" si="27"/>
        <v>Fill in name or positon here</v>
      </c>
      <c r="D97" s="8" t="str">
        <f t="shared" si="28"/>
        <v>USD</v>
      </c>
      <c r="E97" s="730">
        <f t="shared" si="29"/>
        <v>1</v>
      </c>
      <c r="F97" s="127"/>
      <c r="G97" s="127"/>
      <c r="H97" s="127"/>
      <c r="I97" s="236">
        <f t="shared" si="30"/>
        <v>0</v>
      </c>
      <c r="J97" s="982">
        <f t="shared" ref="J97:AG97" si="33">IFERROR(J24*(J61/J24)*AGSatz_Pausch,0)*$E97</f>
        <v>0</v>
      </c>
      <c r="K97" s="982">
        <f t="shared" si="33"/>
        <v>0</v>
      </c>
      <c r="L97" s="982">
        <f t="shared" si="33"/>
        <v>0</v>
      </c>
      <c r="M97" s="982">
        <f t="shared" si="33"/>
        <v>0</v>
      </c>
      <c r="N97" s="982">
        <f t="shared" si="33"/>
        <v>0</v>
      </c>
      <c r="O97" s="982">
        <f t="shared" si="33"/>
        <v>0</v>
      </c>
      <c r="P97" s="982">
        <f t="shared" si="33"/>
        <v>0</v>
      </c>
      <c r="Q97" s="982">
        <f t="shared" si="33"/>
        <v>0</v>
      </c>
      <c r="R97" s="982">
        <f t="shared" si="33"/>
        <v>0</v>
      </c>
      <c r="S97" s="982">
        <f t="shared" si="33"/>
        <v>0</v>
      </c>
      <c r="T97" s="982">
        <f t="shared" si="33"/>
        <v>0</v>
      </c>
      <c r="U97" s="982">
        <f t="shared" si="33"/>
        <v>0</v>
      </c>
      <c r="V97" s="982">
        <f t="shared" si="33"/>
        <v>0</v>
      </c>
      <c r="W97" s="982">
        <f t="shared" si="33"/>
        <v>0</v>
      </c>
      <c r="X97" s="982">
        <f t="shared" si="33"/>
        <v>0</v>
      </c>
      <c r="Y97" s="982">
        <f t="shared" si="33"/>
        <v>0</v>
      </c>
      <c r="Z97" s="982">
        <f t="shared" si="33"/>
        <v>0</v>
      </c>
      <c r="AA97" s="982">
        <f t="shared" si="33"/>
        <v>0</v>
      </c>
      <c r="AB97" s="982">
        <f t="shared" si="33"/>
        <v>0</v>
      </c>
      <c r="AC97" s="982">
        <f t="shared" si="33"/>
        <v>0</v>
      </c>
      <c r="AD97" s="982">
        <f t="shared" si="33"/>
        <v>0</v>
      </c>
      <c r="AE97" s="982">
        <f t="shared" si="33"/>
        <v>0</v>
      </c>
      <c r="AF97" s="982">
        <f t="shared" si="33"/>
        <v>0</v>
      </c>
      <c r="AG97" s="982">
        <f t="shared" si="33"/>
        <v>0</v>
      </c>
    </row>
    <row r="98" spans="1:33" s="878" customFormat="1" ht="16.5" customHeight="1" outlineLevel="1">
      <c r="A98" s="127"/>
      <c r="B98" s="127"/>
      <c r="C98" s="40" t="str">
        <f t="shared" si="27"/>
        <v>Fill in name or positon here</v>
      </c>
      <c r="D98" s="8" t="str">
        <f t="shared" si="28"/>
        <v>USD</v>
      </c>
      <c r="E98" s="730">
        <f t="shared" si="29"/>
        <v>1</v>
      </c>
      <c r="F98" s="127"/>
      <c r="G98" s="127"/>
      <c r="H98" s="127"/>
      <c r="I98" s="236">
        <f t="shared" si="30"/>
        <v>0</v>
      </c>
      <c r="J98" s="982">
        <f t="shared" ref="J98:AG98" si="34">IFERROR(J25*(J62/J25)*AGSatz_Pausch,0)*$E98</f>
        <v>0</v>
      </c>
      <c r="K98" s="982">
        <f t="shared" si="34"/>
        <v>0</v>
      </c>
      <c r="L98" s="982">
        <f t="shared" si="34"/>
        <v>0</v>
      </c>
      <c r="M98" s="982">
        <f t="shared" si="34"/>
        <v>0</v>
      </c>
      <c r="N98" s="982">
        <f t="shared" si="34"/>
        <v>0</v>
      </c>
      <c r="O98" s="982">
        <f t="shared" si="34"/>
        <v>0</v>
      </c>
      <c r="P98" s="982">
        <f t="shared" si="34"/>
        <v>0</v>
      </c>
      <c r="Q98" s="982">
        <f t="shared" si="34"/>
        <v>0</v>
      </c>
      <c r="R98" s="982">
        <f t="shared" si="34"/>
        <v>0</v>
      </c>
      <c r="S98" s="982">
        <f t="shared" si="34"/>
        <v>0</v>
      </c>
      <c r="T98" s="982">
        <f t="shared" si="34"/>
        <v>0</v>
      </c>
      <c r="U98" s="982">
        <f t="shared" si="34"/>
        <v>0</v>
      </c>
      <c r="V98" s="982">
        <f t="shared" si="34"/>
        <v>0</v>
      </c>
      <c r="W98" s="982">
        <f t="shared" si="34"/>
        <v>0</v>
      </c>
      <c r="X98" s="982">
        <f t="shared" si="34"/>
        <v>0</v>
      </c>
      <c r="Y98" s="982">
        <f t="shared" si="34"/>
        <v>0</v>
      </c>
      <c r="Z98" s="982">
        <f t="shared" si="34"/>
        <v>0</v>
      </c>
      <c r="AA98" s="982">
        <f t="shared" si="34"/>
        <v>0</v>
      </c>
      <c r="AB98" s="982">
        <f t="shared" si="34"/>
        <v>0</v>
      </c>
      <c r="AC98" s="982">
        <f t="shared" si="34"/>
        <v>0</v>
      </c>
      <c r="AD98" s="982">
        <f t="shared" si="34"/>
        <v>0</v>
      </c>
      <c r="AE98" s="982">
        <f t="shared" si="34"/>
        <v>0</v>
      </c>
      <c r="AF98" s="982">
        <f t="shared" si="34"/>
        <v>0</v>
      </c>
      <c r="AG98" s="982">
        <f t="shared" si="34"/>
        <v>0</v>
      </c>
    </row>
    <row r="99" spans="1:33" s="878" customFormat="1" ht="16.5" customHeight="1" outlineLevel="1">
      <c r="A99" s="127"/>
      <c r="B99" s="127"/>
      <c r="C99" s="40" t="str">
        <f t="shared" si="27"/>
        <v>Fill in name or positon here</v>
      </c>
      <c r="D99" s="8" t="str">
        <f t="shared" si="28"/>
        <v>USD</v>
      </c>
      <c r="E99" s="730">
        <f t="shared" si="29"/>
        <v>1</v>
      </c>
      <c r="F99" s="127"/>
      <c r="G99" s="127"/>
      <c r="H99" s="127"/>
      <c r="I99" s="236">
        <f t="shared" si="30"/>
        <v>0</v>
      </c>
      <c r="J99" s="982">
        <f t="shared" ref="J99:AG99" si="35">IFERROR(J26*(J63/J26)*AGSatz_Pausch,0)*$E99</f>
        <v>0</v>
      </c>
      <c r="K99" s="982">
        <f t="shared" si="35"/>
        <v>0</v>
      </c>
      <c r="L99" s="982">
        <f t="shared" si="35"/>
        <v>0</v>
      </c>
      <c r="M99" s="982">
        <f t="shared" si="35"/>
        <v>0</v>
      </c>
      <c r="N99" s="982">
        <f t="shared" si="35"/>
        <v>0</v>
      </c>
      <c r="O99" s="982">
        <f t="shared" si="35"/>
        <v>0</v>
      </c>
      <c r="P99" s="982">
        <f t="shared" si="35"/>
        <v>0</v>
      </c>
      <c r="Q99" s="982">
        <f t="shared" si="35"/>
        <v>0</v>
      </c>
      <c r="R99" s="982">
        <f t="shared" si="35"/>
        <v>0</v>
      </c>
      <c r="S99" s="982">
        <f t="shared" si="35"/>
        <v>0</v>
      </c>
      <c r="T99" s="982">
        <f t="shared" si="35"/>
        <v>0</v>
      </c>
      <c r="U99" s="982">
        <f t="shared" si="35"/>
        <v>0</v>
      </c>
      <c r="V99" s="982">
        <f t="shared" si="35"/>
        <v>0</v>
      </c>
      <c r="W99" s="982">
        <f t="shared" si="35"/>
        <v>0</v>
      </c>
      <c r="X99" s="982">
        <f t="shared" si="35"/>
        <v>0</v>
      </c>
      <c r="Y99" s="982">
        <f t="shared" si="35"/>
        <v>0</v>
      </c>
      <c r="Z99" s="982">
        <f t="shared" si="35"/>
        <v>0</v>
      </c>
      <c r="AA99" s="982">
        <f t="shared" si="35"/>
        <v>0</v>
      </c>
      <c r="AB99" s="982">
        <f t="shared" si="35"/>
        <v>0</v>
      </c>
      <c r="AC99" s="982">
        <f t="shared" si="35"/>
        <v>0</v>
      </c>
      <c r="AD99" s="982">
        <f t="shared" si="35"/>
        <v>0</v>
      </c>
      <c r="AE99" s="982">
        <f t="shared" si="35"/>
        <v>0</v>
      </c>
      <c r="AF99" s="982">
        <f t="shared" si="35"/>
        <v>0</v>
      </c>
      <c r="AG99" s="982">
        <f t="shared" si="35"/>
        <v>0</v>
      </c>
    </row>
    <row r="100" spans="1:33" s="878" customFormat="1" ht="16.5" customHeight="1" outlineLevel="1">
      <c r="A100" s="127"/>
      <c r="B100" s="127"/>
      <c r="C100" s="40" t="str">
        <f t="shared" si="27"/>
        <v>Fill in name or positon here</v>
      </c>
      <c r="D100" s="8" t="str">
        <f t="shared" si="28"/>
        <v>USD</v>
      </c>
      <c r="E100" s="730">
        <f t="shared" si="29"/>
        <v>1</v>
      </c>
      <c r="F100" s="127"/>
      <c r="G100" s="127"/>
      <c r="H100" s="127"/>
      <c r="I100" s="236">
        <f t="shared" si="30"/>
        <v>0</v>
      </c>
      <c r="J100" s="982">
        <f t="shared" ref="J100:AG100" si="36">IFERROR(J27*(J64/J27)*AGSatz_Pausch,0)*$E100</f>
        <v>0</v>
      </c>
      <c r="K100" s="982">
        <f t="shared" si="36"/>
        <v>0</v>
      </c>
      <c r="L100" s="982">
        <f t="shared" si="36"/>
        <v>0</v>
      </c>
      <c r="M100" s="982">
        <f t="shared" si="36"/>
        <v>0</v>
      </c>
      <c r="N100" s="982">
        <f t="shared" si="36"/>
        <v>0</v>
      </c>
      <c r="O100" s="982">
        <f t="shared" si="36"/>
        <v>0</v>
      </c>
      <c r="P100" s="982">
        <f t="shared" si="36"/>
        <v>0</v>
      </c>
      <c r="Q100" s="982">
        <f t="shared" si="36"/>
        <v>0</v>
      </c>
      <c r="R100" s="982">
        <f t="shared" si="36"/>
        <v>0</v>
      </c>
      <c r="S100" s="982">
        <f t="shared" si="36"/>
        <v>0</v>
      </c>
      <c r="T100" s="982">
        <f t="shared" si="36"/>
        <v>0</v>
      </c>
      <c r="U100" s="982">
        <f t="shared" si="36"/>
        <v>0</v>
      </c>
      <c r="V100" s="982">
        <f t="shared" si="36"/>
        <v>0</v>
      </c>
      <c r="W100" s="982">
        <f t="shared" si="36"/>
        <v>0</v>
      </c>
      <c r="X100" s="982">
        <f t="shared" si="36"/>
        <v>0</v>
      </c>
      <c r="Y100" s="982">
        <f t="shared" si="36"/>
        <v>0</v>
      </c>
      <c r="Z100" s="982">
        <f t="shared" si="36"/>
        <v>0</v>
      </c>
      <c r="AA100" s="982">
        <f t="shared" si="36"/>
        <v>0</v>
      </c>
      <c r="AB100" s="982">
        <f t="shared" si="36"/>
        <v>0</v>
      </c>
      <c r="AC100" s="982">
        <f t="shared" si="36"/>
        <v>0</v>
      </c>
      <c r="AD100" s="982">
        <f t="shared" si="36"/>
        <v>0</v>
      </c>
      <c r="AE100" s="982">
        <f t="shared" si="36"/>
        <v>0</v>
      </c>
      <c r="AF100" s="982">
        <f t="shared" si="36"/>
        <v>0</v>
      </c>
      <c r="AG100" s="982">
        <f t="shared" si="36"/>
        <v>0</v>
      </c>
    </row>
    <row r="101" spans="1:33" s="878" customFormat="1" ht="16.5" customHeight="1" outlineLevel="1">
      <c r="A101" s="127"/>
      <c r="B101" s="127"/>
      <c r="C101" s="40" t="str">
        <f t="shared" si="27"/>
        <v>Fill in name or positon here</v>
      </c>
      <c r="D101" s="8" t="str">
        <f t="shared" si="28"/>
        <v>USD</v>
      </c>
      <c r="E101" s="730">
        <f t="shared" si="29"/>
        <v>1</v>
      </c>
      <c r="F101" s="127"/>
      <c r="G101" s="127"/>
      <c r="H101" s="127"/>
      <c r="I101" s="236">
        <f t="shared" si="30"/>
        <v>0</v>
      </c>
      <c r="J101" s="982">
        <f t="shared" ref="J101:AG101" si="37">IFERROR(J28*(J65/J28)*AGSatz_Pausch,0)*$E101</f>
        <v>0</v>
      </c>
      <c r="K101" s="982">
        <f t="shared" si="37"/>
        <v>0</v>
      </c>
      <c r="L101" s="982">
        <f t="shared" si="37"/>
        <v>0</v>
      </c>
      <c r="M101" s="982">
        <f t="shared" si="37"/>
        <v>0</v>
      </c>
      <c r="N101" s="982">
        <f t="shared" si="37"/>
        <v>0</v>
      </c>
      <c r="O101" s="982">
        <f t="shared" si="37"/>
        <v>0</v>
      </c>
      <c r="P101" s="982">
        <f t="shared" si="37"/>
        <v>0</v>
      </c>
      <c r="Q101" s="982">
        <f t="shared" si="37"/>
        <v>0</v>
      </c>
      <c r="R101" s="982">
        <f t="shared" si="37"/>
        <v>0</v>
      </c>
      <c r="S101" s="982">
        <f t="shared" si="37"/>
        <v>0</v>
      </c>
      <c r="T101" s="982">
        <f t="shared" si="37"/>
        <v>0</v>
      </c>
      <c r="U101" s="982">
        <f t="shared" si="37"/>
        <v>0</v>
      </c>
      <c r="V101" s="982">
        <f t="shared" si="37"/>
        <v>0</v>
      </c>
      <c r="W101" s="982">
        <f t="shared" si="37"/>
        <v>0</v>
      </c>
      <c r="X101" s="982">
        <f t="shared" si="37"/>
        <v>0</v>
      </c>
      <c r="Y101" s="982">
        <f t="shared" si="37"/>
        <v>0</v>
      </c>
      <c r="Z101" s="982">
        <f t="shared" si="37"/>
        <v>0</v>
      </c>
      <c r="AA101" s="982">
        <f t="shared" si="37"/>
        <v>0</v>
      </c>
      <c r="AB101" s="982">
        <f t="shared" si="37"/>
        <v>0</v>
      </c>
      <c r="AC101" s="982">
        <f t="shared" si="37"/>
        <v>0</v>
      </c>
      <c r="AD101" s="982">
        <f t="shared" si="37"/>
        <v>0</v>
      </c>
      <c r="AE101" s="982">
        <f t="shared" si="37"/>
        <v>0</v>
      </c>
      <c r="AF101" s="982">
        <f t="shared" si="37"/>
        <v>0</v>
      </c>
      <c r="AG101" s="982">
        <f t="shared" si="37"/>
        <v>0</v>
      </c>
    </row>
    <row r="102" spans="1:33" ht="16.5" customHeight="1" outlineLevel="1">
      <c r="A102" s="127"/>
      <c r="B102" s="127"/>
      <c r="C102" s="40" t="str">
        <f t="shared" si="27"/>
        <v>Fill in name or positon here</v>
      </c>
      <c r="D102" s="8" t="str">
        <f t="shared" si="28"/>
        <v>USD</v>
      </c>
      <c r="E102" s="730">
        <f t="shared" si="29"/>
        <v>1</v>
      </c>
      <c r="F102" s="127"/>
      <c r="G102" s="127"/>
      <c r="H102" s="127"/>
      <c r="I102" s="236">
        <f t="shared" si="30"/>
        <v>0</v>
      </c>
      <c r="J102" s="982">
        <f t="shared" ref="J102:AG102" si="38">IFERROR(J29*(J66/J29)*AGSatz_Pausch,0)*$E102</f>
        <v>0</v>
      </c>
      <c r="K102" s="982">
        <f t="shared" si="38"/>
        <v>0</v>
      </c>
      <c r="L102" s="982">
        <f t="shared" si="38"/>
        <v>0</v>
      </c>
      <c r="M102" s="982">
        <f t="shared" si="38"/>
        <v>0</v>
      </c>
      <c r="N102" s="982">
        <f t="shared" si="38"/>
        <v>0</v>
      </c>
      <c r="O102" s="982">
        <f t="shared" si="38"/>
        <v>0</v>
      </c>
      <c r="P102" s="982">
        <f t="shared" si="38"/>
        <v>0</v>
      </c>
      <c r="Q102" s="982">
        <f t="shared" si="38"/>
        <v>0</v>
      </c>
      <c r="R102" s="982">
        <f t="shared" si="38"/>
        <v>0</v>
      </c>
      <c r="S102" s="982">
        <f t="shared" si="38"/>
        <v>0</v>
      </c>
      <c r="T102" s="982">
        <f t="shared" si="38"/>
        <v>0</v>
      </c>
      <c r="U102" s="982">
        <f t="shared" si="38"/>
        <v>0</v>
      </c>
      <c r="V102" s="982">
        <f t="shared" si="38"/>
        <v>0</v>
      </c>
      <c r="W102" s="982">
        <f t="shared" si="38"/>
        <v>0</v>
      </c>
      <c r="X102" s="982">
        <f t="shared" si="38"/>
        <v>0</v>
      </c>
      <c r="Y102" s="982">
        <f t="shared" si="38"/>
        <v>0</v>
      </c>
      <c r="Z102" s="982">
        <f t="shared" si="38"/>
        <v>0</v>
      </c>
      <c r="AA102" s="982">
        <f t="shared" si="38"/>
        <v>0</v>
      </c>
      <c r="AB102" s="982">
        <f t="shared" si="38"/>
        <v>0</v>
      </c>
      <c r="AC102" s="982">
        <f t="shared" si="38"/>
        <v>0</v>
      </c>
      <c r="AD102" s="982">
        <f t="shared" si="38"/>
        <v>0</v>
      </c>
      <c r="AE102" s="982">
        <f t="shared" si="38"/>
        <v>0</v>
      </c>
      <c r="AF102" s="982">
        <f t="shared" si="38"/>
        <v>0</v>
      </c>
      <c r="AG102" s="982">
        <f t="shared" si="38"/>
        <v>0</v>
      </c>
    </row>
    <row r="103" spans="1:33" ht="16.5" customHeight="1" outlineLevel="1">
      <c r="A103" s="127"/>
      <c r="B103" s="416"/>
      <c r="C103" s="75" t="str">
        <f t="shared" si="27"/>
        <v xml:space="preserve">     Subtotal</v>
      </c>
      <c r="D103" s="8" t="str">
        <f t="shared" si="28"/>
        <v>USD</v>
      </c>
      <c r="E103" s="36"/>
      <c r="F103" s="36"/>
      <c r="G103" s="36"/>
      <c r="H103" s="36"/>
      <c r="I103" s="236">
        <f t="shared" si="30"/>
        <v>31623.333333333332</v>
      </c>
      <c r="J103" s="984">
        <f>SUM(J95:J102)</f>
        <v>583.33333333333337</v>
      </c>
      <c r="K103" s="984">
        <f t="shared" ref="K103:AG103" si="39">SUM(K95:K102)</f>
        <v>583.33333333333337</v>
      </c>
      <c r="L103" s="984">
        <f t="shared" si="39"/>
        <v>583.33333333333337</v>
      </c>
      <c r="M103" s="984">
        <f t="shared" si="39"/>
        <v>583.33333333333337</v>
      </c>
      <c r="N103" s="984">
        <f t="shared" si="39"/>
        <v>583.33333333333337</v>
      </c>
      <c r="O103" s="984">
        <f t="shared" si="39"/>
        <v>583.33333333333337</v>
      </c>
      <c r="P103" s="984">
        <f t="shared" si="39"/>
        <v>583.33333333333337</v>
      </c>
      <c r="Q103" s="984">
        <f t="shared" si="39"/>
        <v>1666.6666666666667</v>
      </c>
      <c r="R103" s="984">
        <f t="shared" si="39"/>
        <v>1666.6666666666667</v>
      </c>
      <c r="S103" s="984">
        <f t="shared" si="39"/>
        <v>1666.6666666666667</v>
      </c>
      <c r="T103" s="984">
        <f t="shared" si="39"/>
        <v>1666.6666666666667</v>
      </c>
      <c r="U103" s="984">
        <f t="shared" si="39"/>
        <v>1683.3333333333335</v>
      </c>
      <c r="V103" s="984">
        <f t="shared" si="39"/>
        <v>1683.3333333333335</v>
      </c>
      <c r="W103" s="984">
        <f t="shared" si="39"/>
        <v>1683.3333333333335</v>
      </c>
      <c r="X103" s="984">
        <f t="shared" si="39"/>
        <v>1683.3333333333335</v>
      </c>
      <c r="Y103" s="984">
        <f t="shared" si="39"/>
        <v>1683.3333333333335</v>
      </c>
      <c r="Z103" s="984">
        <f t="shared" si="39"/>
        <v>1683.3333333333335</v>
      </c>
      <c r="AA103" s="984">
        <f t="shared" si="39"/>
        <v>1683.3333333333335</v>
      </c>
      <c r="AB103" s="984">
        <f t="shared" si="39"/>
        <v>2272.5</v>
      </c>
      <c r="AC103" s="984">
        <f t="shared" si="39"/>
        <v>2272.5</v>
      </c>
      <c r="AD103" s="984">
        <f t="shared" si="39"/>
        <v>2272.5</v>
      </c>
      <c r="AE103" s="984">
        <f t="shared" si="39"/>
        <v>2272.5</v>
      </c>
      <c r="AF103" s="984">
        <f t="shared" si="39"/>
        <v>0</v>
      </c>
      <c r="AG103" s="984">
        <f t="shared" si="39"/>
        <v>0</v>
      </c>
    </row>
    <row r="104" spans="1:33" ht="16.5" customHeight="1" outlineLevel="1">
      <c r="A104" s="127"/>
      <c r="B104" s="127"/>
      <c r="C104" s="127"/>
      <c r="D104" s="270"/>
      <c r="E104" s="127"/>
      <c r="F104" s="127"/>
      <c r="G104" s="127"/>
      <c r="H104" s="127"/>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row>
    <row r="105" spans="1:33" ht="16.5" customHeight="1" outlineLevel="1">
      <c r="A105" s="127"/>
      <c r="B105" s="683" t="str">
        <f>Inputs!$B$126</f>
        <v>4.</v>
      </c>
      <c r="C105" s="986" t="str">
        <f>Inputs!$C$126</f>
        <v>General and Administration Staff</v>
      </c>
      <c r="D105" s="270"/>
      <c r="E105" s="127"/>
      <c r="F105" s="235"/>
      <c r="G105" s="235"/>
      <c r="H105" s="127"/>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c r="AE105" s="438"/>
      <c r="AF105" s="438"/>
      <c r="AG105" s="438"/>
    </row>
    <row r="106" spans="1:33" ht="16.5" customHeight="1" outlineLevel="1">
      <c r="A106" s="127"/>
      <c r="B106" s="127"/>
      <c r="C106" s="40" t="str">
        <f t="shared" ref="C106:C114" si="40">C33</f>
        <v>Fill in name or positon here</v>
      </c>
      <c r="D106" s="8" t="str">
        <f t="shared" ref="D106:D114" si="41">Currency_Label</f>
        <v>USD</v>
      </c>
      <c r="E106" s="730">
        <f t="shared" ref="E106:E113" si="42">E33</f>
        <v>1</v>
      </c>
      <c r="F106" s="127"/>
      <c r="G106" s="127"/>
      <c r="H106" s="127"/>
      <c r="I106" s="236">
        <f t="shared" ref="I106:I114" si="43">SUM(J106:AG106)</f>
        <v>28770.000000000004</v>
      </c>
      <c r="J106" s="982">
        <f t="shared" ref="J106:AG106" si="44">IFERROR(J33*(J70/J33)*AGSatz_Pausch,0)*$E106</f>
        <v>583.33333333333337</v>
      </c>
      <c r="K106" s="982">
        <f t="shared" si="44"/>
        <v>583.33333333333337</v>
      </c>
      <c r="L106" s="982">
        <f t="shared" si="44"/>
        <v>583.33333333333337</v>
      </c>
      <c r="M106" s="982">
        <f t="shared" si="44"/>
        <v>583.33333333333337</v>
      </c>
      <c r="N106" s="982">
        <f t="shared" si="44"/>
        <v>583.33333333333337</v>
      </c>
      <c r="O106" s="982">
        <f t="shared" si="44"/>
        <v>1166.6666666666667</v>
      </c>
      <c r="P106" s="982">
        <f t="shared" si="44"/>
        <v>1166.6666666666667</v>
      </c>
      <c r="Q106" s="982">
        <f t="shared" si="44"/>
        <v>1166.6666666666667</v>
      </c>
      <c r="R106" s="982">
        <f t="shared" si="44"/>
        <v>1166.6666666666667</v>
      </c>
      <c r="S106" s="982">
        <f t="shared" si="44"/>
        <v>1166.6666666666667</v>
      </c>
      <c r="T106" s="982">
        <f t="shared" si="44"/>
        <v>1166.6666666666667</v>
      </c>
      <c r="U106" s="982">
        <f t="shared" si="44"/>
        <v>1178.3333333333335</v>
      </c>
      <c r="V106" s="982">
        <f t="shared" si="44"/>
        <v>1178.3333333333335</v>
      </c>
      <c r="W106" s="982">
        <f t="shared" si="44"/>
        <v>1767.5</v>
      </c>
      <c r="X106" s="982">
        <f t="shared" si="44"/>
        <v>1767.5</v>
      </c>
      <c r="Y106" s="982">
        <f t="shared" si="44"/>
        <v>1767.5</v>
      </c>
      <c r="Z106" s="982">
        <f t="shared" si="44"/>
        <v>1767.5</v>
      </c>
      <c r="AA106" s="982">
        <f t="shared" si="44"/>
        <v>1767.5</v>
      </c>
      <c r="AB106" s="982">
        <f t="shared" si="44"/>
        <v>1767.5</v>
      </c>
      <c r="AC106" s="982">
        <f t="shared" si="44"/>
        <v>1767.5</v>
      </c>
      <c r="AD106" s="982">
        <f t="shared" si="44"/>
        <v>1767.5</v>
      </c>
      <c r="AE106" s="982">
        <f t="shared" si="44"/>
        <v>2356.666666666667</v>
      </c>
      <c r="AF106" s="982">
        <f t="shared" si="44"/>
        <v>0</v>
      </c>
      <c r="AG106" s="982">
        <f t="shared" si="44"/>
        <v>0</v>
      </c>
    </row>
    <row r="107" spans="1:33" ht="16.5" customHeight="1" outlineLevel="1">
      <c r="A107" s="127"/>
      <c r="B107" s="127"/>
      <c r="C107" s="40" t="str">
        <f t="shared" si="40"/>
        <v>Fill in name or positon here</v>
      </c>
      <c r="D107" s="8" t="str">
        <f t="shared" si="41"/>
        <v>USD</v>
      </c>
      <c r="E107" s="730">
        <f t="shared" si="42"/>
        <v>1</v>
      </c>
      <c r="F107" s="127"/>
      <c r="G107" s="127"/>
      <c r="H107" s="127"/>
      <c r="I107" s="236">
        <f t="shared" si="43"/>
        <v>0</v>
      </c>
      <c r="J107" s="982">
        <f t="shared" ref="J107:AG107" si="45">IFERROR(J34*(J71/J34)*AGSatz_Pausch,0)*$E107</f>
        <v>0</v>
      </c>
      <c r="K107" s="982">
        <f t="shared" si="45"/>
        <v>0</v>
      </c>
      <c r="L107" s="982">
        <f t="shared" si="45"/>
        <v>0</v>
      </c>
      <c r="M107" s="982">
        <f t="shared" si="45"/>
        <v>0</v>
      </c>
      <c r="N107" s="982">
        <f t="shared" si="45"/>
        <v>0</v>
      </c>
      <c r="O107" s="982">
        <f t="shared" si="45"/>
        <v>0</v>
      </c>
      <c r="P107" s="982">
        <f t="shared" si="45"/>
        <v>0</v>
      </c>
      <c r="Q107" s="982">
        <f t="shared" si="45"/>
        <v>0</v>
      </c>
      <c r="R107" s="982">
        <f t="shared" si="45"/>
        <v>0</v>
      </c>
      <c r="S107" s="982">
        <f t="shared" si="45"/>
        <v>0</v>
      </c>
      <c r="T107" s="982">
        <f t="shared" si="45"/>
        <v>0</v>
      </c>
      <c r="U107" s="982">
        <f t="shared" si="45"/>
        <v>0</v>
      </c>
      <c r="V107" s="982">
        <f t="shared" si="45"/>
        <v>0</v>
      </c>
      <c r="W107" s="982">
        <f t="shared" si="45"/>
        <v>0</v>
      </c>
      <c r="X107" s="982">
        <f t="shared" si="45"/>
        <v>0</v>
      </c>
      <c r="Y107" s="982">
        <f t="shared" si="45"/>
        <v>0</v>
      </c>
      <c r="Z107" s="982">
        <f t="shared" si="45"/>
        <v>0</v>
      </c>
      <c r="AA107" s="982">
        <f t="shared" si="45"/>
        <v>0</v>
      </c>
      <c r="AB107" s="982">
        <f t="shared" si="45"/>
        <v>0</v>
      </c>
      <c r="AC107" s="982">
        <f t="shared" si="45"/>
        <v>0</v>
      </c>
      <c r="AD107" s="982">
        <f t="shared" si="45"/>
        <v>0</v>
      </c>
      <c r="AE107" s="982">
        <f t="shared" si="45"/>
        <v>0</v>
      </c>
      <c r="AF107" s="982">
        <f t="shared" si="45"/>
        <v>0</v>
      </c>
      <c r="AG107" s="982">
        <f t="shared" si="45"/>
        <v>0</v>
      </c>
    </row>
    <row r="108" spans="1:33" s="199" customFormat="1" ht="16.5" customHeight="1" outlineLevel="1">
      <c r="A108" s="127"/>
      <c r="B108" s="127"/>
      <c r="C108" s="40" t="str">
        <f t="shared" si="40"/>
        <v>Fill in name or positon here</v>
      </c>
      <c r="D108" s="8" t="str">
        <f t="shared" si="41"/>
        <v>USD</v>
      </c>
      <c r="E108" s="730">
        <f t="shared" si="42"/>
        <v>1</v>
      </c>
      <c r="F108" s="127"/>
      <c r="G108" s="127"/>
      <c r="H108" s="127"/>
      <c r="I108" s="236">
        <f t="shared" si="43"/>
        <v>0</v>
      </c>
      <c r="J108" s="982">
        <f t="shared" ref="J108:AG108" si="46">IFERROR(J35*(J72/J35)*AGSatz_Pausch,0)*$E108</f>
        <v>0</v>
      </c>
      <c r="K108" s="982">
        <f t="shared" si="46"/>
        <v>0</v>
      </c>
      <c r="L108" s="982">
        <f t="shared" si="46"/>
        <v>0</v>
      </c>
      <c r="M108" s="982">
        <f t="shared" si="46"/>
        <v>0</v>
      </c>
      <c r="N108" s="982">
        <f t="shared" si="46"/>
        <v>0</v>
      </c>
      <c r="O108" s="982">
        <f t="shared" si="46"/>
        <v>0</v>
      </c>
      <c r="P108" s="982">
        <f t="shared" si="46"/>
        <v>0</v>
      </c>
      <c r="Q108" s="982">
        <f t="shared" si="46"/>
        <v>0</v>
      </c>
      <c r="R108" s="982">
        <f t="shared" si="46"/>
        <v>0</v>
      </c>
      <c r="S108" s="982">
        <f t="shared" si="46"/>
        <v>0</v>
      </c>
      <c r="T108" s="982">
        <f t="shared" si="46"/>
        <v>0</v>
      </c>
      <c r="U108" s="982">
        <f t="shared" si="46"/>
        <v>0</v>
      </c>
      <c r="V108" s="982">
        <f t="shared" si="46"/>
        <v>0</v>
      </c>
      <c r="W108" s="982">
        <f t="shared" si="46"/>
        <v>0</v>
      </c>
      <c r="X108" s="982">
        <f t="shared" si="46"/>
        <v>0</v>
      </c>
      <c r="Y108" s="982">
        <f t="shared" si="46"/>
        <v>0</v>
      </c>
      <c r="Z108" s="982">
        <f t="shared" si="46"/>
        <v>0</v>
      </c>
      <c r="AA108" s="982">
        <f t="shared" si="46"/>
        <v>0</v>
      </c>
      <c r="AB108" s="982">
        <f t="shared" si="46"/>
        <v>0</v>
      </c>
      <c r="AC108" s="982">
        <f t="shared" si="46"/>
        <v>0</v>
      </c>
      <c r="AD108" s="982">
        <f t="shared" si="46"/>
        <v>0</v>
      </c>
      <c r="AE108" s="982">
        <f t="shared" si="46"/>
        <v>0</v>
      </c>
      <c r="AF108" s="982">
        <f t="shared" si="46"/>
        <v>0</v>
      </c>
      <c r="AG108" s="982">
        <f t="shared" si="46"/>
        <v>0</v>
      </c>
    </row>
    <row r="109" spans="1:33" s="878" customFormat="1" ht="16.5" customHeight="1" outlineLevel="1">
      <c r="A109" s="127"/>
      <c r="B109" s="127"/>
      <c r="C109" s="40" t="str">
        <f t="shared" si="40"/>
        <v>Fill in name or positon here</v>
      </c>
      <c r="D109" s="8" t="str">
        <f t="shared" si="41"/>
        <v>USD</v>
      </c>
      <c r="E109" s="730">
        <f t="shared" si="42"/>
        <v>1</v>
      </c>
      <c r="F109" s="127"/>
      <c r="G109" s="127"/>
      <c r="H109" s="127"/>
      <c r="I109" s="236">
        <f t="shared" si="43"/>
        <v>0</v>
      </c>
      <c r="J109" s="982">
        <f t="shared" ref="J109:AG109" si="47">IFERROR(J36*(J73/J36)*AGSatz_Pausch,0)*$E109</f>
        <v>0</v>
      </c>
      <c r="K109" s="982">
        <f t="shared" si="47"/>
        <v>0</v>
      </c>
      <c r="L109" s="982">
        <f t="shared" si="47"/>
        <v>0</v>
      </c>
      <c r="M109" s="982">
        <f t="shared" si="47"/>
        <v>0</v>
      </c>
      <c r="N109" s="982">
        <f t="shared" si="47"/>
        <v>0</v>
      </c>
      <c r="O109" s="982">
        <f t="shared" si="47"/>
        <v>0</v>
      </c>
      <c r="P109" s="982">
        <f t="shared" si="47"/>
        <v>0</v>
      </c>
      <c r="Q109" s="982">
        <f t="shared" si="47"/>
        <v>0</v>
      </c>
      <c r="R109" s="982">
        <f t="shared" si="47"/>
        <v>0</v>
      </c>
      <c r="S109" s="982">
        <f t="shared" si="47"/>
        <v>0</v>
      </c>
      <c r="T109" s="982">
        <f t="shared" si="47"/>
        <v>0</v>
      </c>
      <c r="U109" s="982">
        <f t="shared" si="47"/>
        <v>0</v>
      </c>
      <c r="V109" s="982">
        <f t="shared" si="47"/>
        <v>0</v>
      </c>
      <c r="W109" s="982">
        <f t="shared" si="47"/>
        <v>0</v>
      </c>
      <c r="X109" s="982">
        <f t="shared" si="47"/>
        <v>0</v>
      </c>
      <c r="Y109" s="982">
        <f t="shared" si="47"/>
        <v>0</v>
      </c>
      <c r="Z109" s="982">
        <f t="shared" si="47"/>
        <v>0</v>
      </c>
      <c r="AA109" s="982">
        <f t="shared" si="47"/>
        <v>0</v>
      </c>
      <c r="AB109" s="982">
        <f t="shared" si="47"/>
        <v>0</v>
      </c>
      <c r="AC109" s="982">
        <f t="shared" si="47"/>
        <v>0</v>
      </c>
      <c r="AD109" s="982">
        <f t="shared" si="47"/>
        <v>0</v>
      </c>
      <c r="AE109" s="982">
        <f t="shared" si="47"/>
        <v>0</v>
      </c>
      <c r="AF109" s="982">
        <f t="shared" si="47"/>
        <v>0</v>
      </c>
      <c r="AG109" s="982">
        <f t="shared" si="47"/>
        <v>0</v>
      </c>
    </row>
    <row r="110" spans="1:33" s="878" customFormat="1" ht="16.5" customHeight="1" outlineLevel="1">
      <c r="A110" s="127"/>
      <c r="B110" s="127"/>
      <c r="C110" s="40" t="str">
        <f t="shared" si="40"/>
        <v>Fill in name or positon here</v>
      </c>
      <c r="D110" s="8" t="str">
        <f t="shared" si="41"/>
        <v>USD</v>
      </c>
      <c r="E110" s="730">
        <f t="shared" si="42"/>
        <v>1</v>
      </c>
      <c r="F110" s="127"/>
      <c r="G110" s="127"/>
      <c r="H110" s="127"/>
      <c r="I110" s="236">
        <f t="shared" si="43"/>
        <v>0</v>
      </c>
      <c r="J110" s="982">
        <f t="shared" ref="J110:AG110" si="48">IFERROR(J37*(J74/J37)*AGSatz_Pausch,0)*$E110</f>
        <v>0</v>
      </c>
      <c r="K110" s="982">
        <f t="shared" si="48"/>
        <v>0</v>
      </c>
      <c r="L110" s="982">
        <f t="shared" si="48"/>
        <v>0</v>
      </c>
      <c r="M110" s="982">
        <f t="shared" si="48"/>
        <v>0</v>
      </c>
      <c r="N110" s="982">
        <f t="shared" si="48"/>
        <v>0</v>
      </c>
      <c r="O110" s="982">
        <f t="shared" si="48"/>
        <v>0</v>
      </c>
      <c r="P110" s="982">
        <f t="shared" si="48"/>
        <v>0</v>
      </c>
      <c r="Q110" s="982">
        <f t="shared" si="48"/>
        <v>0</v>
      </c>
      <c r="R110" s="982">
        <f t="shared" si="48"/>
        <v>0</v>
      </c>
      <c r="S110" s="982">
        <f t="shared" si="48"/>
        <v>0</v>
      </c>
      <c r="T110" s="982">
        <f t="shared" si="48"/>
        <v>0</v>
      </c>
      <c r="U110" s="982">
        <f t="shared" si="48"/>
        <v>0</v>
      </c>
      <c r="V110" s="982">
        <f t="shared" si="48"/>
        <v>0</v>
      </c>
      <c r="W110" s="982">
        <f t="shared" si="48"/>
        <v>0</v>
      </c>
      <c r="X110" s="982">
        <f t="shared" si="48"/>
        <v>0</v>
      </c>
      <c r="Y110" s="982">
        <f t="shared" si="48"/>
        <v>0</v>
      </c>
      <c r="Z110" s="982">
        <f t="shared" si="48"/>
        <v>0</v>
      </c>
      <c r="AA110" s="982">
        <f t="shared" si="48"/>
        <v>0</v>
      </c>
      <c r="AB110" s="982">
        <f t="shared" si="48"/>
        <v>0</v>
      </c>
      <c r="AC110" s="982">
        <f t="shared" si="48"/>
        <v>0</v>
      </c>
      <c r="AD110" s="982">
        <f t="shared" si="48"/>
        <v>0</v>
      </c>
      <c r="AE110" s="982">
        <f t="shared" si="48"/>
        <v>0</v>
      </c>
      <c r="AF110" s="982">
        <f t="shared" si="48"/>
        <v>0</v>
      </c>
      <c r="AG110" s="982">
        <f t="shared" si="48"/>
        <v>0</v>
      </c>
    </row>
    <row r="111" spans="1:33" s="878" customFormat="1" ht="16.5" customHeight="1" outlineLevel="1">
      <c r="A111" s="127"/>
      <c r="B111" s="127"/>
      <c r="C111" s="40" t="str">
        <f t="shared" si="40"/>
        <v>Fill in name or positon here</v>
      </c>
      <c r="D111" s="8" t="str">
        <f t="shared" si="41"/>
        <v>USD</v>
      </c>
      <c r="E111" s="730">
        <f t="shared" si="42"/>
        <v>1</v>
      </c>
      <c r="F111" s="127"/>
      <c r="G111" s="127"/>
      <c r="H111" s="127"/>
      <c r="I111" s="236">
        <f t="shared" si="43"/>
        <v>0</v>
      </c>
      <c r="J111" s="982">
        <f t="shared" ref="J111:AG111" si="49">IFERROR(J38*(J75/J38)*AGSatz_Pausch,0)*$E111</f>
        <v>0</v>
      </c>
      <c r="K111" s="982">
        <f t="shared" si="49"/>
        <v>0</v>
      </c>
      <c r="L111" s="982">
        <f t="shared" si="49"/>
        <v>0</v>
      </c>
      <c r="M111" s="982">
        <f t="shared" si="49"/>
        <v>0</v>
      </c>
      <c r="N111" s="982">
        <f t="shared" si="49"/>
        <v>0</v>
      </c>
      <c r="O111" s="982">
        <f t="shared" si="49"/>
        <v>0</v>
      </c>
      <c r="P111" s="982">
        <f t="shared" si="49"/>
        <v>0</v>
      </c>
      <c r="Q111" s="982">
        <f t="shared" si="49"/>
        <v>0</v>
      </c>
      <c r="R111" s="982">
        <f t="shared" si="49"/>
        <v>0</v>
      </c>
      <c r="S111" s="982">
        <f t="shared" si="49"/>
        <v>0</v>
      </c>
      <c r="T111" s="982">
        <f t="shared" si="49"/>
        <v>0</v>
      </c>
      <c r="U111" s="982">
        <f t="shared" si="49"/>
        <v>0</v>
      </c>
      <c r="V111" s="982">
        <f t="shared" si="49"/>
        <v>0</v>
      </c>
      <c r="W111" s="982">
        <f t="shared" si="49"/>
        <v>0</v>
      </c>
      <c r="X111" s="982">
        <f t="shared" si="49"/>
        <v>0</v>
      </c>
      <c r="Y111" s="982">
        <f t="shared" si="49"/>
        <v>0</v>
      </c>
      <c r="Z111" s="982">
        <f t="shared" si="49"/>
        <v>0</v>
      </c>
      <c r="AA111" s="982">
        <f t="shared" si="49"/>
        <v>0</v>
      </c>
      <c r="AB111" s="982">
        <f t="shared" si="49"/>
        <v>0</v>
      </c>
      <c r="AC111" s="982">
        <f t="shared" si="49"/>
        <v>0</v>
      </c>
      <c r="AD111" s="982">
        <f t="shared" si="49"/>
        <v>0</v>
      </c>
      <c r="AE111" s="982">
        <f t="shared" si="49"/>
        <v>0</v>
      </c>
      <c r="AF111" s="982">
        <f t="shared" si="49"/>
        <v>0</v>
      </c>
      <c r="AG111" s="982">
        <f t="shared" si="49"/>
        <v>0</v>
      </c>
    </row>
    <row r="112" spans="1:33" s="878" customFormat="1" ht="16.5" customHeight="1" outlineLevel="1">
      <c r="A112" s="127"/>
      <c r="B112" s="127"/>
      <c r="C112" s="40" t="str">
        <f t="shared" si="40"/>
        <v>Fill in name or positon here</v>
      </c>
      <c r="D112" s="8" t="str">
        <f t="shared" si="41"/>
        <v>USD</v>
      </c>
      <c r="E112" s="730">
        <f t="shared" si="42"/>
        <v>1</v>
      </c>
      <c r="F112" s="127"/>
      <c r="G112" s="127"/>
      <c r="H112" s="127"/>
      <c r="I112" s="236">
        <f t="shared" si="43"/>
        <v>0</v>
      </c>
      <c r="J112" s="982">
        <f t="shared" ref="J112:AG112" si="50">IFERROR(J39*(J76/J39)*AGSatz_Pausch,0)*$E112</f>
        <v>0</v>
      </c>
      <c r="K112" s="982">
        <f t="shared" si="50"/>
        <v>0</v>
      </c>
      <c r="L112" s="982">
        <f t="shared" si="50"/>
        <v>0</v>
      </c>
      <c r="M112" s="982">
        <f t="shared" si="50"/>
        <v>0</v>
      </c>
      <c r="N112" s="982">
        <f t="shared" si="50"/>
        <v>0</v>
      </c>
      <c r="O112" s="982">
        <f t="shared" si="50"/>
        <v>0</v>
      </c>
      <c r="P112" s="982">
        <f t="shared" si="50"/>
        <v>0</v>
      </c>
      <c r="Q112" s="982">
        <f t="shared" si="50"/>
        <v>0</v>
      </c>
      <c r="R112" s="982">
        <f t="shared" si="50"/>
        <v>0</v>
      </c>
      <c r="S112" s="982">
        <f t="shared" si="50"/>
        <v>0</v>
      </c>
      <c r="T112" s="982">
        <f t="shared" si="50"/>
        <v>0</v>
      </c>
      <c r="U112" s="982">
        <f t="shared" si="50"/>
        <v>0</v>
      </c>
      <c r="V112" s="982">
        <f t="shared" si="50"/>
        <v>0</v>
      </c>
      <c r="W112" s="982">
        <f t="shared" si="50"/>
        <v>0</v>
      </c>
      <c r="X112" s="982">
        <f t="shared" si="50"/>
        <v>0</v>
      </c>
      <c r="Y112" s="982">
        <f t="shared" si="50"/>
        <v>0</v>
      </c>
      <c r="Z112" s="982">
        <f t="shared" si="50"/>
        <v>0</v>
      </c>
      <c r="AA112" s="982">
        <f t="shared" si="50"/>
        <v>0</v>
      </c>
      <c r="AB112" s="982">
        <f t="shared" si="50"/>
        <v>0</v>
      </c>
      <c r="AC112" s="982">
        <f t="shared" si="50"/>
        <v>0</v>
      </c>
      <c r="AD112" s="982">
        <f t="shared" si="50"/>
        <v>0</v>
      </c>
      <c r="AE112" s="982">
        <f t="shared" si="50"/>
        <v>0</v>
      </c>
      <c r="AF112" s="982">
        <f t="shared" si="50"/>
        <v>0</v>
      </c>
      <c r="AG112" s="982">
        <f t="shared" si="50"/>
        <v>0</v>
      </c>
    </row>
    <row r="113" spans="1:33" ht="16.5" customHeight="1" outlineLevel="1">
      <c r="A113" s="127"/>
      <c r="B113" s="127"/>
      <c r="C113" s="40" t="str">
        <f t="shared" si="40"/>
        <v>Fill in name or positon here</v>
      </c>
      <c r="D113" s="8" t="str">
        <f t="shared" si="41"/>
        <v>USD</v>
      </c>
      <c r="E113" s="730">
        <f t="shared" si="42"/>
        <v>1</v>
      </c>
      <c r="F113" s="127"/>
      <c r="G113" s="127"/>
      <c r="H113" s="127"/>
      <c r="I113" s="236">
        <f t="shared" si="43"/>
        <v>0</v>
      </c>
      <c r="J113" s="982">
        <f t="shared" ref="J113:AG113" si="51">IFERROR(J40*(J77/J40)*AGSatz_Pausch,0)*$E113</f>
        <v>0</v>
      </c>
      <c r="K113" s="982">
        <f t="shared" si="51"/>
        <v>0</v>
      </c>
      <c r="L113" s="982">
        <f t="shared" si="51"/>
        <v>0</v>
      </c>
      <c r="M113" s="982">
        <f t="shared" si="51"/>
        <v>0</v>
      </c>
      <c r="N113" s="982">
        <f t="shared" si="51"/>
        <v>0</v>
      </c>
      <c r="O113" s="982">
        <f t="shared" si="51"/>
        <v>0</v>
      </c>
      <c r="P113" s="982">
        <f t="shared" si="51"/>
        <v>0</v>
      </c>
      <c r="Q113" s="982">
        <f t="shared" si="51"/>
        <v>0</v>
      </c>
      <c r="R113" s="982">
        <f t="shared" si="51"/>
        <v>0</v>
      </c>
      <c r="S113" s="982">
        <f t="shared" si="51"/>
        <v>0</v>
      </c>
      <c r="T113" s="982">
        <f t="shared" si="51"/>
        <v>0</v>
      </c>
      <c r="U113" s="982">
        <f t="shared" si="51"/>
        <v>0</v>
      </c>
      <c r="V113" s="982">
        <f t="shared" si="51"/>
        <v>0</v>
      </c>
      <c r="W113" s="982">
        <f t="shared" si="51"/>
        <v>0</v>
      </c>
      <c r="X113" s="982">
        <f t="shared" si="51"/>
        <v>0</v>
      </c>
      <c r="Y113" s="982">
        <f t="shared" si="51"/>
        <v>0</v>
      </c>
      <c r="Z113" s="982">
        <f t="shared" si="51"/>
        <v>0</v>
      </c>
      <c r="AA113" s="982">
        <f t="shared" si="51"/>
        <v>0</v>
      </c>
      <c r="AB113" s="982">
        <f t="shared" si="51"/>
        <v>0</v>
      </c>
      <c r="AC113" s="982">
        <f t="shared" si="51"/>
        <v>0</v>
      </c>
      <c r="AD113" s="982">
        <f t="shared" si="51"/>
        <v>0</v>
      </c>
      <c r="AE113" s="982">
        <f t="shared" si="51"/>
        <v>0</v>
      </c>
      <c r="AF113" s="982">
        <f t="shared" si="51"/>
        <v>0</v>
      </c>
      <c r="AG113" s="982">
        <f t="shared" si="51"/>
        <v>0</v>
      </c>
    </row>
    <row r="114" spans="1:33" ht="16.5" customHeight="1" outlineLevel="1">
      <c r="A114" s="127"/>
      <c r="B114" s="127"/>
      <c r="C114" s="75" t="str">
        <f t="shared" si="40"/>
        <v xml:space="preserve">     Subtotal</v>
      </c>
      <c r="D114" s="8" t="str">
        <f t="shared" si="41"/>
        <v>USD</v>
      </c>
      <c r="E114" s="36"/>
      <c r="F114" s="36"/>
      <c r="G114" s="36"/>
      <c r="H114" s="36"/>
      <c r="I114" s="236">
        <f t="shared" si="43"/>
        <v>28770.000000000004</v>
      </c>
      <c r="J114" s="984">
        <f>SUM(J106:J113)</f>
        <v>583.33333333333337</v>
      </c>
      <c r="K114" s="984">
        <f t="shared" ref="K114:AG114" si="52">SUM(K106:K113)</f>
        <v>583.33333333333337</v>
      </c>
      <c r="L114" s="984">
        <f t="shared" si="52"/>
        <v>583.33333333333337</v>
      </c>
      <c r="M114" s="984">
        <f t="shared" si="52"/>
        <v>583.33333333333337</v>
      </c>
      <c r="N114" s="984">
        <f t="shared" si="52"/>
        <v>583.33333333333337</v>
      </c>
      <c r="O114" s="984">
        <f t="shared" si="52"/>
        <v>1166.6666666666667</v>
      </c>
      <c r="P114" s="984">
        <f t="shared" si="52"/>
        <v>1166.6666666666667</v>
      </c>
      <c r="Q114" s="984">
        <f t="shared" si="52"/>
        <v>1166.6666666666667</v>
      </c>
      <c r="R114" s="984">
        <f t="shared" si="52"/>
        <v>1166.6666666666667</v>
      </c>
      <c r="S114" s="984">
        <f t="shared" si="52"/>
        <v>1166.6666666666667</v>
      </c>
      <c r="T114" s="984">
        <f t="shared" si="52"/>
        <v>1166.6666666666667</v>
      </c>
      <c r="U114" s="984">
        <f t="shared" si="52"/>
        <v>1178.3333333333335</v>
      </c>
      <c r="V114" s="984">
        <f t="shared" si="52"/>
        <v>1178.3333333333335</v>
      </c>
      <c r="W114" s="984">
        <f t="shared" si="52"/>
        <v>1767.5</v>
      </c>
      <c r="X114" s="984">
        <f t="shared" si="52"/>
        <v>1767.5</v>
      </c>
      <c r="Y114" s="984">
        <f t="shared" si="52"/>
        <v>1767.5</v>
      </c>
      <c r="Z114" s="984">
        <f t="shared" si="52"/>
        <v>1767.5</v>
      </c>
      <c r="AA114" s="984">
        <f t="shared" si="52"/>
        <v>1767.5</v>
      </c>
      <c r="AB114" s="984">
        <f t="shared" si="52"/>
        <v>1767.5</v>
      </c>
      <c r="AC114" s="984">
        <f t="shared" si="52"/>
        <v>1767.5</v>
      </c>
      <c r="AD114" s="984">
        <f t="shared" si="52"/>
        <v>1767.5</v>
      </c>
      <c r="AE114" s="984">
        <f t="shared" si="52"/>
        <v>2356.666666666667</v>
      </c>
      <c r="AF114" s="984">
        <f t="shared" si="52"/>
        <v>0</v>
      </c>
      <c r="AG114" s="984">
        <f t="shared" si="52"/>
        <v>0</v>
      </c>
    </row>
    <row r="115" spans="1:33" ht="16.5" customHeight="1" outlineLevel="1">
      <c r="A115" s="127"/>
      <c r="B115" s="127"/>
      <c r="C115" s="127"/>
      <c r="D115" s="270"/>
      <c r="E115" s="127"/>
      <c r="F115" s="127"/>
      <c r="G115" s="127"/>
      <c r="H115" s="127"/>
      <c r="I115" s="438"/>
      <c r="J115" s="438"/>
      <c r="K115" s="438"/>
      <c r="L115" s="438"/>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row>
    <row r="116" spans="1:33" ht="16.5" customHeight="1" outlineLevel="1" thickBot="1">
      <c r="A116" s="127"/>
      <c r="B116" s="127"/>
      <c r="C116" s="75" t="s">
        <v>241</v>
      </c>
      <c r="D116" s="8" t="str">
        <f>Currency_Label</f>
        <v>USD</v>
      </c>
      <c r="E116" s="36"/>
      <c r="F116" s="36"/>
      <c r="G116" s="36"/>
      <c r="H116" s="36"/>
      <c r="I116" s="236">
        <f ca="1">SUM(J116:AG116)</f>
        <v>148475.98939289359</v>
      </c>
      <c r="J116" s="686">
        <f t="shared" ref="J116:AG116" ca="1" si="53">J87+J92+J103+J114</f>
        <v>1774.7555555555555</v>
      </c>
      <c r="K116" s="686">
        <f t="shared" ca="1" si="53"/>
        <v>2140.3111111111116</v>
      </c>
      <c r="L116" s="686">
        <f t="shared" ca="1" si="53"/>
        <v>2493.0888888888894</v>
      </c>
      <c r="M116" s="686">
        <f t="shared" ca="1" si="53"/>
        <v>2778.1844444444446</v>
      </c>
      <c r="N116" s="686">
        <f t="shared" ca="1" si="53"/>
        <v>3087.7488888888893</v>
      </c>
      <c r="O116" s="686">
        <f t="shared" ca="1" si="53"/>
        <v>3990.6492444444448</v>
      </c>
      <c r="P116" s="686">
        <f t="shared" ca="1" si="53"/>
        <v>4300.7119475555564</v>
      </c>
      <c r="Q116" s="686">
        <f t="shared" ca="1" si="53"/>
        <v>5718.9223054577797</v>
      </c>
      <c r="R116" s="686">
        <f t="shared" ca="1" si="53"/>
        <v>6064.9334110094233</v>
      </c>
      <c r="S116" s="686">
        <f t="shared" ca="1" si="53"/>
        <v>6337.5372774498001</v>
      </c>
      <c r="T116" s="686">
        <f t="shared" ca="1" si="53"/>
        <v>6662.6868892144594</v>
      </c>
      <c r="U116" s="686">
        <f t="shared" ca="1" si="53"/>
        <v>7069.0564569434773</v>
      </c>
      <c r="V116" s="686">
        <f t="shared" ca="1" si="53"/>
        <v>7346.3257714228839</v>
      </c>
      <c r="W116" s="686">
        <f t="shared" ca="1" si="53"/>
        <v>8256.6481267138643</v>
      </c>
      <c r="X116" s="686">
        <f t="shared" ca="1" si="53"/>
        <v>8582.7175270751522</v>
      </c>
      <c r="Y116" s="686">
        <f t="shared" ca="1" si="53"/>
        <v>8869.5681566572093</v>
      </c>
      <c r="Z116" s="686">
        <f t="shared" ca="1" si="53"/>
        <v>9193.5366676399772</v>
      </c>
      <c r="AA116" s="686">
        <f t="shared" ca="1" si="53"/>
        <v>9524.4352070479781</v>
      </c>
      <c r="AB116" s="686">
        <f t="shared" ca="1" si="53"/>
        <v>10417.360618485669</v>
      </c>
      <c r="AC116" s="686">
        <f t="shared" ca="1" si="53"/>
        <v>10753.442282848882</v>
      </c>
      <c r="AD116" s="686">
        <f t="shared" ca="1" si="53"/>
        <v>11098.385392655924</v>
      </c>
      <c r="AE116" s="686">
        <f t="shared" ca="1" si="53"/>
        <v>12014.983221382219</v>
      </c>
      <c r="AF116" s="686">
        <f t="shared" ca="1" si="53"/>
        <v>0</v>
      </c>
      <c r="AG116" s="686">
        <f t="shared" ca="1" si="53"/>
        <v>0</v>
      </c>
    </row>
    <row r="117" spans="1:33" ht="16.5" customHeight="1" thickTop="1">
      <c r="A117" s="127"/>
      <c r="B117" s="127"/>
      <c r="C117" s="127"/>
      <c r="D117" s="270"/>
      <c r="E117" s="127"/>
      <c r="F117" s="127"/>
      <c r="G117" s="127"/>
      <c r="H117" s="127"/>
      <c r="I117" s="438"/>
      <c r="J117" s="420"/>
      <c r="K117" s="420"/>
      <c r="L117" s="420"/>
      <c r="M117" s="786"/>
      <c r="N117" s="786"/>
      <c r="O117" s="786"/>
      <c r="P117" s="786"/>
      <c r="Q117" s="786"/>
      <c r="R117" s="786"/>
      <c r="S117" s="786"/>
      <c r="T117" s="786"/>
      <c r="U117" s="786"/>
      <c r="V117" s="786"/>
      <c r="W117" s="786"/>
      <c r="X117" s="786"/>
      <c r="Y117" s="786"/>
      <c r="Z117" s="786"/>
      <c r="AA117" s="786"/>
      <c r="AB117" s="786"/>
      <c r="AC117" s="786"/>
      <c r="AD117" s="786"/>
      <c r="AE117" s="786"/>
      <c r="AF117" s="786"/>
      <c r="AG117" s="786"/>
    </row>
    <row r="118" spans="1:33" ht="21.75" customHeight="1" thickBot="1">
      <c r="A118" s="316"/>
      <c r="B118" s="316"/>
      <c r="C118" s="316" t="s">
        <v>226</v>
      </c>
      <c r="D118" s="316"/>
      <c r="E118" s="316"/>
      <c r="F118" s="316"/>
      <c r="G118" s="316"/>
      <c r="H118" s="316"/>
      <c r="I118" s="427"/>
      <c r="J118" s="427"/>
      <c r="K118" s="427"/>
      <c r="L118" s="427"/>
      <c r="M118" s="427"/>
      <c r="N118" s="427"/>
      <c r="O118" s="427"/>
      <c r="P118" s="427"/>
      <c r="Q118" s="427"/>
      <c r="R118" s="427"/>
      <c r="S118" s="427"/>
      <c r="T118" s="427"/>
      <c r="U118" s="427"/>
      <c r="V118" s="427"/>
      <c r="W118" s="427"/>
      <c r="X118" s="427"/>
      <c r="Y118" s="427"/>
      <c r="Z118" s="427"/>
      <c r="AA118" s="427"/>
      <c r="AB118" s="427"/>
      <c r="AC118" s="427"/>
      <c r="AD118" s="427"/>
      <c r="AE118" s="427"/>
      <c r="AF118" s="427"/>
      <c r="AG118" s="427"/>
    </row>
    <row r="119" spans="1:33" ht="17.25" customHeight="1" outlineLevel="1">
      <c r="A119" s="861"/>
      <c r="B119" s="683" t="str">
        <f>Inputs!$B$109</f>
        <v>1.</v>
      </c>
      <c r="C119" s="986" t="str">
        <f>Inputs!$C$109</f>
        <v>Direct Labor Staff</v>
      </c>
      <c r="D119" s="127"/>
      <c r="E119" s="127"/>
      <c r="F119" s="127"/>
      <c r="G119" s="127"/>
      <c r="H119" s="127"/>
      <c r="I119" s="420"/>
      <c r="J119" s="420"/>
      <c r="K119" s="420"/>
      <c r="L119" s="420"/>
      <c r="M119" s="786"/>
      <c r="N119" s="786"/>
      <c r="O119" s="786"/>
      <c r="P119" s="786"/>
      <c r="Q119" s="786"/>
      <c r="R119" s="786"/>
      <c r="S119" s="786"/>
      <c r="T119" s="786"/>
      <c r="U119" s="786"/>
      <c r="V119" s="786"/>
      <c r="W119" s="786"/>
      <c r="X119" s="786"/>
      <c r="Y119" s="786"/>
      <c r="Z119" s="786"/>
      <c r="AA119" s="786"/>
      <c r="AB119" s="786"/>
      <c r="AC119" s="786"/>
      <c r="AD119" s="786"/>
      <c r="AE119" s="786"/>
      <c r="AF119" s="786"/>
      <c r="AG119" s="786"/>
    </row>
    <row r="120" spans="1:33" s="632" customFormat="1" ht="17.25" customHeight="1" outlineLevel="1">
      <c r="A120" s="127"/>
      <c r="B120" s="416" t="str">
        <f>IF(B15="","",B15)</f>
        <v/>
      </c>
      <c r="C120" s="40" t="str">
        <f>Inputs!$C$140</f>
        <v>Recruiting Costs (one-time upon hiring)</v>
      </c>
      <c r="D120" s="8" t="str">
        <f>Currency_Label</f>
        <v>USD</v>
      </c>
      <c r="E120" s="144">
        <f>Inputs!F140</f>
        <v>0</v>
      </c>
      <c r="F120" s="270" t="s">
        <v>238</v>
      </c>
      <c r="G120" s="127"/>
      <c r="H120" s="127"/>
      <c r="I120" s="236">
        <f t="shared" ref="I120:I126" ca="1" si="54">SUM(J120:AG120)</f>
        <v>0</v>
      </c>
      <c r="J120" s="982">
        <f t="shared" ref="J120:AG120" ca="1" si="55">MAX(0,J14-I14)*$E120*J$6</f>
        <v>0</v>
      </c>
      <c r="K120" s="982">
        <f t="shared" ca="1" si="55"/>
        <v>0</v>
      </c>
      <c r="L120" s="982">
        <f t="shared" ca="1" si="55"/>
        <v>0</v>
      </c>
      <c r="M120" s="982">
        <f t="shared" ca="1" si="55"/>
        <v>0</v>
      </c>
      <c r="N120" s="982">
        <f t="shared" ca="1" si="55"/>
        <v>0</v>
      </c>
      <c r="O120" s="982">
        <f t="shared" ca="1" si="55"/>
        <v>0</v>
      </c>
      <c r="P120" s="982">
        <f t="shared" ca="1" si="55"/>
        <v>0</v>
      </c>
      <c r="Q120" s="982">
        <f t="shared" ca="1" si="55"/>
        <v>0</v>
      </c>
      <c r="R120" s="982">
        <f t="shared" ca="1" si="55"/>
        <v>0</v>
      </c>
      <c r="S120" s="982">
        <f t="shared" ca="1" si="55"/>
        <v>0</v>
      </c>
      <c r="T120" s="982">
        <f t="shared" ca="1" si="55"/>
        <v>0</v>
      </c>
      <c r="U120" s="982">
        <f t="shared" ca="1" si="55"/>
        <v>0</v>
      </c>
      <c r="V120" s="982">
        <f t="shared" ca="1" si="55"/>
        <v>0</v>
      </c>
      <c r="W120" s="982">
        <f t="shared" ca="1" si="55"/>
        <v>0</v>
      </c>
      <c r="X120" s="982">
        <f t="shared" ca="1" si="55"/>
        <v>0</v>
      </c>
      <c r="Y120" s="982">
        <f t="shared" ca="1" si="55"/>
        <v>0</v>
      </c>
      <c r="Z120" s="982">
        <f t="shared" ca="1" si="55"/>
        <v>0</v>
      </c>
      <c r="AA120" s="982">
        <f t="shared" ca="1" si="55"/>
        <v>0</v>
      </c>
      <c r="AB120" s="982">
        <f t="shared" ca="1" si="55"/>
        <v>0</v>
      </c>
      <c r="AC120" s="982">
        <f t="shared" ca="1" si="55"/>
        <v>0</v>
      </c>
      <c r="AD120" s="982">
        <f t="shared" ca="1" si="55"/>
        <v>0</v>
      </c>
      <c r="AE120" s="982">
        <f t="shared" ca="1" si="55"/>
        <v>0</v>
      </c>
      <c r="AF120" s="982">
        <f t="shared" ca="1" si="55"/>
        <v>0</v>
      </c>
      <c r="AG120" s="982">
        <f t="shared" ca="1" si="55"/>
        <v>0</v>
      </c>
    </row>
    <row r="121" spans="1:33" s="878" customFormat="1" ht="17.25" customHeight="1" outlineLevel="1">
      <c r="A121" s="127"/>
      <c r="B121" s="416"/>
      <c r="C121" s="40" t="str">
        <f>Inputs!$C$141</f>
        <v>Travel &amp; Entertainment costs</v>
      </c>
      <c r="D121" s="8" t="str">
        <f>Currency_Label</f>
        <v>USD</v>
      </c>
      <c r="E121" s="144">
        <f>Inputs!F141</f>
        <v>0</v>
      </c>
      <c r="F121" s="270" t="s">
        <v>239</v>
      </c>
      <c r="G121" s="127"/>
      <c r="H121" s="127"/>
      <c r="I121" s="236">
        <f t="shared" ca="1" si="54"/>
        <v>0</v>
      </c>
      <c r="J121" s="982">
        <f t="shared" ref="J121:S122" ca="1" si="56">J$14*$E121*J$6</f>
        <v>0</v>
      </c>
      <c r="K121" s="982">
        <f t="shared" ca="1" si="56"/>
        <v>0</v>
      </c>
      <c r="L121" s="982">
        <f t="shared" ca="1" si="56"/>
        <v>0</v>
      </c>
      <c r="M121" s="982">
        <f t="shared" ca="1" si="56"/>
        <v>0</v>
      </c>
      <c r="N121" s="982">
        <f t="shared" ca="1" si="56"/>
        <v>0</v>
      </c>
      <c r="O121" s="982">
        <f t="shared" ca="1" si="56"/>
        <v>0</v>
      </c>
      <c r="P121" s="982">
        <f t="shared" ca="1" si="56"/>
        <v>0</v>
      </c>
      <c r="Q121" s="982">
        <f t="shared" ca="1" si="56"/>
        <v>0</v>
      </c>
      <c r="R121" s="982">
        <f t="shared" ca="1" si="56"/>
        <v>0</v>
      </c>
      <c r="S121" s="982">
        <f t="shared" ca="1" si="56"/>
        <v>0</v>
      </c>
      <c r="T121" s="982">
        <f t="shared" ref="T121:AG122" ca="1" si="57">T$14*$E121*T$6</f>
        <v>0</v>
      </c>
      <c r="U121" s="982">
        <f t="shared" ca="1" si="57"/>
        <v>0</v>
      </c>
      <c r="V121" s="982">
        <f t="shared" ca="1" si="57"/>
        <v>0</v>
      </c>
      <c r="W121" s="982">
        <f t="shared" ca="1" si="57"/>
        <v>0</v>
      </c>
      <c r="X121" s="982">
        <f t="shared" ca="1" si="57"/>
        <v>0</v>
      </c>
      <c r="Y121" s="982">
        <f t="shared" ca="1" si="57"/>
        <v>0</v>
      </c>
      <c r="Z121" s="982">
        <f t="shared" ca="1" si="57"/>
        <v>0</v>
      </c>
      <c r="AA121" s="982">
        <f t="shared" ca="1" si="57"/>
        <v>0</v>
      </c>
      <c r="AB121" s="982">
        <f t="shared" ca="1" si="57"/>
        <v>0</v>
      </c>
      <c r="AC121" s="982">
        <f t="shared" ca="1" si="57"/>
        <v>0</v>
      </c>
      <c r="AD121" s="982">
        <f t="shared" ca="1" si="57"/>
        <v>0</v>
      </c>
      <c r="AE121" s="982">
        <f t="shared" ca="1" si="57"/>
        <v>0</v>
      </c>
      <c r="AF121" s="982">
        <f t="shared" ca="1" si="57"/>
        <v>0</v>
      </c>
      <c r="AG121" s="982">
        <f t="shared" ca="1" si="57"/>
        <v>0</v>
      </c>
    </row>
    <row r="122" spans="1:33" s="878" customFormat="1" ht="17.25" customHeight="1" outlineLevel="1">
      <c r="A122" s="127"/>
      <c r="B122" s="416"/>
      <c r="C122" s="40" t="str">
        <f>Inputs!$C$142</f>
        <v>Spare</v>
      </c>
      <c r="D122" s="8" t="str">
        <f>Currency_Label</f>
        <v>USD</v>
      </c>
      <c r="E122" s="144">
        <f>Inputs!F142</f>
        <v>0</v>
      </c>
      <c r="F122" s="270" t="s">
        <v>239</v>
      </c>
      <c r="G122" s="127"/>
      <c r="H122" s="127"/>
      <c r="I122" s="236">
        <f t="shared" ca="1" si="54"/>
        <v>0</v>
      </c>
      <c r="J122" s="982">
        <f t="shared" ca="1" si="56"/>
        <v>0</v>
      </c>
      <c r="K122" s="982">
        <f t="shared" ca="1" si="56"/>
        <v>0</v>
      </c>
      <c r="L122" s="982">
        <f t="shared" ca="1" si="56"/>
        <v>0</v>
      </c>
      <c r="M122" s="982">
        <f t="shared" ca="1" si="56"/>
        <v>0</v>
      </c>
      <c r="N122" s="982">
        <f t="shared" ca="1" si="56"/>
        <v>0</v>
      </c>
      <c r="O122" s="982">
        <f t="shared" ca="1" si="56"/>
        <v>0</v>
      </c>
      <c r="P122" s="982">
        <f t="shared" ca="1" si="56"/>
        <v>0</v>
      </c>
      <c r="Q122" s="982">
        <f t="shared" ca="1" si="56"/>
        <v>0</v>
      </c>
      <c r="R122" s="982">
        <f t="shared" ca="1" si="56"/>
        <v>0</v>
      </c>
      <c r="S122" s="982">
        <f t="shared" ca="1" si="56"/>
        <v>0</v>
      </c>
      <c r="T122" s="982">
        <f t="shared" ca="1" si="57"/>
        <v>0</v>
      </c>
      <c r="U122" s="982">
        <f t="shared" ca="1" si="57"/>
        <v>0</v>
      </c>
      <c r="V122" s="982">
        <f t="shared" ca="1" si="57"/>
        <v>0</v>
      </c>
      <c r="W122" s="982">
        <f t="shared" ca="1" si="57"/>
        <v>0</v>
      </c>
      <c r="X122" s="982">
        <f t="shared" ca="1" si="57"/>
        <v>0</v>
      </c>
      <c r="Y122" s="982">
        <f t="shared" ca="1" si="57"/>
        <v>0</v>
      </c>
      <c r="Z122" s="982">
        <f t="shared" ca="1" si="57"/>
        <v>0</v>
      </c>
      <c r="AA122" s="982">
        <f t="shared" ca="1" si="57"/>
        <v>0</v>
      </c>
      <c r="AB122" s="982">
        <f t="shared" ca="1" si="57"/>
        <v>0</v>
      </c>
      <c r="AC122" s="982">
        <f t="shared" ca="1" si="57"/>
        <v>0</v>
      </c>
      <c r="AD122" s="982">
        <f t="shared" ca="1" si="57"/>
        <v>0</v>
      </c>
      <c r="AE122" s="982">
        <f t="shared" ca="1" si="57"/>
        <v>0</v>
      </c>
      <c r="AF122" s="982">
        <f t="shared" ca="1" si="57"/>
        <v>0</v>
      </c>
      <c r="AG122" s="982">
        <f t="shared" ca="1" si="57"/>
        <v>0</v>
      </c>
    </row>
    <row r="123" spans="1:33" s="878" customFormat="1" ht="17.25" customHeight="1" outlineLevel="1">
      <c r="A123" s="127"/>
      <c r="B123" s="416"/>
      <c r="C123" s="40" t="str">
        <f>Inputs!$C$143</f>
        <v>Training costs</v>
      </c>
      <c r="D123" s="8" t="str">
        <f t="shared" ref="D123:D124" si="58">Currency_Label</f>
        <v>USD</v>
      </c>
      <c r="E123" s="84">
        <f>Inputs!F143</f>
        <v>0.01</v>
      </c>
      <c r="F123" s="270" t="s">
        <v>227</v>
      </c>
      <c r="G123" s="127"/>
      <c r="H123" s="127"/>
      <c r="I123" s="236">
        <f t="shared" ca="1" si="54"/>
        <v>2041.6240257879078</v>
      </c>
      <c r="J123" s="982">
        <f t="shared" ref="J123:S125" ca="1" si="59">J$51*$E123*J$6</f>
        <v>12.42</v>
      </c>
      <c r="K123" s="982">
        <f t="shared" ca="1" si="59"/>
        <v>18.420000000000002</v>
      </c>
      <c r="L123" s="982">
        <f t="shared" ca="1" si="59"/>
        <v>25.920000000000005</v>
      </c>
      <c r="M123" s="982">
        <f t="shared" ca="1" si="59"/>
        <v>33.099000000000004</v>
      </c>
      <c r="N123" s="982">
        <f t="shared" ca="1" si="59"/>
        <v>40.911000000000001</v>
      </c>
      <c r="O123" s="982">
        <f t="shared" ca="1" si="59"/>
        <v>48.972480000000004</v>
      </c>
      <c r="P123" s="982">
        <f t="shared" ca="1" si="59"/>
        <v>56.766469200000003</v>
      </c>
      <c r="Q123" s="982">
        <f t="shared" ca="1" si="59"/>
        <v>65.200765968000013</v>
      </c>
      <c r="R123" s="982">
        <f t="shared" ca="1" si="59"/>
        <v>73.912584606720017</v>
      </c>
      <c r="S123" s="982">
        <f t="shared" ca="1" si="59"/>
        <v>80.663378490988805</v>
      </c>
      <c r="T123" s="982">
        <f t="shared" ref="T123:AG125" ca="1" si="60">T$51*$E123*T$6</f>
        <v>88.786481530628379</v>
      </c>
      <c r="U123" s="982">
        <f t="shared" ca="1" si="60"/>
        <v>97.931208618772061</v>
      </c>
      <c r="V123" s="982">
        <f t="shared" ca="1" si="60"/>
        <v>104.72635103927294</v>
      </c>
      <c r="W123" s="982">
        <f t="shared" ca="1" si="60"/>
        <v>112.65940031357384</v>
      </c>
      <c r="X123" s="982">
        <f t="shared" ca="1" si="60"/>
        <v>120.7002812372468</v>
      </c>
      <c r="Y123" s="982">
        <f t="shared" ca="1" si="60"/>
        <v>127.6826188378592</v>
      </c>
      <c r="Z123" s="982">
        <f t="shared" ca="1" si="60"/>
        <v>135.62148019530383</v>
      </c>
      <c r="AA123" s="982">
        <f t="shared" ca="1" si="60"/>
        <v>143.71868336263032</v>
      </c>
      <c r="AB123" s="982">
        <f t="shared" ca="1" si="60"/>
        <v>151.07348923486353</v>
      </c>
      <c r="AC123" s="982">
        <f t="shared" ca="1" si="60"/>
        <v>159.2552260389478</v>
      </c>
      <c r="AD123" s="982">
        <f t="shared" ca="1" si="60"/>
        <v>167.64323070543932</v>
      </c>
      <c r="AE123" s="982">
        <f t="shared" ca="1" si="60"/>
        <v>175.5398964076613</v>
      </c>
      <c r="AF123" s="982">
        <f t="shared" ca="1" si="60"/>
        <v>0</v>
      </c>
      <c r="AG123" s="982">
        <f t="shared" ca="1" si="60"/>
        <v>0</v>
      </c>
    </row>
    <row r="124" spans="1:33" s="878" customFormat="1" ht="17.25" customHeight="1" outlineLevel="1">
      <c r="A124" s="127"/>
      <c r="B124" s="416"/>
      <c r="C124" s="40" t="str">
        <f>Inputs!$C$144</f>
        <v>Bonus at plan performance</v>
      </c>
      <c r="D124" s="8" t="str">
        <f t="shared" si="58"/>
        <v>USD</v>
      </c>
      <c r="E124" s="84">
        <f>Inputs!F144</f>
        <v>0</v>
      </c>
      <c r="F124" s="270" t="s">
        <v>227</v>
      </c>
      <c r="G124" s="127"/>
      <c r="H124" s="127"/>
      <c r="I124" s="236">
        <f t="shared" ca="1" si="54"/>
        <v>0</v>
      </c>
      <c r="J124" s="982">
        <f t="shared" ca="1" si="59"/>
        <v>0</v>
      </c>
      <c r="K124" s="982">
        <f t="shared" ca="1" si="59"/>
        <v>0</v>
      </c>
      <c r="L124" s="982">
        <f t="shared" ca="1" si="59"/>
        <v>0</v>
      </c>
      <c r="M124" s="982">
        <f t="shared" ca="1" si="59"/>
        <v>0</v>
      </c>
      <c r="N124" s="982">
        <f t="shared" ca="1" si="59"/>
        <v>0</v>
      </c>
      <c r="O124" s="982">
        <f t="shared" ca="1" si="59"/>
        <v>0</v>
      </c>
      <c r="P124" s="982">
        <f t="shared" ca="1" si="59"/>
        <v>0</v>
      </c>
      <c r="Q124" s="982">
        <f t="shared" ca="1" si="59"/>
        <v>0</v>
      </c>
      <c r="R124" s="982">
        <f t="shared" ca="1" si="59"/>
        <v>0</v>
      </c>
      <c r="S124" s="982">
        <f t="shared" ca="1" si="59"/>
        <v>0</v>
      </c>
      <c r="T124" s="982">
        <f t="shared" ca="1" si="60"/>
        <v>0</v>
      </c>
      <c r="U124" s="982">
        <f t="shared" ca="1" si="60"/>
        <v>0</v>
      </c>
      <c r="V124" s="982">
        <f t="shared" ca="1" si="60"/>
        <v>0</v>
      </c>
      <c r="W124" s="982">
        <f t="shared" ca="1" si="60"/>
        <v>0</v>
      </c>
      <c r="X124" s="982">
        <f t="shared" ca="1" si="60"/>
        <v>0</v>
      </c>
      <c r="Y124" s="982">
        <f t="shared" ca="1" si="60"/>
        <v>0</v>
      </c>
      <c r="Z124" s="982">
        <f t="shared" ca="1" si="60"/>
        <v>0</v>
      </c>
      <c r="AA124" s="982">
        <f t="shared" ca="1" si="60"/>
        <v>0</v>
      </c>
      <c r="AB124" s="982">
        <f t="shared" ca="1" si="60"/>
        <v>0</v>
      </c>
      <c r="AC124" s="982">
        <f t="shared" ca="1" si="60"/>
        <v>0</v>
      </c>
      <c r="AD124" s="982">
        <f t="shared" ca="1" si="60"/>
        <v>0</v>
      </c>
      <c r="AE124" s="982">
        <f t="shared" ca="1" si="60"/>
        <v>0</v>
      </c>
      <c r="AF124" s="982">
        <f t="shared" ca="1" si="60"/>
        <v>0</v>
      </c>
      <c r="AG124" s="982">
        <f t="shared" ca="1" si="60"/>
        <v>0</v>
      </c>
    </row>
    <row r="125" spans="1:33" s="878" customFormat="1" ht="17.25" customHeight="1" outlineLevel="1">
      <c r="A125" s="127"/>
      <c r="B125" s="416"/>
      <c r="C125" s="40" t="str">
        <f>Inputs!$C$145</f>
        <v>Spare</v>
      </c>
      <c r="D125" s="8" t="str">
        <f>Currency_Label</f>
        <v>USD</v>
      </c>
      <c r="E125" s="84">
        <f>Inputs!F145</f>
        <v>5.0000000000000001E-3</v>
      </c>
      <c r="F125" s="270" t="s">
        <v>227</v>
      </c>
      <c r="G125" s="127"/>
      <c r="H125" s="127"/>
      <c r="I125" s="236">
        <f t="shared" ca="1" si="54"/>
        <v>1020.8120128939539</v>
      </c>
      <c r="J125" s="982">
        <f t="shared" ca="1" si="59"/>
        <v>6.21</v>
      </c>
      <c r="K125" s="982">
        <f t="shared" ca="1" si="59"/>
        <v>9.2100000000000009</v>
      </c>
      <c r="L125" s="982">
        <f t="shared" ca="1" si="59"/>
        <v>12.960000000000003</v>
      </c>
      <c r="M125" s="982">
        <f t="shared" ca="1" si="59"/>
        <v>16.549500000000002</v>
      </c>
      <c r="N125" s="982">
        <f t="shared" ca="1" si="59"/>
        <v>20.455500000000001</v>
      </c>
      <c r="O125" s="982">
        <f t="shared" ca="1" si="59"/>
        <v>24.486240000000002</v>
      </c>
      <c r="P125" s="982">
        <f t="shared" ca="1" si="59"/>
        <v>28.383234600000002</v>
      </c>
      <c r="Q125" s="982">
        <f t="shared" ca="1" si="59"/>
        <v>32.600382984000007</v>
      </c>
      <c r="R125" s="982">
        <f t="shared" ca="1" si="59"/>
        <v>36.956292303360009</v>
      </c>
      <c r="S125" s="982">
        <f t="shared" ca="1" si="59"/>
        <v>40.331689245494402</v>
      </c>
      <c r="T125" s="982">
        <f t="shared" ca="1" si="60"/>
        <v>44.393240765314189</v>
      </c>
      <c r="U125" s="982">
        <f t="shared" ca="1" si="60"/>
        <v>48.96560430938603</v>
      </c>
      <c r="V125" s="982">
        <f t="shared" ca="1" si="60"/>
        <v>52.363175519636471</v>
      </c>
      <c r="W125" s="982">
        <f t="shared" ca="1" si="60"/>
        <v>56.32970015678692</v>
      </c>
      <c r="X125" s="982">
        <f t="shared" ca="1" si="60"/>
        <v>60.350140618623399</v>
      </c>
      <c r="Y125" s="982">
        <f t="shared" ca="1" si="60"/>
        <v>63.841309418929598</v>
      </c>
      <c r="Z125" s="982">
        <f t="shared" ca="1" si="60"/>
        <v>67.810740097651916</v>
      </c>
      <c r="AA125" s="982">
        <f t="shared" ca="1" si="60"/>
        <v>71.859341681315158</v>
      </c>
      <c r="AB125" s="982">
        <f t="shared" ca="1" si="60"/>
        <v>75.536744617431765</v>
      </c>
      <c r="AC125" s="982">
        <f t="shared" ca="1" si="60"/>
        <v>79.627613019473898</v>
      </c>
      <c r="AD125" s="982">
        <f t="shared" ca="1" si="60"/>
        <v>83.821615352719661</v>
      </c>
      <c r="AE125" s="982">
        <f t="shared" ca="1" si="60"/>
        <v>87.769948203830651</v>
      </c>
      <c r="AF125" s="982">
        <f t="shared" ca="1" si="60"/>
        <v>0</v>
      </c>
      <c r="AG125" s="982">
        <f t="shared" ca="1" si="60"/>
        <v>0</v>
      </c>
    </row>
    <row r="126" spans="1:33" s="878" customFormat="1" ht="17.25" customHeight="1" outlineLevel="1">
      <c r="A126" s="127"/>
      <c r="B126" s="416"/>
      <c r="C126" s="75" t="str">
        <f>C14</f>
        <v xml:space="preserve">     Subtotal</v>
      </c>
      <c r="D126" s="8" t="str">
        <f>Currency_Label</f>
        <v>USD</v>
      </c>
      <c r="E126" s="36"/>
      <c r="F126" s="36"/>
      <c r="G126" s="36"/>
      <c r="H126" s="36"/>
      <c r="I126" s="236">
        <f t="shared" ca="1" si="54"/>
        <v>3062.4360386818616</v>
      </c>
      <c r="J126" s="715">
        <f ca="1">SUM(J120:J125)</f>
        <v>18.63</v>
      </c>
      <c r="K126" s="715">
        <f t="shared" ref="K126:AG126" ca="1" si="61">SUM(K120:K125)</f>
        <v>27.630000000000003</v>
      </c>
      <c r="L126" s="715">
        <f t="shared" ca="1" si="61"/>
        <v>38.88000000000001</v>
      </c>
      <c r="M126" s="715">
        <f t="shared" ca="1" si="61"/>
        <v>49.648500000000006</v>
      </c>
      <c r="N126" s="715">
        <f t="shared" ca="1" si="61"/>
        <v>61.366500000000002</v>
      </c>
      <c r="O126" s="715">
        <f t="shared" ca="1" si="61"/>
        <v>73.45872</v>
      </c>
      <c r="P126" s="715">
        <f t="shared" ca="1" si="61"/>
        <v>85.149703799999997</v>
      </c>
      <c r="Q126" s="715">
        <f t="shared" ca="1" si="61"/>
        <v>97.80114895200002</v>
      </c>
      <c r="R126" s="715">
        <f t="shared" ca="1" si="61"/>
        <v>110.86887691008002</v>
      </c>
      <c r="S126" s="715">
        <f t="shared" ca="1" si="61"/>
        <v>120.99506773648321</v>
      </c>
      <c r="T126" s="715">
        <f t="shared" ca="1" si="61"/>
        <v>133.17972229594255</v>
      </c>
      <c r="U126" s="715">
        <f t="shared" ca="1" si="61"/>
        <v>146.89681292815808</v>
      </c>
      <c r="V126" s="715">
        <f t="shared" ca="1" si="61"/>
        <v>157.08952655890943</v>
      </c>
      <c r="W126" s="715">
        <f t="shared" ca="1" si="61"/>
        <v>168.98910047036077</v>
      </c>
      <c r="X126" s="715">
        <f t="shared" ca="1" si="61"/>
        <v>181.05042185587018</v>
      </c>
      <c r="Y126" s="715">
        <f t="shared" ca="1" si="61"/>
        <v>191.52392825678879</v>
      </c>
      <c r="Z126" s="715">
        <f t="shared" ca="1" si="61"/>
        <v>203.43222029295575</v>
      </c>
      <c r="AA126" s="715">
        <f t="shared" ca="1" si="61"/>
        <v>215.57802504394547</v>
      </c>
      <c r="AB126" s="715">
        <f t="shared" ca="1" si="61"/>
        <v>226.61023385229529</v>
      </c>
      <c r="AC126" s="715">
        <f t="shared" ca="1" si="61"/>
        <v>238.88283905842169</v>
      </c>
      <c r="AD126" s="715">
        <f t="shared" ca="1" si="61"/>
        <v>251.46484605815897</v>
      </c>
      <c r="AE126" s="715">
        <f t="shared" ca="1" si="61"/>
        <v>263.30984461149194</v>
      </c>
      <c r="AF126" s="715">
        <f t="shared" ca="1" si="61"/>
        <v>0</v>
      </c>
      <c r="AG126" s="715">
        <f t="shared" ca="1" si="61"/>
        <v>0</v>
      </c>
    </row>
    <row r="127" spans="1:33" s="878" customFormat="1" ht="17.25" customHeight="1" outlineLevel="1">
      <c r="A127" s="127"/>
      <c r="B127" s="416"/>
      <c r="C127" s="320"/>
      <c r="D127" s="127"/>
      <c r="E127" s="127"/>
      <c r="F127" s="127"/>
      <c r="G127" s="127"/>
      <c r="H127" s="127"/>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row>
    <row r="128" spans="1:33" s="632" customFormat="1" ht="17.25" customHeight="1" outlineLevel="1">
      <c r="A128" s="127"/>
      <c r="B128" s="683" t="str">
        <f>Inputs!$B$112</f>
        <v>2.</v>
      </c>
      <c r="C128" s="986" t="str">
        <f>Inputs!$C$112</f>
        <v>Marketing and Sales Staff</v>
      </c>
      <c r="D128" s="270"/>
      <c r="E128" s="127"/>
      <c r="F128" s="127"/>
      <c r="G128" s="127"/>
      <c r="H128" s="127"/>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438"/>
      <c r="AE128" s="438"/>
      <c r="AF128" s="438"/>
      <c r="AG128" s="438"/>
    </row>
    <row r="129" spans="1:33" s="632" customFormat="1" ht="17.25" customHeight="1" outlineLevel="1">
      <c r="A129" s="127"/>
      <c r="B129" s="416"/>
      <c r="C129" s="40" t="str">
        <f>Inputs!$C$140</f>
        <v>Recruiting Costs (one-time upon hiring)</v>
      </c>
      <c r="D129" s="8" t="str">
        <f>Currency_Label</f>
        <v>USD</v>
      </c>
      <c r="E129" s="144">
        <f>Inputs!G140</f>
        <v>300</v>
      </c>
      <c r="F129" s="270" t="s">
        <v>238</v>
      </c>
      <c r="G129" s="127"/>
      <c r="H129" s="127"/>
      <c r="I129" s="236">
        <f t="shared" ref="I129:I135" ca="1" si="62">SUM(J129:AG129)</f>
        <v>2176.9456879788272</v>
      </c>
      <c r="J129" s="982">
        <f t="shared" ref="J129:AG129" ca="1" si="63">MAX(0,J19-I19)*$E129*J$6</f>
        <v>207.53333333333336</v>
      </c>
      <c r="K129" s="982">
        <f t="shared" ca="1" si="63"/>
        <v>143.33333333333337</v>
      </c>
      <c r="L129" s="982">
        <f t="shared" ca="1" si="63"/>
        <v>116.66666666666666</v>
      </c>
      <c r="M129" s="982">
        <f t="shared" ca="1" si="63"/>
        <v>80.123333333333321</v>
      </c>
      <c r="N129" s="982">
        <f t="shared" ca="1" si="63"/>
        <v>86.786666666666747</v>
      </c>
      <c r="O129" s="982">
        <f t="shared" ca="1" si="63"/>
        <v>89.628133333333352</v>
      </c>
      <c r="P129" s="982">
        <f t="shared" ca="1" si="63"/>
        <v>87.313758666666757</v>
      </c>
      <c r="Q129" s="982">
        <f t="shared" ca="1" si="63"/>
        <v>94.091789013333312</v>
      </c>
      <c r="R129" s="982">
        <f t="shared" ca="1" si="63"/>
        <v>97.256960573866763</v>
      </c>
      <c r="S129" s="982">
        <f t="shared" ca="1" si="63"/>
        <v>78.052263996821353</v>
      </c>
      <c r="T129" s="982">
        <f t="shared" ca="1" si="63"/>
        <v>92.197128556694167</v>
      </c>
      <c r="U129" s="982">
        <f t="shared" ca="1" si="63"/>
        <v>93.155853698961891</v>
      </c>
      <c r="V129" s="982">
        <f t="shared" ca="1" si="63"/>
        <v>79.139569596920637</v>
      </c>
      <c r="W129" s="982">
        <f t="shared" ca="1" si="63"/>
        <v>90.880411360797268</v>
      </c>
      <c r="X129" s="982">
        <f t="shared" ca="1" si="63"/>
        <v>92.44146621522917</v>
      </c>
      <c r="Y129" s="982">
        <f t="shared" ca="1" si="63"/>
        <v>82.473990606338361</v>
      </c>
      <c r="Z129" s="982">
        <f t="shared" ca="1" si="63"/>
        <v>92.478200258391666</v>
      </c>
      <c r="AA129" s="982">
        <f t="shared" ca="1" si="63"/>
        <v>94.600965452727607</v>
      </c>
      <c r="AB129" s="982">
        <f t="shared" ca="1" si="63"/>
        <v>87.827722667011798</v>
      </c>
      <c r="AC129" s="982">
        <f t="shared" ca="1" si="63"/>
        <v>96.615472137670011</v>
      </c>
      <c r="AD129" s="982">
        <f t="shared" ca="1" si="63"/>
        <v>99.282055283017371</v>
      </c>
      <c r="AE129" s="982">
        <f t="shared" ca="1" si="63"/>
        <v>95.066613227711912</v>
      </c>
      <c r="AF129" s="982">
        <f t="shared" ca="1" si="63"/>
        <v>0</v>
      </c>
      <c r="AG129" s="982">
        <f t="shared" ca="1" si="63"/>
        <v>0</v>
      </c>
    </row>
    <row r="130" spans="1:33" s="632" customFormat="1" ht="17.25" customHeight="1" outlineLevel="1">
      <c r="A130" s="127"/>
      <c r="B130" s="416"/>
      <c r="C130" s="40" t="str">
        <f>Inputs!$C$141</f>
        <v>Travel &amp; Entertainment costs</v>
      </c>
      <c r="D130" s="8" t="str">
        <f>Currency_Label</f>
        <v>USD</v>
      </c>
      <c r="E130" s="144">
        <f>Inputs!G141</f>
        <v>500</v>
      </c>
      <c r="F130" s="270" t="s">
        <v>239</v>
      </c>
      <c r="G130" s="127"/>
      <c r="H130" s="127"/>
      <c r="I130" s="236">
        <f t="shared" ca="1" si="62"/>
        <v>44536.388626277403</v>
      </c>
      <c r="J130" s="982">
        <f t="shared" ref="J130:S131" ca="1" si="64">J$19*$E130*J$6</f>
        <v>345.88888888888891</v>
      </c>
      <c r="K130" s="982">
        <f t="shared" ca="1" si="64"/>
        <v>584.77777777777783</v>
      </c>
      <c r="L130" s="982">
        <f t="shared" ca="1" si="64"/>
        <v>779.22222222222229</v>
      </c>
      <c r="M130" s="982">
        <f t="shared" ca="1" si="64"/>
        <v>912.76111111111118</v>
      </c>
      <c r="N130" s="982">
        <f t="shared" ca="1" si="64"/>
        <v>1057.4055555555558</v>
      </c>
      <c r="O130" s="982">
        <f t="shared" ca="1" si="64"/>
        <v>1206.7857777777779</v>
      </c>
      <c r="P130" s="982">
        <f t="shared" ca="1" si="64"/>
        <v>1352.3087088888892</v>
      </c>
      <c r="Q130" s="982">
        <f t="shared" ca="1" si="64"/>
        <v>1509.1283572444447</v>
      </c>
      <c r="R130" s="982">
        <f t="shared" ca="1" si="64"/>
        <v>1671.2232915342227</v>
      </c>
      <c r="S130" s="982">
        <f t="shared" ca="1" si="64"/>
        <v>1801.3103981955917</v>
      </c>
      <c r="T130" s="982">
        <f t="shared" ref="T130:AG131" ca="1" si="65">T$19*$E130*T$6</f>
        <v>1954.9722791234151</v>
      </c>
      <c r="U130" s="982">
        <f t="shared" ca="1" si="65"/>
        <v>2110.2320352883517</v>
      </c>
      <c r="V130" s="982">
        <f t="shared" ca="1" si="65"/>
        <v>2242.1313179498861</v>
      </c>
      <c r="W130" s="982">
        <f t="shared" ca="1" si="65"/>
        <v>2393.5986702178816</v>
      </c>
      <c r="X130" s="982">
        <f t="shared" ca="1" si="65"/>
        <v>2547.6677805765967</v>
      </c>
      <c r="Y130" s="982">
        <f t="shared" ca="1" si="65"/>
        <v>2685.1244315871609</v>
      </c>
      <c r="Z130" s="982">
        <f t="shared" ca="1" si="65"/>
        <v>2839.2547653511469</v>
      </c>
      <c r="AA130" s="982">
        <f t="shared" ca="1" si="65"/>
        <v>2996.9230411056928</v>
      </c>
      <c r="AB130" s="982">
        <f t="shared" ca="1" si="65"/>
        <v>3143.3025788840459</v>
      </c>
      <c r="AC130" s="982">
        <f t="shared" ca="1" si="65"/>
        <v>3304.3283657801626</v>
      </c>
      <c r="AD130" s="982">
        <f t="shared" ca="1" si="65"/>
        <v>3469.7984579185249</v>
      </c>
      <c r="AE130" s="982">
        <f t="shared" ca="1" si="65"/>
        <v>3628.2428132980444</v>
      </c>
      <c r="AF130" s="982">
        <f t="shared" ca="1" si="65"/>
        <v>0</v>
      </c>
      <c r="AG130" s="982">
        <f t="shared" ca="1" si="65"/>
        <v>0</v>
      </c>
    </row>
    <row r="131" spans="1:33" s="632" customFormat="1" ht="17.25" customHeight="1" outlineLevel="1">
      <c r="A131" s="127"/>
      <c r="B131" s="416"/>
      <c r="C131" s="40" t="str">
        <f>Inputs!$C$142</f>
        <v>Spare</v>
      </c>
      <c r="D131" s="8" t="str">
        <f>Currency_Label</f>
        <v>USD</v>
      </c>
      <c r="E131" s="144">
        <f>Inputs!G142</f>
        <v>0</v>
      </c>
      <c r="F131" s="270" t="s">
        <v>239</v>
      </c>
      <c r="G131" s="127"/>
      <c r="H131" s="127"/>
      <c r="I131" s="236">
        <f t="shared" ca="1" si="62"/>
        <v>0</v>
      </c>
      <c r="J131" s="982">
        <f t="shared" ca="1" si="64"/>
        <v>0</v>
      </c>
      <c r="K131" s="982">
        <f t="shared" ca="1" si="64"/>
        <v>0</v>
      </c>
      <c r="L131" s="982">
        <f t="shared" ca="1" si="64"/>
        <v>0</v>
      </c>
      <c r="M131" s="982">
        <f t="shared" ca="1" si="64"/>
        <v>0</v>
      </c>
      <c r="N131" s="982">
        <f t="shared" ca="1" si="64"/>
        <v>0</v>
      </c>
      <c r="O131" s="982">
        <f t="shared" ca="1" si="64"/>
        <v>0</v>
      </c>
      <c r="P131" s="982">
        <f t="shared" ca="1" si="64"/>
        <v>0</v>
      </c>
      <c r="Q131" s="982">
        <f t="shared" ca="1" si="64"/>
        <v>0</v>
      </c>
      <c r="R131" s="982">
        <f t="shared" ca="1" si="64"/>
        <v>0</v>
      </c>
      <c r="S131" s="982">
        <f t="shared" ca="1" si="64"/>
        <v>0</v>
      </c>
      <c r="T131" s="982">
        <f t="shared" ca="1" si="65"/>
        <v>0</v>
      </c>
      <c r="U131" s="982">
        <f t="shared" ca="1" si="65"/>
        <v>0</v>
      </c>
      <c r="V131" s="982">
        <f t="shared" ca="1" si="65"/>
        <v>0</v>
      </c>
      <c r="W131" s="982">
        <f t="shared" ca="1" si="65"/>
        <v>0</v>
      </c>
      <c r="X131" s="982">
        <f t="shared" ca="1" si="65"/>
        <v>0</v>
      </c>
      <c r="Y131" s="982">
        <f t="shared" ca="1" si="65"/>
        <v>0</v>
      </c>
      <c r="Z131" s="982">
        <f t="shared" ca="1" si="65"/>
        <v>0</v>
      </c>
      <c r="AA131" s="982">
        <f t="shared" ca="1" si="65"/>
        <v>0</v>
      </c>
      <c r="AB131" s="982">
        <f t="shared" ca="1" si="65"/>
        <v>0</v>
      </c>
      <c r="AC131" s="982">
        <f t="shared" ca="1" si="65"/>
        <v>0</v>
      </c>
      <c r="AD131" s="982">
        <f t="shared" ca="1" si="65"/>
        <v>0</v>
      </c>
      <c r="AE131" s="982">
        <f t="shared" ca="1" si="65"/>
        <v>0</v>
      </c>
      <c r="AF131" s="982">
        <f t="shared" ca="1" si="65"/>
        <v>0</v>
      </c>
      <c r="AG131" s="982">
        <f t="shared" ca="1" si="65"/>
        <v>0</v>
      </c>
    </row>
    <row r="132" spans="1:33" s="632" customFormat="1" ht="17.25" customHeight="1" outlineLevel="1">
      <c r="A132" s="127"/>
      <c r="B132" s="416"/>
      <c r="C132" s="40" t="str">
        <f>Inputs!$C$143</f>
        <v>Training costs</v>
      </c>
      <c r="D132" s="8" t="str">
        <f t="shared" ref="D132:D133" si="66">Currency_Label</f>
        <v>USD</v>
      </c>
      <c r="E132" s="84">
        <f>Inputs!G143</f>
        <v>0.03</v>
      </c>
      <c r="F132" s="270" t="s">
        <v>227</v>
      </c>
      <c r="G132" s="127"/>
      <c r="H132" s="127"/>
      <c r="I132" s="236">
        <f t="shared" ca="1" si="62"/>
        <v>7087.5263315703114</v>
      </c>
      <c r="J132" s="982">
        <f t="shared" ref="J132:S134" ca="1" si="67">J$56*$E132*J$6</f>
        <v>53.953333333333326</v>
      </c>
      <c r="K132" s="982">
        <f t="shared" ca="1" si="67"/>
        <v>90.786666666666662</v>
      </c>
      <c r="L132" s="982">
        <f t="shared" ca="1" si="67"/>
        <v>121.20333333333333</v>
      </c>
      <c r="M132" s="982">
        <f t="shared" ca="1" si="67"/>
        <v>142.43066666666667</v>
      </c>
      <c r="N132" s="982">
        <f t="shared" ca="1" si="67"/>
        <v>165.42933333333332</v>
      </c>
      <c r="O132" s="982">
        <f t="shared" ca="1" si="67"/>
        <v>189.17994666666669</v>
      </c>
      <c r="P132" s="982">
        <f t="shared" ca="1" si="67"/>
        <v>212.30738453333336</v>
      </c>
      <c r="Q132" s="982">
        <f t="shared" ca="1" si="67"/>
        <v>237.23604791466676</v>
      </c>
      <c r="R132" s="982">
        <f t="shared" ca="1" si="67"/>
        <v>263.00225783125336</v>
      </c>
      <c r="S132" s="982">
        <f t="shared" ca="1" si="67"/>
        <v>283.64045614450356</v>
      </c>
      <c r="T132" s="982">
        <f t="shared" ref="T132:AG134" ca="1" si="68">T$56*$E132*T$6</f>
        <v>308.04358879028371</v>
      </c>
      <c r="U132" s="982">
        <f t="shared" ca="1" si="68"/>
        <v>337.31484268520529</v>
      </c>
      <c r="V132" s="982">
        <f t="shared" ca="1" si="68"/>
        <v>358.51981259561359</v>
      </c>
      <c r="W132" s="982">
        <f t="shared" ca="1" si="68"/>
        <v>382.89401806635806</v>
      </c>
      <c r="X132" s="982">
        <f t="shared" ca="1" si="68"/>
        <v>407.68178534953239</v>
      </c>
      <c r="Y132" s="982">
        <f t="shared" ca="1" si="68"/>
        <v>429.76236698500372</v>
      </c>
      <c r="Z132" s="982">
        <f t="shared" ca="1" si="68"/>
        <v>454.54105956008499</v>
      </c>
      <c r="AA132" s="982">
        <f t="shared" ca="1" si="68"/>
        <v>479.88423096930569</v>
      </c>
      <c r="AB132" s="982">
        <f t="shared" ca="1" si="68"/>
        <v>503.38362506825979</v>
      </c>
      <c r="AC132" s="982">
        <f t="shared" ca="1" si="68"/>
        <v>529.25066431048879</v>
      </c>
      <c r="AD132" s="982">
        <f t="shared" ca="1" si="68"/>
        <v>555.82811678207042</v>
      </c>
      <c r="AE132" s="982">
        <f t="shared" ca="1" si="68"/>
        <v>581.25279398434861</v>
      </c>
      <c r="AF132" s="982">
        <f t="shared" ca="1" si="68"/>
        <v>0</v>
      </c>
      <c r="AG132" s="982">
        <f t="shared" ca="1" si="68"/>
        <v>0</v>
      </c>
    </row>
    <row r="133" spans="1:33" s="632" customFormat="1" ht="17.25" customHeight="1" outlineLevel="1">
      <c r="A133" s="127"/>
      <c r="B133" s="416"/>
      <c r="C133" s="40" t="str">
        <f>Inputs!$C$144</f>
        <v>Bonus at plan performance</v>
      </c>
      <c r="D133" s="8" t="str">
        <f t="shared" si="66"/>
        <v>USD</v>
      </c>
      <c r="E133" s="84">
        <f>Inputs!G144</f>
        <v>0.02</v>
      </c>
      <c r="F133" s="270" t="s">
        <v>227</v>
      </c>
      <c r="G133" s="127"/>
      <c r="H133" s="127"/>
      <c r="I133" s="236">
        <f t="shared" ca="1" si="62"/>
        <v>4725.0175543802088</v>
      </c>
      <c r="J133" s="982">
        <f t="shared" ca="1" si="67"/>
        <v>35.968888888888891</v>
      </c>
      <c r="K133" s="982">
        <f t="shared" ca="1" si="67"/>
        <v>60.524444444444441</v>
      </c>
      <c r="L133" s="982">
        <f t="shared" ca="1" si="67"/>
        <v>80.802222222222227</v>
      </c>
      <c r="M133" s="982">
        <f t="shared" ca="1" si="67"/>
        <v>94.953777777777773</v>
      </c>
      <c r="N133" s="982">
        <f t="shared" ca="1" si="67"/>
        <v>110.28622222222222</v>
      </c>
      <c r="O133" s="982">
        <f t="shared" ca="1" si="67"/>
        <v>126.11996444444448</v>
      </c>
      <c r="P133" s="982">
        <f t="shared" ca="1" si="67"/>
        <v>141.5382563555556</v>
      </c>
      <c r="Q133" s="982">
        <f t="shared" ca="1" si="67"/>
        <v>158.15736527644452</v>
      </c>
      <c r="R133" s="982">
        <f t="shared" ca="1" si="67"/>
        <v>175.33483855416893</v>
      </c>
      <c r="S133" s="982">
        <f t="shared" ca="1" si="67"/>
        <v>189.09363742966903</v>
      </c>
      <c r="T133" s="982">
        <f t="shared" ca="1" si="68"/>
        <v>205.36239252685581</v>
      </c>
      <c r="U133" s="982">
        <f t="shared" ca="1" si="68"/>
        <v>224.87656179013689</v>
      </c>
      <c r="V133" s="982">
        <f t="shared" ca="1" si="68"/>
        <v>239.01320839707572</v>
      </c>
      <c r="W133" s="982">
        <f t="shared" ca="1" si="68"/>
        <v>255.26267871090539</v>
      </c>
      <c r="X133" s="982">
        <f t="shared" ca="1" si="68"/>
        <v>271.78785689968828</v>
      </c>
      <c r="Y133" s="982">
        <f t="shared" ca="1" si="68"/>
        <v>286.50824465666915</v>
      </c>
      <c r="Z133" s="982">
        <f t="shared" ca="1" si="68"/>
        <v>303.02737304005666</v>
      </c>
      <c r="AA133" s="982">
        <f t="shared" ca="1" si="68"/>
        <v>319.92282064620383</v>
      </c>
      <c r="AB133" s="982">
        <f t="shared" ca="1" si="68"/>
        <v>335.58908337883986</v>
      </c>
      <c r="AC133" s="982">
        <f t="shared" ca="1" si="68"/>
        <v>352.83377620699258</v>
      </c>
      <c r="AD133" s="982">
        <f t="shared" ca="1" si="68"/>
        <v>370.55207785471367</v>
      </c>
      <c r="AE133" s="982">
        <f t="shared" ca="1" si="68"/>
        <v>387.50186265623239</v>
      </c>
      <c r="AF133" s="982">
        <f t="shared" ca="1" si="68"/>
        <v>0</v>
      </c>
      <c r="AG133" s="982">
        <f t="shared" ca="1" si="68"/>
        <v>0</v>
      </c>
    </row>
    <row r="134" spans="1:33" s="632" customFormat="1" ht="17.25" customHeight="1" outlineLevel="1">
      <c r="A134" s="127"/>
      <c r="B134" s="416"/>
      <c r="C134" s="40" t="str">
        <f>Inputs!$C$145</f>
        <v>Spare</v>
      </c>
      <c r="D134" s="8" t="str">
        <f>Currency_Label</f>
        <v>USD</v>
      </c>
      <c r="E134" s="84">
        <f>Inputs!G145</f>
        <v>0.01</v>
      </c>
      <c r="F134" s="270" t="s">
        <v>227</v>
      </c>
      <c r="G134" s="127"/>
      <c r="H134" s="127"/>
      <c r="I134" s="236">
        <f t="shared" ca="1" si="62"/>
        <v>2362.5087771901044</v>
      </c>
      <c r="J134" s="982">
        <f t="shared" ca="1" si="67"/>
        <v>17.984444444444446</v>
      </c>
      <c r="K134" s="982">
        <f t="shared" ca="1" si="67"/>
        <v>30.262222222222221</v>
      </c>
      <c r="L134" s="982">
        <f t="shared" ca="1" si="67"/>
        <v>40.401111111111113</v>
      </c>
      <c r="M134" s="982">
        <f t="shared" ca="1" si="67"/>
        <v>47.476888888888887</v>
      </c>
      <c r="N134" s="982">
        <f t="shared" ca="1" si="67"/>
        <v>55.143111111111111</v>
      </c>
      <c r="O134" s="982">
        <f t="shared" ca="1" si="67"/>
        <v>63.059982222222239</v>
      </c>
      <c r="P134" s="982">
        <f t="shared" ca="1" si="67"/>
        <v>70.769128177777802</v>
      </c>
      <c r="Q134" s="982">
        <f t="shared" ca="1" si="67"/>
        <v>79.078682638222261</v>
      </c>
      <c r="R134" s="982">
        <f t="shared" ca="1" si="67"/>
        <v>87.667419277084463</v>
      </c>
      <c r="S134" s="982">
        <f t="shared" ca="1" si="67"/>
        <v>94.546818714834515</v>
      </c>
      <c r="T134" s="982">
        <f t="shared" ca="1" si="68"/>
        <v>102.68119626342791</v>
      </c>
      <c r="U134" s="982">
        <f t="shared" ca="1" si="68"/>
        <v>112.43828089506844</v>
      </c>
      <c r="V134" s="982">
        <f t="shared" ca="1" si="68"/>
        <v>119.50660419853786</v>
      </c>
      <c r="W134" s="982">
        <f t="shared" ca="1" si="68"/>
        <v>127.6313393554527</v>
      </c>
      <c r="X134" s="982">
        <f t="shared" ca="1" si="68"/>
        <v>135.89392844984414</v>
      </c>
      <c r="Y134" s="982">
        <f t="shared" ca="1" si="68"/>
        <v>143.25412232833457</v>
      </c>
      <c r="Z134" s="982">
        <f t="shared" ca="1" si="68"/>
        <v>151.51368652002833</v>
      </c>
      <c r="AA134" s="982">
        <f t="shared" ca="1" si="68"/>
        <v>159.96141032310192</v>
      </c>
      <c r="AB134" s="982">
        <f t="shared" ca="1" si="68"/>
        <v>167.79454168941993</v>
      </c>
      <c r="AC134" s="982">
        <f t="shared" ca="1" si="68"/>
        <v>176.41688810349629</v>
      </c>
      <c r="AD134" s="982">
        <f t="shared" ca="1" si="68"/>
        <v>185.27603892735684</v>
      </c>
      <c r="AE134" s="982">
        <f t="shared" ca="1" si="68"/>
        <v>193.7509313281162</v>
      </c>
      <c r="AF134" s="982">
        <f t="shared" ca="1" si="68"/>
        <v>0</v>
      </c>
      <c r="AG134" s="982">
        <f t="shared" ca="1" si="68"/>
        <v>0</v>
      </c>
    </row>
    <row r="135" spans="1:33" s="632" customFormat="1" ht="17.25" customHeight="1" outlineLevel="1">
      <c r="A135" s="127"/>
      <c r="B135" s="416"/>
      <c r="C135" s="75" t="str">
        <f>C19</f>
        <v xml:space="preserve">     Subtotal</v>
      </c>
      <c r="D135" s="8" t="str">
        <f>Currency_Label</f>
        <v>USD</v>
      </c>
      <c r="E135" s="36"/>
      <c r="F135" s="36"/>
      <c r="G135" s="36"/>
      <c r="H135" s="36"/>
      <c r="I135" s="236">
        <f t="shared" ca="1" si="62"/>
        <v>60888.386977396847</v>
      </c>
      <c r="J135" s="715">
        <f ca="1">SUM(J129:J134)</f>
        <v>661.32888888888886</v>
      </c>
      <c r="K135" s="715">
        <f t="shared" ref="K135:AG135" ca="1" si="69">SUM(K129:K134)</f>
        <v>909.68444444444447</v>
      </c>
      <c r="L135" s="715">
        <f t="shared" ca="1" si="69"/>
        <v>1138.2955555555557</v>
      </c>
      <c r="M135" s="715">
        <f t="shared" ca="1" si="69"/>
        <v>1277.7457777777779</v>
      </c>
      <c r="N135" s="715">
        <f t="shared" ca="1" si="69"/>
        <v>1475.0508888888889</v>
      </c>
      <c r="O135" s="715">
        <f t="shared" ca="1" si="69"/>
        <v>1674.7738044444447</v>
      </c>
      <c r="P135" s="715">
        <f t="shared" ca="1" si="69"/>
        <v>1864.2372366222226</v>
      </c>
      <c r="Q135" s="715">
        <f t="shared" ca="1" si="69"/>
        <v>2077.6922420871115</v>
      </c>
      <c r="R135" s="715">
        <f t="shared" ca="1" si="69"/>
        <v>2294.4847677705961</v>
      </c>
      <c r="S135" s="715">
        <f t="shared" ca="1" si="69"/>
        <v>2446.6435744814198</v>
      </c>
      <c r="T135" s="715">
        <f t="shared" ca="1" si="69"/>
        <v>2663.2565852606767</v>
      </c>
      <c r="U135" s="715">
        <f t="shared" ca="1" si="69"/>
        <v>2878.0175743577242</v>
      </c>
      <c r="V135" s="715">
        <f t="shared" ca="1" si="69"/>
        <v>3038.310512738034</v>
      </c>
      <c r="W135" s="715">
        <f t="shared" ca="1" si="69"/>
        <v>3250.2671177113948</v>
      </c>
      <c r="X135" s="715">
        <f t="shared" ca="1" si="69"/>
        <v>3455.4728174908905</v>
      </c>
      <c r="Y135" s="715">
        <f t="shared" ca="1" si="69"/>
        <v>3627.1231561635063</v>
      </c>
      <c r="Z135" s="715">
        <f t="shared" ca="1" si="69"/>
        <v>3840.8150847297088</v>
      </c>
      <c r="AA135" s="715">
        <f t="shared" ca="1" si="69"/>
        <v>4051.2924684970317</v>
      </c>
      <c r="AB135" s="715">
        <f t="shared" ca="1" si="69"/>
        <v>4237.8975516875771</v>
      </c>
      <c r="AC135" s="715">
        <f t="shared" ca="1" si="69"/>
        <v>4459.4451665388106</v>
      </c>
      <c r="AD135" s="715">
        <f t="shared" ca="1" si="69"/>
        <v>4680.7367467656832</v>
      </c>
      <c r="AE135" s="715">
        <f t="shared" ca="1" si="69"/>
        <v>4885.8150144944539</v>
      </c>
      <c r="AF135" s="715">
        <f t="shared" ca="1" si="69"/>
        <v>0</v>
      </c>
      <c r="AG135" s="715">
        <f t="shared" ca="1" si="69"/>
        <v>0</v>
      </c>
    </row>
    <row r="136" spans="1:33" s="632" customFormat="1" ht="17.25" customHeight="1" outlineLevel="1">
      <c r="A136" s="127"/>
      <c r="B136" s="416" t="str">
        <f>IF(B20="","",B20)</f>
        <v/>
      </c>
      <c r="C136" s="127"/>
      <c r="D136" s="270"/>
      <c r="E136" s="127"/>
      <c r="F136" s="127"/>
      <c r="G136" s="127"/>
      <c r="H136" s="127"/>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row>
    <row r="137" spans="1:33" s="632" customFormat="1" ht="17.25" customHeight="1" outlineLevel="1">
      <c r="A137" s="127"/>
      <c r="B137" s="683" t="str">
        <f>Inputs!$B$116</f>
        <v>3.</v>
      </c>
      <c r="C137" s="986" t="str">
        <f>Inputs!$C$116</f>
        <v>Research and Development Staff</v>
      </c>
      <c r="D137" s="270"/>
      <c r="E137" s="127"/>
      <c r="F137" s="127"/>
      <c r="G137" s="127"/>
      <c r="H137" s="127"/>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c r="AE137" s="438"/>
      <c r="AF137" s="438"/>
      <c r="AG137" s="438"/>
    </row>
    <row r="138" spans="1:33" s="632" customFormat="1" ht="17.25" customHeight="1" outlineLevel="1">
      <c r="A138" s="127"/>
      <c r="B138" s="416" t="str">
        <f>IF(B22="","",B22)</f>
        <v/>
      </c>
      <c r="C138" s="40" t="str">
        <f>Inputs!$C$140</f>
        <v>Recruiting Costs (one-time upon hiring)</v>
      </c>
      <c r="D138" s="8" t="str">
        <f>Currency_Label</f>
        <v>USD</v>
      </c>
      <c r="E138" s="144">
        <f>Inputs!H140</f>
        <v>300</v>
      </c>
      <c r="F138" s="270" t="s">
        <v>238</v>
      </c>
      <c r="G138" s="127"/>
      <c r="H138" s="127"/>
      <c r="I138" s="236">
        <f t="shared" ref="I138:I144" si="70">SUM(J138:AG138)</f>
        <v>1200</v>
      </c>
      <c r="J138" s="982">
        <f t="shared" ref="J138:AG138" si="71">MAX(0,J30-I30)*$E138*J$6</f>
        <v>300</v>
      </c>
      <c r="K138" s="982">
        <f t="shared" si="71"/>
        <v>0</v>
      </c>
      <c r="L138" s="982">
        <f t="shared" si="71"/>
        <v>0</v>
      </c>
      <c r="M138" s="982">
        <f t="shared" si="71"/>
        <v>0</v>
      </c>
      <c r="N138" s="982">
        <f t="shared" si="71"/>
        <v>0</v>
      </c>
      <c r="O138" s="982">
        <f t="shared" si="71"/>
        <v>0</v>
      </c>
      <c r="P138" s="982">
        <f t="shared" si="71"/>
        <v>0</v>
      </c>
      <c r="Q138" s="982">
        <f t="shared" si="71"/>
        <v>600</v>
      </c>
      <c r="R138" s="982">
        <f t="shared" si="71"/>
        <v>0</v>
      </c>
      <c r="S138" s="982">
        <f t="shared" si="71"/>
        <v>0</v>
      </c>
      <c r="T138" s="982">
        <f t="shared" si="71"/>
        <v>0</v>
      </c>
      <c r="U138" s="982">
        <f t="shared" si="71"/>
        <v>0</v>
      </c>
      <c r="V138" s="982">
        <f t="shared" si="71"/>
        <v>0</v>
      </c>
      <c r="W138" s="982">
        <f t="shared" si="71"/>
        <v>0</v>
      </c>
      <c r="X138" s="982">
        <f t="shared" si="71"/>
        <v>0</v>
      </c>
      <c r="Y138" s="982">
        <f t="shared" si="71"/>
        <v>0</v>
      </c>
      <c r="Z138" s="982">
        <f t="shared" si="71"/>
        <v>0</v>
      </c>
      <c r="AA138" s="982">
        <f t="shared" si="71"/>
        <v>0</v>
      </c>
      <c r="AB138" s="982">
        <f t="shared" si="71"/>
        <v>300</v>
      </c>
      <c r="AC138" s="982">
        <f t="shared" si="71"/>
        <v>0</v>
      </c>
      <c r="AD138" s="982">
        <f t="shared" si="71"/>
        <v>0</v>
      </c>
      <c r="AE138" s="982">
        <f t="shared" si="71"/>
        <v>0</v>
      </c>
      <c r="AF138" s="982">
        <f t="shared" si="71"/>
        <v>0</v>
      </c>
      <c r="AG138" s="982">
        <f t="shared" si="71"/>
        <v>0</v>
      </c>
    </row>
    <row r="139" spans="1:33" s="632" customFormat="1" ht="17.25" customHeight="1" outlineLevel="1">
      <c r="A139" s="127"/>
      <c r="B139" s="416" t="str">
        <f>IF(B23="","",B23)</f>
        <v/>
      </c>
      <c r="C139" s="40" t="str">
        <f>Inputs!$C$141</f>
        <v>Travel &amp; Entertainment costs</v>
      </c>
      <c r="D139" s="8" t="str">
        <f>Currency_Label</f>
        <v>USD</v>
      </c>
      <c r="E139" s="144">
        <f>Inputs!H141</f>
        <v>150</v>
      </c>
      <c r="F139" s="270" t="s">
        <v>239</v>
      </c>
      <c r="G139" s="127"/>
      <c r="H139" s="127"/>
      <c r="I139" s="236">
        <f t="shared" si="70"/>
        <v>8400</v>
      </c>
      <c r="J139" s="982">
        <f t="shared" ref="J139:S140" si="72">J$30*$E139*J$6</f>
        <v>150</v>
      </c>
      <c r="K139" s="982">
        <f t="shared" si="72"/>
        <v>150</v>
      </c>
      <c r="L139" s="982">
        <f t="shared" si="72"/>
        <v>150</v>
      </c>
      <c r="M139" s="982">
        <f t="shared" si="72"/>
        <v>150</v>
      </c>
      <c r="N139" s="982">
        <f t="shared" si="72"/>
        <v>150</v>
      </c>
      <c r="O139" s="982">
        <f t="shared" si="72"/>
        <v>150</v>
      </c>
      <c r="P139" s="982">
        <f t="shared" si="72"/>
        <v>150</v>
      </c>
      <c r="Q139" s="982">
        <f t="shared" si="72"/>
        <v>450</v>
      </c>
      <c r="R139" s="982">
        <f t="shared" si="72"/>
        <v>450</v>
      </c>
      <c r="S139" s="982">
        <f t="shared" si="72"/>
        <v>450</v>
      </c>
      <c r="T139" s="982">
        <f t="shared" ref="T139:AG140" si="73">T$30*$E139*T$6</f>
        <v>450</v>
      </c>
      <c r="U139" s="982">
        <f t="shared" si="73"/>
        <v>450</v>
      </c>
      <c r="V139" s="982">
        <f t="shared" si="73"/>
        <v>450</v>
      </c>
      <c r="W139" s="982">
        <f t="shared" si="73"/>
        <v>450</v>
      </c>
      <c r="X139" s="982">
        <f t="shared" si="73"/>
        <v>450</v>
      </c>
      <c r="Y139" s="982">
        <f t="shared" si="73"/>
        <v>450</v>
      </c>
      <c r="Z139" s="982">
        <f t="shared" si="73"/>
        <v>450</v>
      </c>
      <c r="AA139" s="982">
        <f t="shared" si="73"/>
        <v>450</v>
      </c>
      <c r="AB139" s="982">
        <f t="shared" si="73"/>
        <v>600</v>
      </c>
      <c r="AC139" s="982">
        <f t="shared" si="73"/>
        <v>600</v>
      </c>
      <c r="AD139" s="982">
        <f t="shared" si="73"/>
        <v>600</v>
      </c>
      <c r="AE139" s="982">
        <f t="shared" si="73"/>
        <v>600</v>
      </c>
      <c r="AF139" s="982">
        <f t="shared" si="73"/>
        <v>0</v>
      </c>
      <c r="AG139" s="982">
        <f t="shared" si="73"/>
        <v>0</v>
      </c>
    </row>
    <row r="140" spans="1:33" s="632" customFormat="1" ht="17.25" customHeight="1" outlineLevel="1">
      <c r="A140" s="127"/>
      <c r="B140" s="416" t="str">
        <f>IF(B24="","",B24)</f>
        <v/>
      </c>
      <c r="C140" s="40" t="str">
        <f>Inputs!$C$142</f>
        <v>Spare</v>
      </c>
      <c r="D140" s="8" t="str">
        <f t="shared" ref="D140:D142" si="74">Currency_Label</f>
        <v>USD</v>
      </c>
      <c r="E140" s="144">
        <f>Inputs!H142</f>
        <v>0</v>
      </c>
      <c r="F140" s="270" t="s">
        <v>239</v>
      </c>
      <c r="G140" s="127"/>
      <c r="H140" s="127"/>
      <c r="I140" s="236">
        <f t="shared" si="70"/>
        <v>0</v>
      </c>
      <c r="J140" s="982">
        <f t="shared" si="72"/>
        <v>0</v>
      </c>
      <c r="K140" s="982">
        <f t="shared" si="72"/>
        <v>0</v>
      </c>
      <c r="L140" s="982">
        <f t="shared" si="72"/>
        <v>0</v>
      </c>
      <c r="M140" s="982">
        <f t="shared" si="72"/>
        <v>0</v>
      </c>
      <c r="N140" s="982">
        <f t="shared" si="72"/>
        <v>0</v>
      </c>
      <c r="O140" s="982">
        <f t="shared" si="72"/>
        <v>0</v>
      </c>
      <c r="P140" s="982">
        <f t="shared" si="72"/>
        <v>0</v>
      </c>
      <c r="Q140" s="982">
        <f t="shared" si="72"/>
        <v>0</v>
      </c>
      <c r="R140" s="982">
        <f t="shared" si="72"/>
        <v>0</v>
      </c>
      <c r="S140" s="982">
        <f t="shared" si="72"/>
        <v>0</v>
      </c>
      <c r="T140" s="982">
        <f t="shared" si="73"/>
        <v>0</v>
      </c>
      <c r="U140" s="982">
        <f t="shared" si="73"/>
        <v>0</v>
      </c>
      <c r="V140" s="982">
        <f t="shared" si="73"/>
        <v>0</v>
      </c>
      <c r="W140" s="982">
        <f t="shared" si="73"/>
        <v>0</v>
      </c>
      <c r="X140" s="982">
        <f t="shared" si="73"/>
        <v>0</v>
      </c>
      <c r="Y140" s="982">
        <f t="shared" si="73"/>
        <v>0</v>
      </c>
      <c r="Z140" s="982">
        <f t="shared" si="73"/>
        <v>0</v>
      </c>
      <c r="AA140" s="982">
        <f t="shared" si="73"/>
        <v>0</v>
      </c>
      <c r="AB140" s="982">
        <f t="shared" si="73"/>
        <v>0</v>
      </c>
      <c r="AC140" s="982">
        <f t="shared" si="73"/>
        <v>0</v>
      </c>
      <c r="AD140" s="982">
        <f t="shared" si="73"/>
        <v>0</v>
      </c>
      <c r="AE140" s="982">
        <f t="shared" si="73"/>
        <v>0</v>
      </c>
      <c r="AF140" s="982">
        <f t="shared" si="73"/>
        <v>0</v>
      </c>
      <c r="AG140" s="982">
        <f t="shared" si="73"/>
        <v>0</v>
      </c>
    </row>
    <row r="141" spans="1:33" s="632" customFormat="1" ht="17.25" customHeight="1" outlineLevel="1">
      <c r="A141" s="127"/>
      <c r="B141" s="416"/>
      <c r="C141" s="40" t="str">
        <f>Inputs!$C$143</f>
        <v>Training costs</v>
      </c>
      <c r="D141" s="8" t="str">
        <f t="shared" si="74"/>
        <v>USD</v>
      </c>
      <c r="E141" s="84">
        <f>Inputs!H143</f>
        <v>0.03</v>
      </c>
      <c r="F141" s="270" t="s">
        <v>227</v>
      </c>
      <c r="G141" s="127"/>
      <c r="H141" s="127"/>
      <c r="I141" s="236">
        <f t="shared" si="70"/>
        <v>4743.5</v>
      </c>
      <c r="J141" s="982">
        <f t="shared" ref="J141:S143" si="75">J$67*$E141*J$6</f>
        <v>87.499999999999986</v>
      </c>
      <c r="K141" s="982">
        <f t="shared" si="75"/>
        <v>87.499999999999986</v>
      </c>
      <c r="L141" s="982">
        <f t="shared" si="75"/>
        <v>87.499999999999986</v>
      </c>
      <c r="M141" s="982">
        <f t="shared" si="75"/>
        <v>87.499999999999986</v>
      </c>
      <c r="N141" s="982">
        <f t="shared" si="75"/>
        <v>87.499999999999986</v>
      </c>
      <c r="O141" s="982">
        <f t="shared" si="75"/>
        <v>87.499999999999986</v>
      </c>
      <c r="P141" s="982">
        <f t="shared" si="75"/>
        <v>87.499999999999986</v>
      </c>
      <c r="Q141" s="982">
        <f t="shared" si="75"/>
        <v>249.99999999999994</v>
      </c>
      <c r="R141" s="982">
        <f t="shared" si="75"/>
        <v>249.99999999999994</v>
      </c>
      <c r="S141" s="982">
        <f t="shared" si="75"/>
        <v>249.99999999999994</v>
      </c>
      <c r="T141" s="982">
        <f t="shared" ref="T141:AG143" si="76">T$67*$E141*T$6</f>
        <v>249.99999999999994</v>
      </c>
      <c r="U141" s="982">
        <f t="shared" si="76"/>
        <v>252.50000000000003</v>
      </c>
      <c r="V141" s="982">
        <f t="shared" si="76"/>
        <v>252.50000000000003</v>
      </c>
      <c r="W141" s="982">
        <f t="shared" si="76"/>
        <v>252.50000000000003</v>
      </c>
      <c r="X141" s="982">
        <f t="shared" si="76"/>
        <v>252.50000000000003</v>
      </c>
      <c r="Y141" s="982">
        <f t="shared" si="76"/>
        <v>252.50000000000003</v>
      </c>
      <c r="Z141" s="982">
        <f t="shared" si="76"/>
        <v>252.50000000000003</v>
      </c>
      <c r="AA141" s="982">
        <f t="shared" si="76"/>
        <v>252.50000000000003</v>
      </c>
      <c r="AB141" s="982">
        <f t="shared" si="76"/>
        <v>340.875</v>
      </c>
      <c r="AC141" s="982">
        <f t="shared" si="76"/>
        <v>340.875</v>
      </c>
      <c r="AD141" s="982">
        <f t="shared" si="76"/>
        <v>340.875</v>
      </c>
      <c r="AE141" s="982">
        <f t="shared" si="76"/>
        <v>340.875</v>
      </c>
      <c r="AF141" s="982">
        <f t="shared" si="76"/>
        <v>0</v>
      </c>
      <c r="AG141" s="982">
        <f t="shared" si="76"/>
        <v>0</v>
      </c>
    </row>
    <row r="142" spans="1:33" s="632" customFormat="1" ht="17.25" customHeight="1" outlineLevel="1">
      <c r="A142" s="127"/>
      <c r="B142" s="416"/>
      <c r="C142" s="40" t="str">
        <f>Inputs!$C$144</f>
        <v>Bonus at plan performance</v>
      </c>
      <c r="D142" s="8" t="str">
        <f t="shared" si="74"/>
        <v>USD</v>
      </c>
      <c r="E142" s="84">
        <f>Inputs!H144</f>
        <v>0.02</v>
      </c>
      <c r="F142" s="270" t="s">
        <v>227</v>
      </c>
      <c r="G142" s="127"/>
      <c r="H142" s="127"/>
      <c r="I142" s="236">
        <f t="shared" si="70"/>
        <v>3162.3333333333339</v>
      </c>
      <c r="J142" s="982">
        <f t="shared" si="75"/>
        <v>58.333333333333329</v>
      </c>
      <c r="K142" s="982">
        <f t="shared" si="75"/>
        <v>58.333333333333329</v>
      </c>
      <c r="L142" s="982">
        <f t="shared" si="75"/>
        <v>58.333333333333329</v>
      </c>
      <c r="M142" s="982">
        <f t="shared" si="75"/>
        <v>58.333333333333329</v>
      </c>
      <c r="N142" s="982">
        <f t="shared" si="75"/>
        <v>58.333333333333329</v>
      </c>
      <c r="O142" s="982">
        <f t="shared" si="75"/>
        <v>58.333333333333329</v>
      </c>
      <c r="P142" s="982">
        <f t="shared" si="75"/>
        <v>58.333333333333329</v>
      </c>
      <c r="Q142" s="982">
        <f t="shared" si="75"/>
        <v>166.66666666666666</v>
      </c>
      <c r="R142" s="982">
        <f t="shared" si="75"/>
        <v>166.66666666666666</v>
      </c>
      <c r="S142" s="982">
        <f t="shared" si="75"/>
        <v>166.66666666666666</v>
      </c>
      <c r="T142" s="982">
        <f t="shared" si="76"/>
        <v>166.66666666666666</v>
      </c>
      <c r="U142" s="982">
        <f t="shared" si="76"/>
        <v>168.33333333333337</v>
      </c>
      <c r="V142" s="982">
        <f t="shared" si="76"/>
        <v>168.33333333333337</v>
      </c>
      <c r="W142" s="982">
        <f t="shared" si="76"/>
        <v>168.33333333333337</v>
      </c>
      <c r="X142" s="982">
        <f t="shared" si="76"/>
        <v>168.33333333333337</v>
      </c>
      <c r="Y142" s="982">
        <f t="shared" si="76"/>
        <v>168.33333333333337</v>
      </c>
      <c r="Z142" s="982">
        <f t="shared" si="76"/>
        <v>168.33333333333337</v>
      </c>
      <c r="AA142" s="982">
        <f t="shared" si="76"/>
        <v>168.33333333333337</v>
      </c>
      <c r="AB142" s="982">
        <f t="shared" si="76"/>
        <v>227.25</v>
      </c>
      <c r="AC142" s="982">
        <f t="shared" si="76"/>
        <v>227.25</v>
      </c>
      <c r="AD142" s="982">
        <f t="shared" si="76"/>
        <v>227.25</v>
      </c>
      <c r="AE142" s="982">
        <f t="shared" si="76"/>
        <v>227.25</v>
      </c>
      <c r="AF142" s="982">
        <f t="shared" si="76"/>
        <v>0</v>
      </c>
      <c r="AG142" s="982">
        <f t="shared" si="76"/>
        <v>0</v>
      </c>
    </row>
    <row r="143" spans="1:33" s="632" customFormat="1" ht="17.25" customHeight="1" outlineLevel="1">
      <c r="A143" s="127"/>
      <c r="B143" s="416" t="str">
        <f>IF(B29="","",B29)</f>
        <v/>
      </c>
      <c r="C143" s="40" t="str">
        <f>Inputs!$C$145</f>
        <v>Spare</v>
      </c>
      <c r="D143" s="8" t="str">
        <f>Currency_Label</f>
        <v>USD</v>
      </c>
      <c r="E143" s="84">
        <f>Inputs!H145</f>
        <v>0.01</v>
      </c>
      <c r="F143" s="270" t="s">
        <v>227</v>
      </c>
      <c r="G143" s="127"/>
      <c r="H143" s="127"/>
      <c r="I143" s="236">
        <f t="shared" si="70"/>
        <v>1581.166666666667</v>
      </c>
      <c r="J143" s="982">
        <f t="shared" si="75"/>
        <v>29.166666666666664</v>
      </c>
      <c r="K143" s="982">
        <f t="shared" si="75"/>
        <v>29.166666666666664</v>
      </c>
      <c r="L143" s="982">
        <f t="shared" si="75"/>
        <v>29.166666666666664</v>
      </c>
      <c r="M143" s="982">
        <f t="shared" si="75"/>
        <v>29.166666666666664</v>
      </c>
      <c r="N143" s="982">
        <f t="shared" si="75"/>
        <v>29.166666666666664</v>
      </c>
      <c r="O143" s="982">
        <f t="shared" si="75"/>
        <v>29.166666666666664</v>
      </c>
      <c r="P143" s="982">
        <f t="shared" si="75"/>
        <v>29.166666666666664</v>
      </c>
      <c r="Q143" s="982">
        <f t="shared" si="75"/>
        <v>83.333333333333329</v>
      </c>
      <c r="R143" s="982">
        <f t="shared" si="75"/>
        <v>83.333333333333329</v>
      </c>
      <c r="S143" s="982">
        <f t="shared" si="75"/>
        <v>83.333333333333329</v>
      </c>
      <c r="T143" s="982">
        <f t="shared" si="76"/>
        <v>83.333333333333329</v>
      </c>
      <c r="U143" s="982">
        <f t="shared" si="76"/>
        <v>84.166666666666686</v>
      </c>
      <c r="V143" s="982">
        <f t="shared" si="76"/>
        <v>84.166666666666686</v>
      </c>
      <c r="W143" s="982">
        <f t="shared" si="76"/>
        <v>84.166666666666686</v>
      </c>
      <c r="X143" s="982">
        <f t="shared" si="76"/>
        <v>84.166666666666686</v>
      </c>
      <c r="Y143" s="982">
        <f t="shared" si="76"/>
        <v>84.166666666666686</v>
      </c>
      <c r="Z143" s="982">
        <f t="shared" si="76"/>
        <v>84.166666666666686</v>
      </c>
      <c r="AA143" s="982">
        <f t="shared" si="76"/>
        <v>84.166666666666686</v>
      </c>
      <c r="AB143" s="982">
        <f t="shared" si="76"/>
        <v>113.625</v>
      </c>
      <c r="AC143" s="982">
        <f t="shared" si="76"/>
        <v>113.625</v>
      </c>
      <c r="AD143" s="982">
        <f t="shared" si="76"/>
        <v>113.625</v>
      </c>
      <c r="AE143" s="982">
        <f t="shared" si="76"/>
        <v>113.625</v>
      </c>
      <c r="AF143" s="982">
        <f t="shared" si="76"/>
        <v>0</v>
      </c>
      <c r="AG143" s="982">
        <f t="shared" si="76"/>
        <v>0</v>
      </c>
    </row>
    <row r="144" spans="1:33" s="632" customFormat="1" ht="17.25" customHeight="1" outlineLevel="1">
      <c r="A144" s="127"/>
      <c r="B144" s="416" t="str">
        <f>IF(B30="","",B30)</f>
        <v/>
      </c>
      <c r="C144" s="75" t="str">
        <f>C30</f>
        <v xml:space="preserve">     Subtotal</v>
      </c>
      <c r="D144" s="8" t="str">
        <f>Currency_Label</f>
        <v>USD</v>
      </c>
      <c r="E144" s="36"/>
      <c r="F144" s="36"/>
      <c r="G144" s="36"/>
      <c r="H144" s="36"/>
      <c r="I144" s="236">
        <f t="shared" si="70"/>
        <v>19087</v>
      </c>
      <c r="J144" s="715">
        <f>SUM(J138:J143)</f>
        <v>625</v>
      </c>
      <c r="K144" s="715">
        <f t="shared" ref="K144:AG144" si="77">SUM(K138:K143)</f>
        <v>325</v>
      </c>
      <c r="L144" s="715">
        <f t="shared" si="77"/>
        <v>325</v>
      </c>
      <c r="M144" s="715">
        <f t="shared" si="77"/>
        <v>325</v>
      </c>
      <c r="N144" s="715">
        <f t="shared" si="77"/>
        <v>325</v>
      </c>
      <c r="O144" s="715">
        <f t="shared" si="77"/>
        <v>325</v>
      </c>
      <c r="P144" s="715">
        <f t="shared" si="77"/>
        <v>325</v>
      </c>
      <c r="Q144" s="715">
        <f t="shared" si="77"/>
        <v>1550</v>
      </c>
      <c r="R144" s="715">
        <f t="shared" si="77"/>
        <v>950</v>
      </c>
      <c r="S144" s="715">
        <f t="shared" si="77"/>
        <v>950</v>
      </c>
      <c r="T144" s="715">
        <f t="shared" si="77"/>
        <v>950</v>
      </c>
      <c r="U144" s="715">
        <f t="shared" si="77"/>
        <v>955</v>
      </c>
      <c r="V144" s="715">
        <f t="shared" si="77"/>
        <v>955</v>
      </c>
      <c r="W144" s="715">
        <f t="shared" si="77"/>
        <v>955</v>
      </c>
      <c r="X144" s="715">
        <f t="shared" si="77"/>
        <v>955</v>
      </c>
      <c r="Y144" s="715">
        <f t="shared" si="77"/>
        <v>955</v>
      </c>
      <c r="Z144" s="715">
        <f t="shared" si="77"/>
        <v>955</v>
      </c>
      <c r="AA144" s="715">
        <f t="shared" si="77"/>
        <v>955</v>
      </c>
      <c r="AB144" s="715">
        <f t="shared" si="77"/>
        <v>1581.75</v>
      </c>
      <c r="AC144" s="715">
        <f t="shared" si="77"/>
        <v>1281.75</v>
      </c>
      <c r="AD144" s="715">
        <f t="shared" si="77"/>
        <v>1281.75</v>
      </c>
      <c r="AE144" s="715">
        <f t="shared" si="77"/>
        <v>1281.75</v>
      </c>
      <c r="AF144" s="715">
        <f t="shared" si="77"/>
        <v>0</v>
      </c>
      <c r="AG144" s="715">
        <f t="shared" si="77"/>
        <v>0</v>
      </c>
    </row>
    <row r="145" spans="1:33" s="632" customFormat="1" ht="17.25" customHeight="1" outlineLevel="1">
      <c r="A145" s="127"/>
      <c r="B145" s="416" t="str">
        <f>IF(B31="","",B31)</f>
        <v/>
      </c>
      <c r="C145" s="127"/>
      <c r="D145" s="270"/>
      <c r="E145" s="127"/>
      <c r="F145" s="127"/>
      <c r="G145" s="127"/>
      <c r="H145" s="127"/>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438"/>
      <c r="AE145" s="438"/>
      <c r="AF145" s="438"/>
      <c r="AG145" s="438"/>
    </row>
    <row r="146" spans="1:33" s="632" customFormat="1" ht="17.25" customHeight="1" outlineLevel="1">
      <c r="A146" s="127"/>
      <c r="B146" s="683" t="str">
        <f>Inputs!$B$126</f>
        <v>4.</v>
      </c>
      <c r="C146" s="986" t="str">
        <f>Inputs!$C$126</f>
        <v>General and Administration Staff</v>
      </c>
      <c r="D146" s="270"/>
      <c r="E146" s="127"/>
      <c r="F146" s="127"/>
      <c r="G146" s="127"/>
      <c r="H146" s="127"/>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row>
    <row r="147" spans="1:33" s="632" customFormat="1" ht="17.25" customHeight="1" outlineLevel="1">
      <c r="A147" s="127"/>
      <c r="B147" s="416" t="str">
        <f>IF(B33="","",B33)</f>
        <v/>
      </c>
      <c r="C147" s="40" t="str">
        <f>Inputs!$C$140</f>
        <v>Recruiting Costs (one-time upon hiring)</v>
      </c>
      <c r="D147" s="8" t="str">
        <f>Currency_Label</f>
        <v>USD</v>
      </c>
      <c r="E147" s="144">
        <f>Inputs!I140</f>
        <v>250</v>
      </c>
      <c r="F147" s="270" t="s">
        <v>238</v>
      </c>
      <c r="G147" s="127"/>
      <c r="H147" s="127"/>
      <c r="I147" s="236">
        <f t="shared" ref="I147:I153" si="78">SUM(J147:AG147)</f>
        <v>1000</v>
      </c>
      <c r="J147" s="982">
        <f t="shared" ref="J147:AG147" si="79">MAX(0,J41-I41)*$E147*J$6</f>
        <v>250</v>
      </c>
      <c r="K147" s="982">
        <f t="shared" si="79"/>
        <v>0</v>
      </c>
      <c r="L147" s="982">
        <f t="shared" si="79"/>
        <v>0</v>
      </c>
      <c r="M147" s="982">
        <f t="shared" si="79"/>
        <v>0</v>
      </c>
      <c r="N147" s="982">
        <f t="shared" si="79"/>
        <v>0</v>
      </c>
      <c r="O147" s="982">
        <f t="shared" si="79"/>
        <v>250</v>
      </c>
      <c r="P147" s="982">
        <f t="shared" si="79"/>
        <v>0</v>
      </c>
      <c r="Q147" s="982">
        <f t="shared" si="79"/>
        <v>0</v>
      </c>
      <c r="R147" s="982">
        <f t="shared" si="79"/>
        <v>0</v>
      </c>
      <c r="S147" s="982">
        <f t="shared" si="79"/>
        <v>0</v>
      </c>
      <c r="T147" s="982">
        <f t="shared" si="79"/>
        <v>0</v>
      </c>
      <c r="U147" s="982">
        <f t="shared" si="79"/>
        <v>0</v>
      </c>
      <c r="V147" s="982">
        <f t="shared" si="79"/>
        <v>0</v>
      </c>
      <c r="W147" s="982">
        <f t="shared" si="79"/>
        <v>250</v>
      </c>
      <c r="X147" s="982">
        <f t="shared" si="79"/>
        <v>0</v>
      </c>
      <c r="Y147" s="982">
        <f t="shared" si="79"/>
        <v>0</v>
      </c>
      <c r="Z147" s="982">
        <f t="shared" si="79"/>
        <v>0</v>
      </c>
      <c r="AA147" s="982">
        <f t="shared" si="79"/>
        <v>0</v>
      </c>
      <c r="AB147" s="982">
        <f t="shared" si="79"/>
        <v>0</v>
      </c>
      <c r="AC147" s="982">
        <f t="shared" si="79"/>
        <v>0</v>
      </c>
      <c r="AD147" s="982">
        <f t="shared" si="79"/>
        <v>0</v>
      </c>
      <c r="AE147" s="982">
        <f t="shared" si="79"/>
        <v>250</v>
      </c>
      <c r="AF147" s="982">
        <f t="shared" si="79"/>
        <v>0</v>
      </c>
      <c r="AG147" s="982">
        <f t="shared" si="79"/>
        <v>0</v>
      </c>
    </row>
    <row r="148" spans="1:33" s="632" customFormat="1" ht="17.25" customHeight="1" outlineLevel="1">
      <c r="A148" s="127"/>
      <c r="B148" s="416" t="str">
        <f>IF(B34="","",B34)</f>
        <v/>
      </c>
      <c r="C148" s="40" t="str">
        <f>Inputs!$C$141</f>
        <v>Travel &amp; Entertainment costs</v>
      </c>
      <c r="D148" s="8" t="str">
        <f t="shared" ref="D148:D151" si="80">Currency_Label</f>
        <v>USD</v>
      </c>
      <c r="E148" s="144">
        <f>Inputs!I141</f>
        <v>500</v>
      </c>
      <c r="F148" s="270" t="s">
        <v>239</v>
      </c>
      <c r="G148" s="127"/>
      <c r="H148" s="127"/>
      <c r="I148" s="236">
        <f t="shared" si="78"/>
        <v>24500</v>
      </c>
      <c r="J148" s="982">
        <f t="shared" ref="J148:S149" si="81">J$41*$E148*J$6</f>
        <v>500</v>
      </c>
      <c r="K148" s="982">
        <f t="shared" si="81"/>
        <v>500</v>
      </c>
      <c r="L148" s="982">
        <f t="shared" si="81"/>
        <v>500</v>
      </c>
      <c r="M148" s="982">
        <f t="shared" si="81"/>
        <v>500</v>
      </c>
      <c r="N148" s="982">
        <f t="shared" si="81"/>
        <v>500</v>
      </c>
      <c r="O148" s="982">
        <f t="shared" si="81"/>
        <v>1000</v>
      </c>
      <c r="P148" s="982">
        <f t="shared" si="81"/>
        <v>1000</v>
      </c>
      <c r="Q148" s="982">
        <f t="shared" si="81"/>
        <v>1000</v>
      </c>
      <c r="R148" s="982">
        <f t="shared" si="81"/>
        <v>1000</v>
      </c>
      <c r="S148" s="982">
        <f t="shared" si="81"/>
        <v>1000</v>
      </c>
      <c r="T148" s="982">
        <f t="shared" ref="T148:AG149" si="82">T$41*$E148*T$6</f>
        <v>1000</v>
      </c>
      <c r="U148" s="982">
        <f t="shared" si="82"/>
        <v>1000</v>
      </c>
      <c r="V148" s="982">
        <f t="shared" si="82"/>
        <v>1000</v>
      </c>
      <c r="W148" s="982">
        <f t="shared" si="82"/>
        <v>1500</v>
      </c>
      <c r="X148" s="982">
        <f t="shared" si="82"/>
        <v>1500</v>
      </c>
      <c r="Y148" s="982">
        <f t="shared" si="82"/>
        <v>1500</v>
      </c>
      <c r="Z148" s="982">
        <f t="shared" si="82"/>
        <v>1500</v>
      </c>
      <c r="AA148" s="982">
        <f t="shared" si="82"/>
        <v>1500</v>
      </c>
      <c r="AB148" s="982">
        <f t="shared" si="82"/>
        <v>1500</v>
      </c>
      <c r="AC148" s="982">
        <f t="shared" si="82"/>
        <v>1500</v>
      </c>
      <c r="AD148" s="982">
        <f t="shared" si="82"/>
        <v>1500</v>
      </c>
      <c r="AE148" s="982">
        <f t="shared" si="82"/>
        <v>2000</v>
      </c>
      <c r="AF148" s="982">
        <f t="shared" si="82"/>
        <v>0</v>
      </c>
      <c r="AG148" s="982">
        <f t="shared" si="82"/>
        <v>0</v>
      </c>
    </row>
    <row r="149" spans="1:33" s="632" customFormat="1" ht="17.25" customHeight="1" outlineLevel="1">
      <c r="A149" s="127"/>
      <c r="B149" s="416" t="str">
        <f>IF(B35="","",B35)</f>
        <v/>
      </c>
      <c r="C149" s="40" t="str">
        <f>Inputs!$C$142</f>
        <v>Spare</v>
      </c>
      <c r="D149" s="8" t="str">
        <f t="shared" si="80"/>
        <v>USD</v>
      </c>
      <c r="E149" s="144">
        <f>Inputs!I142</f>
        <v>0</v>
      </c>
      <c r="F149" s="270" t="s">
        <v>239</v>
      </c>
      <c r="G149" s="127"/>
      <c r="H149" s="127"/>
      <c r="I149" s="236">
        <f t="shared" si="78"/>
        <v>0</v>
      </c>
      <c r="J149" s="982">
        <f t="shared" si="81"/>
        <v>0</v>
      </c>
      <c r="K149" s="982">
        <f t="shared" si="81"/>
        <v>0</v>
      </c>
      <c r="L149" s="982">
        <f t="shared" si="81"/>
        <v>0</v>
      </c>
      <c r="M149" s="982">
        <f t="shared" si="81"/>
        <v>0</v>
      </c>
      <c r="N149" s="982">
        <f t="shared" si="81"/>
        <v>0</v>
      </c>
      <c r="O149" s="982">
        <f t="shared" si="81"/>
        <v>0</v>
      </c>
      <c r="P149" s="982">
        <f t="shared" si="81"/>
        <v>0</v>
      </c>
      <c r="Q149" s="982">
        <f t="shared" si="81"/>
        <v>0</v>
      </c>
      <c r="R149" s="982">
        <f t="shared" si="81"/>
        <v>0</v>
      </c>
      <c r="S149" s="982">
        <f t="shared" si="81"/>
        <v>0</v>
      </c>
      <c r="T149" s="982">
        <f t="shared" si="82"/>
        <v>0</v>
      </c>
      <c r="U149" s="982">
        <f t="shared" si="82"/>
        <v>0</v>
      </c>
      <c r="V149" s="982">
        <f t="shared" si="82"/>
        <v>0</v>
      </c>
      <c r="W149" s="982">
        <f t="shared" si="82"/>
        <v>0</v>
      </c>
      <c r="X149" s="982">
        <f t="shared" si="82"/>
        <v>0</v>
      </c>
      <c r="Y149" s="982">
        <f t="shared" si="82"/>
        <v>0</v>
      </c>
      <c r="Z149" s="982">
        <f t="shared" si="82"/>
        <v>0</v>
      </c>
      <c r="AA149" s="982">
        <f t="shared" si="82"/>
        <v>0</v>
      </c>
      <c r="AB149" s="982">
        <f t="shared" si="82"/>
        <v>0</v>
      </c>
      <c r="AC149" s="982">
        <f t="shared" si="82"/>
        <v>0</v>
      </c>
      <c r="AD149" s="982">
        <f t="shared" si="82"/>
        <v>0</v>
      </c>
      <c r="AE149" s="982">
        <f t="shared" si="82"/>
        <v>0</v>
      </c>
      <c r="AF149" s="982">
        <f t="shared" si="82"/>
        <v>0</v>
      </c>
      <c r="AG149" s="982">
        <f t="shared" si="82"/>
        <v>0</v>
      </c>
    </row>
    <row r="150" spans="1:33" s="632" customFormat="1" ht="17.25" customHeight="1" outlineLevel="1">
      <c r="A150" s="127"/>
      <c r="B150" s="416"/>
      <c r="C150" s="40" t="str">
        <f>Inputs!$C$143</f>
        <v>Training costs</v>
      </c>
      <c r="D150" s="8" t="str">
        <f t="shared" si="80"/>
        <v>USD</v>
      </c>
      <c r="E150" s="84">
        <f>Inputs!I143</f>
        <v>0.03</v>
      </c>
      <c r="F150" s="270" t="s">
        <v>227</v>
      </c>
      <c r="G150" s="127"/>
      <c r="H150" s="127"/>
      <c r="I150" s="236">
        <f t="shared" si="78"/>
        <v>4315.5</v>
      </c>
      <c r="J150" s="982">
        <f t="shared" ref="J150:S152" si="83">J$78*$E150*J$6</f>
        <v>87.499999999999986</v>
      </c>
      <c r="K150" s="982">
        <f t="shared" si="83"/>
        <v>87.499999999999986</v>
      </c>
      <c r="L150" s="982">
        <f t="shared" si="83"/>
        <v>87.499999999999986</v>
      </c>
      <c r="M150" s="982">
        <f t="shared" si="83"/>
        <v>87.499999999999986</v>
      </c>
      <c r="N150" s="982">
        <f t="shared" si="83"/>
        <v>87.499999999999986</v>
      </c>
      <c r="O150" s="982">
        <f t="shared" si="83"/>
        <v>174.99999999999997</v>
      </c>
      <c r="P150" s="982">
        <f t="shared" si="83"/>
        <v>174.99999999999997</v>
      </c>
      <c r="Q150" s="982">
        <f t="shared" si="83"/>
        <v>174.99999999999997</v>
      </c>
      <c r="R150" s="982">
        <f t="shared" si="83"/>
        <v>174.99999999999997</v>
      </c>
      <c r="S150" s="982">
        <f t="shared" si="83"/>
        <v>174.99999999999997</v>
      </c>
      <c r="T150" s="982">
        <f t="shared" ref="T150:AG152" si="84">T$78*$E150*T$6</f>
        <v>174.99999999999997</v>
      </c>
      <c r="U150" s="982">
        <f t="shared" si="84"/>
        <v>176.75</v>
      </c>
      <c r="V150" s="982">
        <f t="shared" si="84"/>
        <v>176.75</v>
      </c>
      <c r="W150" s="982">
        <f t="shared" si="84"/>
        <v>265.125</v>
      </c>
      <c r="X150" s="982">
        <f t="shared" si="84"/>
        <v>265.125</v>
      </c>
      <c r="Y150" s="982">
        <f t="shared" si="84"/>
        <v>265.125</v>
      </c>
      <c r="Z150" s="982">
        <f t="shared" si="84"/>
        <v>265.125</v>
      </c>
      <c r="AA150" s="982">
        <f t="shared" si="84"/>
        <v>265.125</v>
      </c>
      <c r="AB150" s="982">
        <f t="shared" si="84"/>
        <v>265.125</v>
      </c>
      <c r="AC150" s="982">
        <f t="shared" si="84"/>
        <v>265.125</v>
      </c>
      <c r="AD150" s="982">
        <f t="shared" si="84"/>
        <v>265.125</v>
      </c>
      <c r="AE150" s="982">
        <f t="shared" si="84"/>
        <v>353.5</v>
      </c>
      <c r="AF150" s="982">
        <f t="shared" si="84"/>
        <v>0</v>
      </c>
      <c r="AG150" s="982">
        <f t="shared" si="84"/>
        <v>0</v>
      </c>
    </row>
    <row r="151" spans="1:33" s="632" customFormat="1" ht="17.25" customHeight="1" outlineLevel="1">
      <c r="A151" s="127"/>
      <c r="B151" s="416"/>
      <c r="C151" s="40" t="str">
        <f>Inputs!$C$144</f>
        <v>Bonus at plan performance</v>
      </c>
      <c r="D151" s="8" t="str">
        <f t="shared" si="80"/>
        <v>USD</v>
      </c>
      <c r="E151" s="84">
        <f>Inputs!I144</f>
        <v>0.03</v>
      </c>
      <c r="F151" s="270" t="s">
        <v>227</v>
      </c>
      <c r="G151" s="127"/>
      <c r="H151" s="127"/>
      <c r="I151" s="236">
        <f t="shared" si="78"/>
        <v>4315.5</v>
      </c>
      <c r="J151" s="982">
        <f t="shared" si="83"/>
        <v>87.499999999999986</v>
      </c>
      <c r="K151" s="982">
        <f t="shared" si="83"/>
        <v>87.499999999999986</v>
      </c>
      <c r="L151" s="982">
        <f t="shared" si="83"/>
        <v>87.499999999999986</v>
      </c>
      <c r="M151" s="982">
        <f t="shared" si="83"/>
        <v>87.499999999999986</v>
      </c>
      <c r="N151" s="982">
        <f t="shared" si="83"/>
        <v>87.499999999999986</v>
      </c>
      <c r="O151" s="982">
        <f t="shared" si="83"/>
        <v>174.99999999999997</v>
      </c>
      <c r="P151" s="982">
        <f t="shared" si="83"/>
        <v>174.99999999999997</v>
      </c>
      <c r="Q151" s="982">
        <f t="shared" si="83"/>
        <v>174.99999999999997</v>
      </c>
      <c r="R151" s="982">
        <f t="shared" si="83"/>
        <v>174.99999999999997</v>
      </c>
      <c r="S151" s="982">
        <f t="shared" si="83"/>
        <v>174.99999999999997</v>
      </c>
      <c r="T151" s="982">
        <f t="shared" si="84"/>
        <v>174.99999999999997</v>
      </c>
      <c r="U151" s="982">
        <f t="shared" si="84"/>
        <v>176.75</v>
      </c>
      <c r="V151" s="982">
        <f t="shared" si="84"/>
        <v>176.75</v>
      </c>
      <c r="W151" s="982">
        <f t="shared" si="84"/>
        <v>265.125</v>
      </c>
      <c r="X151" s="982">
        <f t="shared" si="84"/>
        <v>265.125</v>
      </c>
      <c r="Y151" s="982">
        <f t="shared" si="84"/>
        <v>265.125</v>
      </c>
      <c r="Z151" s="982">
        <f t="shared" si="84"/>
        <v>265.125</v>
      </c>
      <c r="AA151" s="982">
        <f t="shared" si="84"/>
        <v>265.125</v>
      </c>
      <c r="AB151" s="982">
        <f t="shared" si="84"/>
        <v>265.125</v>
      </c>
      <c r="AC151" s="982">
        <f t="shared" si="84"/>
        <v>265.125</v>
      </c>
      <c r="AD151" s="982">
        <f t="shared" si="84"/>
        <v>265.125</v>
      </c>
      <c r="AE151" s="982">
        <f t="shared" si="84"/>
        <v>353.5</v>
      </c>
      <c r="AF151" s="982">
        <f t="shared" si="84"/>
        <v>0</v>
      </c>
      <c r="AG151" s="982">
        <f t="shared" si="84"/>
        <v>0</v>
      </c>
    </row>
    <row r="152" spans="1:33" s="632" customFormat="1" ht="17.25" customHeight="1" outlineLevel="1">
      <c r="A152" s="127"/>
      <c r="B152" s="416" t="str">
        <f>IF(B40="","",B40)</f>
        <v/>
      </c>
      <c r="C152" s="40" t="str">
        <f>Inputs!$C$145</f>
        <v>Spare</v>
      </c>
      <c r="D152" s="8" t="str">
        <f>Currency_Label</f>
        <v>USD</v>
      </c>
      <c r="E152" s="84">
        <f>Inputs!I145</f>
        <v>0.01</v>
      </c>
      <c r="F152" s="270" t="s">
        <v>227</v>
      </c>
      <c r="G152" s="127"/>
      <c r="H152" s="127"/>
      <c r="I152" s="236">
        <f t="shared" si="78"/>
        <v>1438.4999999999998</v>
      </c>
      <c r="J152" s="982">
        <f t="shared" si="83"/>
        <v>29.166666666666664</v>
      </c>
      <c r="K152" s="982">
        <f t="shared" si="83"/>
        <v>29.166666666666664</v>
      </c>
      <c r="L152" s="982">
        <f t="shared" si="83"/>
        <v>29.166666666666664</v>
      </c>
      <c r="M152" s="982">
        <f t="shared" si="83"/>
        <v>29.166666666666664</v>
      </c>
      <c r="N152" s="982">
        <f t="shared" si="83"/>
        <v>29.166666666666664</v>
      </c>
      <c r="O152" s="982">
        <f t="shared" si="83"/>
        <v>58.333333333333329</v>
      </c>
      <c r="P152" s="982">
        <f t="shared" si="83"/>
        <v>58.333333333333329</v>
      </c>
      <c r="Q152" s="982">
        <f t="shared" si="83"/>
        <v>58.333333333333329</v>
      </c>
      <c r="R152" s="982">
        <f t="shared" si="83"/>
        <v>58.333333333333329</v>
      </c>
      <c r="S152" s="982">
        <f t="shared" si="83"/>
        <v>58.333333333333329</v>
      </c>
      <c r="T152" s="982">
        <f t="shared" si="84"/>
        <v>58.333333333333329</v>
      </c>
      <c r="U152" s="982">
        <f t="shared" si="84"/>
        <v>58.916666666666671</v>
      </c>
      <c r="V152" s="982">
        <f t="shared" si="84"/>
        <v>58.916666666666671</v>
      </c>
      <c r="W152" s="982">
        <f t="shared" si="84"/>
        <v>88.375</v>
      </c>
      <c r="X152" s="982">
        <f t="shared" si="84"/>
        <v>88.375</v>
      </c>
      <c r="Y152" s="982">
        <f t="shared" si="84"/>
        <v>88.375</v>
      </c>
      <c r="Z152" s="982">
        <f t="shared" si="84"/>
        <v>88.375</v>
      </c>
      <c r="AA152" s="982">
        <f t="shared" si="84"/>
        <v>88.375</v>
      </c>
      <c r="AB152" s="982">
        <f t="shared" si="84"/>
        <v>88.375</v>
      </c>
      <c r="AC152" s="982">
        <f t="shared" si="84"/>
        <v>88.375</v>
      </c>
      <c r="AD152" s="982">
        <f t="shared" si="84"/>
        <v>88.375</v>
      </c>
      <c r="AE152" s="982">
        <f t="shared" si="84"/>
        <v>117.83333333333334</v>
      </c>
      <c r="AF152" s="982">
        <f t="shared" si="84"/>
        <v>0</v>
      </c>
      <c r="AG152" s="982">
        <f t="shared" si="84"/>
        <v>0</v>
      </c>
    </row>
    <row r="153" spans="1:33" s="632" customFormat="1" ht="17.25" customHeight="1" outlineLevel="1">
      <c r="A153" s="127"/>
      <c r="B153" s="416" t="str">
        <f>IF(B41="","",B41)</f>
        <v/>
      </c>
      <c r="C153" s="75" t="str">
        <f>C41</f>
        <v xml:space="preserve">     Subtotal</v>
      </c>
      <c r="D153" s="8" t="str">
        <f>Currency_Label</f>
        <v>USD</v>
      </c>
      <c r="E153" s="36"/>
      <c r="F153" s="36"/>
      <c r="G153" s="36"/>
      <c r="H153" s="36"/>
      <c r="I153" s="236">
        <f t="shared" si="78"/>
        <v>35569.5</v>
      </c>
      <c r="J153" s="715">
        <f>SUM(J147:J152)</f>
        <v>954.16666666666663</v>
      </c>
      <c r="K153" s="715">
        <f t="shared" ref="K153:AG153" si="85">SUM(K147:K152)</f>
        <v>704.16666666666663</v>
      </c>
      <c r="L153" s="715">
        <f t="shared" si="85"/>
        <v>704.16666666666663</v>
      </c>
      <c r="M153" s="715">
        <f t="shared" si="85"/>
        <v>704.16666666666663</v>
      </c>
      <c r="N153" s="715">
        <f t="shared" si="85"/>
        <v>704.16666666666663</v>
      </c>
      <c r="O153" s="715">
        <f t="shared" si="85"/>
        <v>1658.3333333333333</v>
      </c>
      <c r="P153" s="715">
        <f t="shared" si="85"/>
        <v>1408.3333333333333</v>
      </c>
      <c r="Q153" s="715">
        <f t="shared" si="85"/>
        <v>1408.3333333333333</v>
      </c>
      <c r="R153" s="715">
        <f t="shared" si="85"/>
        <v>1408.3333333333333</v>
      </c>
      <c r="S153" s="715">
        <f t="shared" si="85"/>
        <v>1408.3333333333333</v>
      </c>
      <c r="T153" s="715">
        <f t="shared" si="85"/>
        <v>1408.3333333333333</v>
      </c>
      <c r="U153" s="715">
        <f t="shared" si="85"/>
        <v>1412.4166666666667</v>
      </c>
      <c r="V153" s="715">
        <f t="shared" si="85"/>
        <v>1412.4166666666667</v>
      </c>
      <c r="W153" s="715">
        <f t="shared" si="85"/>
        <v>2368.625</v>
      </c>
      <c r="X153" s="715">
        <f t="shared" si="85"/>
        <v>2118.625</v>
      </c>
      <c r="Y153" s="715">
        <f t="shared" si="85"/>
        <v>2118.625</v>
      </c>
      <c r="Z153" s="715">
        <f t="shared" si="85"/>
        <v>2118.625</v>
      </c>
      <c r="AA153" s="715">
        <f t="shared" si="85"/>
        <v>2118.625</v>
      </c>
      <c r="AB153" s="715">
        <f t="shared" si="85"/>
        <v>2118.625</v>
      </c>
      <c r="AC153" s="715">
        <f t="shared" si="85"/>
        <v>2118.625</v>
      </c>
      <c r="AD153" s="715">
        <f t="shared" si="85"/>
        <v>2118.625</v>
      </c>
      <c r="AE153" s="715">
        <f t="shared" si="85"/>
        <v>3074.8333333333335</v>
      </c>
      <c r="AF153" s="715">
        <f t="shared" si="85"/>
        <v>0</v>
      </c>
      <c r="AG153" s="715">
        <f t="shared" si="85"/>
        <v>0</v>
      </c>
    </row>
    <row r="154" spans="1:33" s="632" customFormat="1" ht="11.25" customHeight="1" outlineLevel="1">
      <c r="A154" s="127"/>
      <c r="B154" s="127"/>
      <c r="C154" s="127"/>
      <c r="D154" s="270"/>
      <c r="E154" s="127"/>
      <c r="F154" s="127"/>
      <c r="G154" s="127"/>
      <c r="H154" s="127"/>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438"/>
      <c r="AE154" s="438"/>
      <c r="AF154" s="438"/>
      <c r="AG154" s="438"/>
    </row>
    <row r="155" spans="1:33" s="632" customFormat="1" ht="18" customHeight="1" outlineLevel="1" thickBot="1">
      <c r="A155" s="127"/>
      <c r="B155" s="127"/>
      <c r="C155" s="262" t="s">
        <v>240</v>
      </c>
      <c r="D155" s="398" t="str">
        <f>Currency_Label</f>
        <v>USD</v>
      </c>
      <c r="E155" s="36"/>
      <c r="F155" s="36"/>
      <c r="G155" s="36"/>
      <c r="H155" s="36"/>
      <c r="I155" s="236">
        <f ca="1">SUM(J155:AG155)</f>
        <v>118607.32301607869</v>
      </c>
      <c r="J155" s="686">
        <f ca="1">J126+J135+J144+J153</f>
        <v>2259.1255555555554</v>
      </c>
      <c r="K155" s="686">
        <f t="shared" ref="K155:AG155" ca="1" si="86">K126+K135+K144+K153</f>
        <v>1966.4811111111112</v>
      </c>
      <c r="L155" s="686">
        <f t="shared" ca="1" si="86"/>
        <v>2206.3422222222225</v>
      </c>
      <c r="M155" s="686">
        <f t="shared" ca="1" si="86"/>
        <v>2356.5609444444444</v>
      </c>
      <c r="N155" s="686">
        <f t="shared" ca="1" si="86"/>
        <v>2565.5840555555556</v>
      </c>
      <c r="O155" s="686">
        <f t="shared" ca="1" si="86"/>
        <v>3731.5658577777776</v>
      </c>
      <c r="P155" s="686">
        <f t="shared" ca="1" si="86"/>
        <v>3682.7202737555554</v>
      </c>
      <c r="Q155" s="686">
        <f t="shared" ca="1" si="86"/>
        <v>5133.8267243724449</v>
      </c>
      <c r="R155" s="686">
        <f t="shared" ca="1" si="86"/>
        <v>4763.6869780140096</v>
      </c>
      <c r="S155" s="686">
        <f t="shared" ca="1" si="86"/>
        <v>4925.971975551236</v>
      </c>
      <c r="T155" s="686">
        <f t="shared" ca="1" si="86"/>
        <v>5154.7696408899528</v>
      </c>
      <c r="U155" s="686">
        <f t="shared" ca="1" si="86"/>
        <v>5392.3310539525492</v>
      </c>
      <c r="V155" s="686">
        <f t="shared" ca="1" si="86"/>
        <v>5562.8167059636098</v>
      </c>
      <c r="W155" s="686">
        <f t="shared" ca="1" si="86"/>
        <v>6742.8812181817557</v>
      </c>
      <c r="X155" s="686">
        <f t="shared" ca="1" si="86"/>
        <v>6710.1482393467613</v>
      </c>
      <c r="Y155" s="686">
        <f t="shared" ca="1" si="86"/>
        <v>6892.272084420295</v>
      </c>
      <c r="Z155" s="686">
        <f t="shared" ca="1" si="86"/>
        <v>7117.8723050226645</v>
      </c>
      <c r="AA155" s="686">
        <f t="shared" ca="1" si="86"/>
        <v>7340.4954935409769</v>
      </c>
      <c r="AB155" s="686">
        <f t="shared" ca="1" si="86"/>
        <v>8164.8827855398722</v>
      </c>
      <c r="AC155" s="686">
        <f t="shared" ca="1" si="86"/>
        <v>8098.7030055972318</v>
      </c>
      <c r="AD155" s="686">
        <f t="shared" ca="1" si="86"/>
        <v>8332.5765928238434</v>
      </c>
      <c r="AE155" s="686">
        <f t="shared" ca="1" si="86"/>
        <v>9505.7081924392787</v>
      </c>
      <c r="AF155" s="686">
        <f t="shared" ca="1" si="86"/>
        <v>0</v>
      </c>
      <c r="AG155" s="686">
        <f t="shared" ca="1" si="86"/>
        <v>0</v>
      </c>
    </row>
    <row r="156" spans="1:33" s="632" customFormat="1" ht="18" customHeight="1" outlineLevel="1" thickTop="1">
      <c r="A156" s="127"/>
      <c r="B156" s="127"/>
      <c r="C156" s="262" t="str">
        <f>CHOOSE(language,"  Total without direct labour","  Total without direct labor")</f>
        <v xml:space="preserve">  Total without direct labor</v>
      </c>
      <c r="D156" s="398" t="str">
        <f>Currency_Label</f>
        <v>USD</v>
      </c>
      <c r="E156" s="878"/>
      <c r="F156" s="36"/>
      <c r="G156" s="36"/>
      <c r="H156" s="36"/>
      <c r="I156" s="236">
        <f ca="1">SUM(J156:AG156)</f>
        <v>115544.88697739683</v>
      </c>
      <c r="J156" s="984">
        <f ca="1">J155-J126</f>
        <v>2240.4955555555553</v>
      </c>
      <c r="K156" s="984">
        <f t="shared" ref="K156:AG156" ca="1" si="87">K155-K126</f>
        <v>1938.8511111111111</v>
      </c>
      <c r="L156" s="984">
        <f t="shared" ca="1" si="87"/>
        <v>2167.4622222222224</v>
      </c>
      <c r="M156" s="984">
        <f t="shared" ca="1" si="87"/>
        <v>2306.9124444444446</v>
      </c>
      <c r="N156" s="984">
        <f t="shared" ca="1" si="87"/>
        <v>2504.2175555555555</v>
      </c>
      <c r="O156" s="984">
        <f t="shared" ca="1" si="87"/>
        <v>3658.1071377777776</v>
      </c>
      <c r="P156" s="984">
        <f t="shared" ca="1" si="87"/>
        <v>3597.5705699555556</v>
      </c>
      <c r="Q156" s="984">
        <f t="shared" ca="1" si="87"/>
        <v>5036.0255754204445</v>
      </c>
      <c r="R156" s="984">
        <f t="shared" ca="1" si="87"/>
        <v>4652.8181011039296</v>
      </c>
      <c r="S156" s="984">
        <f t="shared" ca="1" si="87"/>
        <v>4804.9769078147528</v>
      </c>
      <c r="T156" s="984">
        <f t="shared" ca="1" si="87"/>
        <v>5021.5899185940107</v>
      </c>
      <c r="U156" s="984">
        <f t="shared" ca="1" si="87"/>
        <v>5245.4342410243908</v>
      </c>
      <c r="V156" s="984">
        <f t="shared" ca="1" si="87"/>
        <v>5405.7271794047001</v>
      </c>
      <c r="W156" s="984">
        <f t="shared" ca="1" si="87"/>
        <v>6573.8921177113953</v>
      </c>
      <c r="X156" s="984">
        <f t="shared" ca="1" si="87"/>
        <v>6529.0978174908914</v>
      </c>
      <c r="Y156" s="984">
        <f t="shared" ca="1" si="87"/>
        <v>6700.7481561635059</v>
      </c>
      <c r="Z156" s="984">
        <f t="shared" ca="1" si="87"/>
        <v>6914.4400847297084</v>
      </c>
      <c r="AA156" s="984">
        <f t="shared" ca="1" si="87"/>
        <v>7124.9174684970312</v>
      </c>
      <c r="AB156" s="984">
        <f t="shared" ca="1" si="87"/>
        <v>7938.2725516875771</v>
      </c>
      <c r="AC156" s="984">
        <f t="shared" ca="1" si="87"/>
        <v>7859.8201665388106</v>
      </c>
      <c r="AD156" s="984">
        <f t="shared" ca="1" si="87"/>
        <v>8081.1117467656841</v>
      </c>
      <c r="AE156" s="984">
        <f t="shared" ca="1" si="87"/>
        <v>9242.398347827786</v>
      </c>
      <c r="AF156" s="984">
        <f t="shared" ca="1" si="87"/>
        <v>0</v>
      </c>
      <c r="AG156" s="984">
        <f t="shared" ca="1" si="87"/>
        <v>0</v>
      </c>
    </row>
    <row r="157" spans="1:33" s="878" customFormat="1" ht="11.25" customHeight="1" outlineLevel="1">
      <c r="A157" s="127"/>
      <c r="B157" s="127"/>
      <c r="C157" s="127"/>
      <c r="D157" s="270"/>
      <c r="E157" s="127"/>
      <c r="F157" s="127"/>
      <c r="G157" s="127"/>
      <c r="H157" s="127"/>
      <c r="I157" s="420"/>
      <c r="J157" s="420"/>
      <c r="K157" s="420"/>
      <c r="L157" s="420"/>
      <c r="M157" s="786"/>
      <c r="N157" s="786"/>
      <c r="O157" s="786"/>
      <c r="P157" s="786"/>
      <c r="Q157" s="786"/>
      <c r="R157" s="786"/>
      <c r="S157" s="786"/>
      <c r="T157" s="786"/>
      <c r="U157" s="786"/>
      <c r="V157" s="786"/>
      <c r="W157" s="786"/>
      <c r="X157" s="786"/>
      <c r="Y157" s="786"/>
      <c r="Z157" s="786"/>
      <c r="AA157" s="786"/>
      <c r="AB157" s="786"/>
      <c r="AC157" s="786"/>
      <c r="AD157" s="786"/>
      <c r="AE157" s="786"/>
      <c r="AF157" s="786"/>
      <c r="AG157" s="786"/>
    </row>
    <row r="158" spans="1:33" s="632" customFormat="1" ht="17.25" customHeight="1" outlineLevel="1" thickBot="1">
      <c r="A158" s="127"/>
      <c r="B158" s="127"/>
      <c r="C158" s="262" t="str">
        <f>CHOOSE(language,"Total HR (w/o Direct Labour Costs)","Total HR (w/o Direct Labor Costs)")</f>
        <v>Total HR (w/o Direct Labor Costs)</v>
      </c>
      <c r="D158" s="398" t="str">
        <f>Currency_Label</f>
        <v>USD</v>
      </c>
      <c r="E158" s="36"/>
      <c r="F158" s="36"/>
      <c r="G158" s="36"/>
      <c r="H158" s="36"/>
      <c r="I158" s="236">
        <f ca="1">SUM(J158:AG158)</f>
        <v>1009463.2593734402</v>
      </c>
      <c r="J158" s="687">
        <f t="shared" ref="J158:AG158" ca="1" si="88">J80+J116+J155</f>
        <v>12907.658888888887</v>
      </c>
      <c r="K158" s="687">
        <f t="shared" ca="1" si="88"/>
        <v>14808.347777777777</v>
      </c>
      <c r="L158" s="687">
        <f t="shared" ca="1" si="88"/>
        <v>17164.875555555554</v>
      </c>
      <c r="M158" s="687">
        <f t="shared" ca="1" si="88"/>
        <v>19025.667611111112</v>
      </c>
      <c r="N158" s="687">
        <f t="shared" ca="1" si="88"/>
        <v>21092.077388888887</v>
      </c>
      <c r="O158" s="687">
        <f t="shared" ca="1" si="88"/>
        <v>27675.461324444448</v>
      </c>
      <c r="P158" s="687">
        <f t="shared" ca="1" si="88"/>
        <v>29486.991959088889</v>
      </c>
      <c r="Q158" s="687">
        <f t="shared" ca="1" si="88"/>
        <v>39447.360557119115</v>
      </c>
      <c r="R158" s="687">
        <f t="shared" ca="1" si="88"/>
        <v>41153.287444070549</v>
      </c>
      <c r="S158" s="687">
        <f t="shared" ca="1" si="88"/>
        <v>42951.195640250029</v>
      </c>
      <c r="T158" s="687">
        <f t="shared" ca="1" si="88"/>
        <v>45130.890976176699</v>
      </c>
      <c r="U158" s="687">
        <f t="shared" ca="1" si="88"/>
        <v>47806.669795613408</v>
      </c>
      <c r="V158" s="687">
        <f t="shared" ca="1" si="88"/>
        <v>49640.771334500911</v>
      </c>
      <c r="W158" s="687">
        <f t="shared" ca="1" si="88"/>
        <v>56282.769978464945</v>
      </c>
      <c r="X158" s="687">
        <f t="shared" ca="1" si="88"/>
        <v>58206.453401797677</v>
      </c>
      <c r="Y158" s="687">
        <f t="shared" ca="1" si="88"/>
        <v>60109.681024363541</v>
      </c>
      <c r="Z158" s="687">
        <f t="shared" ca="1" si="88"/>
        <v>62279.092310862528</v>
      </c>
      <c r="AA158" s="687">
        <f t="shared" ca="1" si="88"/>
        <v>64487.106735828842</v>
      </c>
      <c r="AB158" s="687">
        <f t="shared" ca="1" si="88"/>
        <v>70669.046496453884</v>
      </c>
      <c r="AC158" s="687">
        <f t="shared" ca="1" si="88"/>
        <v>72619.356702690522</v>
      </c>
      <c r="AD158" s="687">
        <f t="shared" ca="1" si="88"/>
        <v>74922.888948759384</v>
      </c>
      <c r="AE158" s="687">
        <f t="shared" ca="1" si="88"/>
        <v>81595.607520732592</v>
      </c>
      <c r="AF158" s="687">
        <f t="shared" ca="1" si="88"/>
        <v>0</v>
      </c>
      <c r="AG158" s="687">
        <f t="shared" ca="1" si="88"/>
        <v>0</v>
      </c>
    </row>
    <row r="159" spans="1:33" s="632" customFormat="1" ht="17.25" customHeight="1" thickTop="1">
      <c r="A159" s="127"/>
      <c r="B159" s="127"/>
      <c r="C159" s="127"/>
      <c r="D159" s="270"/>
      <c r="E159" s="127"/>
      <c r="F159" s="127"/>
      <c r="G159" s="127"/>
      <c r="H159" s="127"/>
      <c r="I159" s="420"/>
      <c r="J159" s="420"/>
      <c r="K159" s="420"/>
      <c r="L159" s="420"/>
      <c r="M159" s="786"/>
      <c r="N159" s="786"/>
      <c r="O159" s="786"/>
      <c r="P159" s="786"/>
      <c r="Q159" s="786"/>
      <c r="R159" s="786"/>
      <c r="S159" s="786"/>
      <c r="T159" s="786"/>
      <c r="U159" s="786"/>
      <c r="V159" s="786"/>
      <c r="W159" s="786"/>
      <c r="X159" s="786"/>
      <c r="Y159" s="786"/>
      <c r="Z159" s="786"/>
      <c r="AA159" s="786"/>
      <c r="AB159" s="786"/>
      <c r="AC159" s="786"/>
      <c r="AD159" s="786"/>
      <c r="AE159" s="786"/>
      <c r="AF159" s="786"/>
      <c r="AG159" s="786"/>
    </row>
    <row r="160" spans="1:33" s="632" customFormat="1" ht="24" customHeight="1" thickBot="1">
      <c r="A160" s="316"/>
      <c r="B160" s="316"/>
      <c r="C160" s="316" t="str">
        <f>CHOOSE(language,"Summary (with direct labour costs)","Summary (with direct labor costs)")</f>
        <v>Summary (with direct labor costs)</v>
      </c>
      <c r="D160" s="316"/>
      <c r="E160" s="316"/>
      <c r="F160" s="427"/>
      <c r="G160" s="427"/>
      <c r="H160" s="427"/>
      <c r="I160" s="427"/>
      <c r="J160" s="427"/>
      <c r="K160" s="427"/>
      <c r="L160" s="427"/>
      <c r="M160" s="427"/>
      <c r="N160" s="427"/>
      <c r="O160" s="427"/>
      <c r="P160" s="427"/>
      <c r="Q160" s="427"/>
      <c r="R160" s="427"/>
      <c r="S160" s="427"/>
      <c r="T160" s="427"/>
      <c r="U160" s="427"/>
      <c r="V160" s="427"/>
      <c r="W160" s="427"/>
      <c r="X160" s="427"/>
      <c r="Y160" s="427"/>
      <c r="Z160" s="427"/>
      <c r="AA160" s="427"/>
      <c r="AB160" s="427"/>
      <c r="AC160" s="427"/>
      <c r="AD160" s="427"/>
      <c r="AE160" s="427"/>
      <c r="AF160" s="427"/>
      <c r="AG160" s="427"/>
    </row>
    <row r="161" spans="1:33" s="199" customFormat="1" ht="17.25" customHeight="1" outlineLevel="1">
      <c r="A161" s="861"/>
      <c r="B161" s="235"/>
      <c r="C161" s="40" t="str">
        <f>C12</f>
        <v>Direct Labor Staff</v>
      </c>
      <c r="D161" s="398" t="str">
        <f t="shared" ref="D161:D165" si="89">Currency_Label</f>
        <v>USD</v>
      </c>
      <c r="E161" s="235"/>
      <c r="F161" s="235"/>
      <c r="G161" s="235"/>
      <c r="H161" s="235"/>
      <c r="I161" s="236">
        <f ca="1">SUM(J161:AG161)</f>
        <v>248057.31913323083</v>
      </c>
      <c r="J161" s="982">
        <f t="shared" ref="J161:AG161" ca="1" si="90">J51+J87+J126</f>
        <v>1509.0300000000002</v>
      </c>
      <c r="K161" s="982">
        <f t="shared" ca="1" si="90"/>
        <v>2238.0300000000002</v>
      </c>
      <c r="L161" s="982">
        <f t="shared" ca="1" si="90"/>
        <v>3149.2800000000007</v>
      </c>
      <c r="M161" s="982">
        <f t="shared" ca="1" si="90"/>
        <v>4021.5284999999999</v>
      </c>
      <c r="N161" s="982">
        <f t="shared" ca="1" si="90"/>
        <v>4970.6865000000007</v>
      </c>
      <c r="O161" s="982">
        <f t="shared" ca="1" si="90"/>
        <v>5950.1563200000001</v>
      </c>
      <c r="P161" s="982">
        <f t="shared" ca="1" si="90"/>
        <v>6897.1260077999996</v>
      </c>
      <c r="Q161" s="982">
        <f t="shared" ca="1" si="90"/>
        <v>7921.8930651120018</v>
      </c>
      <c r="R161" s="982">
        <f t="shared" ca="1" si="90"/>
        <v>8980.3790297164833</v>
      </c>
      <c r="S161" s="982">
        <f t="shared" ca="1" si="90"/>
        <v>9800.6004866551411</v>
      </c>
      <c r="T161" s="982">
        <f t="shared" ca="1" si="90"/>
        <v>10787.557505971348</v>
      </c>
      <c r="U161" s="982">
        <f t="shared" ca="1" si="90"/>
        <v>11898.641847180805</v>
      </c>
      <c r="V161" s="982">
        <f t="shared" ca="1" si="90"/>
        <v>12724.251651271663</v>
      </c>
      <c r="W161" s="982">
        <f t="shared" ca="1" si="90"/>
        <v>13688.117138099222</v>
      </c>
      <c r="X161" s="982">
        <f t="shared" ca="1" si="90"/>
        <v>14665.084170325486</v>
      </c>
      <c r="Y161" s="982">
        <f t="shared" ca="1" si="90"/>
        <v>15513.438188799892</v>
      </c>
      <c r="Z161" s="982">
        <f t="shared" ca="1" si="90"/>
        <v>16478.009843729415</v>
      </c>
      <c r="AA161" s="982">
        <f t="shared" ca="1" si="90"/>
        <v>17461.820028559585</v>
      </c>
      <c r="AB161" s="982">
        <f t="shared" ca="1" si="90"/>
        <v>18355.428942035916</v>
      </c>
      <c r="AC161" s="982">
        <f t="shared" ca="1" si="90"/>
        <v>19349.509963732158</v>
      </c>
      <c r="AD161" s="982">
        <f t="shared" ca="1" si="90"/>
        <v>20368.652530710875</v>
      </c>
      <c r="AE161" s="982">
        <f t="shared" ca="1" si="90"/>
        <v>21328.097413530846</v>
      </c>
      <c r="AF161" s="982">
        <f t="shared" ca="1" si="90"/>
        <v>0</v>
      </c>
      <c r="AG161" s="982">
        <f t="shared" ca="1" si="90"/>
        <v>0</v>
      </c>
    </row>
    <row r="162" spans="1:33" s="199" customFormat="1" ht="17.25" customHeight="1" outlineLevel="1">
      <c r="A162" s="127"/>
      <c r="B162" s="235"/>
      <c r="C162" s="40" t="str">
        <f>C16</f>
        <v>Marketing and Sales Staff</v>
      </c>
      <c r="D162" s="398" t="str">
        <f t="shared" si="89"/>
        <v>USD</v>
      </c>
      <c r="E162" s="235"/>
      <c r="F162" s="235"/>
      <c r="G162" s="235"/>
      <c r="H162" s="235"/>
      <c r="I162" s="236">
        <f ca="1">SUM(J162:AG162)</f>
        <v>344389.44024020934</v>
      </c>
      <c r="J162" s="982">
        <f t="shared" ref="J162:AG162" ca="1" si="91">J56+J92+J135</f>
        <v>2819.462222222222</v>
      </c>
      <c r="K162" s="982">
        <f t="shared" ca="1" si="91"/>
        <v>4541.1511111111113</v>
      </c>
      <c r="L162" s="982">
        <f t="shared" ca="1" si="91"/>
        <v>5986.4288888888887</v>
      </c>
      <c r="M162" s="982">
        <f t="shared" ca="1" si="91"/>
        <v>6974.9724444444446</v>
      </c>
      <c r="N162" s="982">
        <f t="shared" ca="1" si="91"/>
        <v>8092.2242222222221</v>
      </c>
      <c r="O162" s="982">
        <f t="shared" ca="1" si="91"/>
        <v>9241.9716711111123</v>
      </c>
      <c r="P162" s="982">
        <f t="shared" ca="1" si="91"/>
        <v>10356.532617955558</v>
      </c>
      <c r="Q162" s="982">
        <f t="shared" ca="1" si="91"/>
        <v>11567.134158673784</v>
      </c>
      <c r="R162" s="982">
        <f t="shared" ca="1" si="91"/>
        <v>12814.575081020732</v>
      </c>
      <c r="S162" s="982">
        <f t="shared" ca="1" si="91"/>
        <v>13792.261820261563</v>
      </c>
      <c r="T162" s="982">
        <f t="shared" ca="1" si="91"/>
        <v>14985.000136872024</v>
      </c>
      <c r="U162" s="982">
        <f t="shared" ca="1" si="91"/>
        <v>16370.611281765936</v>
      </c>
      <c r="V162" s="982">
        <f t="shared" ca="1" si="91"/>
        <v>17379.103016562578</v>
      </c>
      <c r="W162" s="982">
        <f t="shared" ca="1" si="91"/>
        <v>18566.027840365718</v>
      </c>
      <c r="X162" s="982">
        <f t="shared" ca="1" si="91"/>
        <v>19762.744231472185</v>
      </c>
      <c r="Y162" s="982">
        <f t="shared" ca="1" si="91"/>
        <v>20817.617835563658</v>
      </c>
      <c r="Z162" s="982">
        <f t="shared" ca="1" si="91"/>
        <v>22022.457467133107</v>
      </c>
      <c r="AA162" s="982">
        <f t="shared" ca="1" si="91"/>
        <v>23246.661707269261</v>
      </c>
      <c r="AB162" s="982">
        <f t="shared" ca="1" si="91"/>
        <v>24373.242554417968</v>
      </c>
      <c r="AC162" s="982">
        <f t="shared" ca="1" si="91"/>
        <v>25629.471738958364</v>
      </c>
      <c r="AD162" s="982">
        <f t="shared" ca="1" si="91"/>
        <v>26913.861418048502</v>
      </c>
      <c r="AE162" s="982">
        <f t="shared" ca="1" si="91"/>
        <v>28135.926773868399</v>
      </c>
      <c r="AF162" s="982">
        <f t="shared" ca="1" si="91"/>
        <v>0</v>
      </c>
      <c r="AG162" s="982">
        <f t="shared" ca="1" si="91"/>
        <v>0</v>
      </c>
    </row>
    <row r="163" spans="1:33" s="199" customFormat="1" ht="17.25" customHeight="1" outlineLevel="1">
      <c r="A163" s="127"/>
      <c r="B163" s="235"/>
      <c r="C163" s="40" t="str">
        <f>C21</f>
        <v>Research and Development Staff</v>
      </c>
      <c r="D163" s="398" t="str">
        <f t="shared" si="89"/>
        <v>USD</v>
      </c>
      <c r="E163" s="235"/>
      <c r="F163" s="235"/>
      <c r="G163" s="235"/>
      <c r="H163" s="235"/>
      <c r="I163" s="236">
        <f>SUM(J163:AG163)</f>
        <v>208827</v>
      </c>
      <c r="J163" s="982">
        <f t="shared" ref="J163:AG163" si="92">J67+J103+J144</f>
        <v>4125</v>
      </c>
      <c r="K163" s="982">
        <f t="shared" si="92"/>
        <v>3825</v>
      </c>
      <c r="L163" s="982">
        <f t="shared" si="92"/>
        <v>3825</v>
      </c>
      <c r="M163" s="982">
        <f t="shared" si="92"/>
        <v>3825</v>
      </c>
      <c r="N163" s="982">
        <f t="shared" si="92"/>
        <v>3825</v>
      </c>
      <c r="O163" s="982">
        <f t="shared" si="92"/>
        <v>3825</v>
      </c>
      <c r="P163" s="982">
        <f t="shared" si="92"/>
        <v>3825</v>
      </c>
      <c r="Q163" s="982">
        <f t="shared" si="92"/>
        <v>11549.999999999998</v>
      </c>
      <c r="R163" s="982">
        <f t="shared" si="92"/>
        <v>10949.999999999998</v>
      </c>
      <c r="S163" s="982">
        <f t="shared" si="92"/>
        <v>10949.999999999998</v>
      </c>
      <c r="T163" s="982">
        <f t="shared" si="92"/>
        <v>10949.999999999998</v>
      </c>
      <c r="U163" s="982">
        <f t="shared" si="92"/>
        <v>11055.000000000002</v>
      </c>
      <c r="V163" s="982">
        <f t="shared" si="92"/>
        <v>11055.000000000002</v>
      </c>
      <c r="W163" s="982">
        <f t="shared" si="92"/>
        <v>11055.000000000002</v>
      </c>
      <c r="X163" s="982">
        <f t="shared" si="92"/>
        <v>11055.000000000002</v>
      </c>
      <c r="Y163" s="982">
        <f t="shared" si="92"/>
        <v>11055.000000000002</v>
      </c>
      <c r="Z163" s="982">
        <f t="shared" si="92"/>
        <v>11055.000000000002</v>
      </c>
      <c r="AA163" s="982">
        <f t="shared" si="92"/>
        <v>11055.000000000002</v>
      </c>
      <c r="AB163" s="982">
        <f t="shared" si="92"/>
        <v>15216.75</v>
      </c>
      <c r="AC163" s="982">
        <f t="shared" si="92"/>
        <v>14916.75</v>
      </c>
      <c r="AD163" s="982">
        <f t="shared" si="92"/>
        <v>14916.75</v>
      </c>
      <c r="AE163" s="982">
        <f t="shared" si="92"/>
        <v>14916.75</v>
      </c>
      <c r="AF163" s="982">
        <f t="shared" si="92"/>
        <v>0</v>
      </c>
      <c r="AG163" s="982">
        <f t="shared" si="92"/>
        <v>0</v>
      </c>
    </row>
    <row r="164" spans="1:33" ht="17.25" customHeight="1" outlineLevel="1">
      <c r="A164" s="127"/>
      <c r="B164" s="235"/>
      <c r="C164" s="40" t="str">
        <f>C32</f>
        <v>General and Administration Staff</v>
      </c>
      <c r="D164" s="398" t="str">
        <f t="shared" si="89"/>
        <v>USD</v>
      </c>
      <c r="E164" s="235"/>
      <c r="F164" s="235"/>
      <c r="G164" s="235"/>
      <c r="H164" s="235"/>
      <c r="I164" s="236">
        <f>SUM(J164:AG164)</f>
        <v>208189.50000000003</v>
      </c>
      <c r="J164" s="982">
        <f t="shared" ref="J164:AG164" si="93">J78+J114+J153</f>
        <v>4454.166666666667</v>
      </c>
      <c r="K164" s="982">
        <f t="shared" si="93"/>
        <v>4204.166666666667</v>
      </c>
      <c r="L164" s="982">
        <f t="shared" si="93"/>
        <v>4204.166666666667</v>
      </c>
      <c r="M164" s="982">
        <f t="shared" si="93"/>
        <v>4204.166666666667</v>
      </c>
      <c r="N164" s="982">
        <f t="shared" si="93"/>
        <v>4204.166666666667</v>
      </c>
      <c r="O164" s="982">
        <f t="shared" si="93"/>
        <v>8658.3333333333339</v>
      </c>
      <c r="P164" s="982">
        <f t="shared" si="93"/>
        <v>8408.3333333333339</v>
      </c>
      <c r="Q164" s="982">
        <f t="shared" si="93"/>
        <v>8408.3333333333339</v>
      </c>
      <c r="R164" s="982">
        <f t="shared" si="93"/>
        <v>8408.3333333333339</v>
      </c>
      <c r="S164" s="982">
        <f t="shared" si="93"/>
        <v>8408.3333333333339</v>
      </c>
      <c r="T164" s="982">
        <f t="shared" si="93"/>
        <v>8408.3333333333339</v>
      </c>
      <c r="U164" s="982">
        <f t="shared" si="93"/>
        <v>8482.4166666666661</v>
      </c>
      <c r="V164" s="982">
        <f t="shared" si="93"/>
        <v>8482.4166666666661</v>
      </c>
      <c r="W164" s="982">
        <f t="shared" si="93"/>
        <v>12973.625</v>
      </c>
      <c r="X164" s="982">
        <f t="shared" si="93"/>
        <v>12723.625</v>
      </c>
      <c r="Y164" s="982">
        <f t="shared" si="93"/>
        <v>12723.625</v>
      </c>
      <c r="Z164" s="982">
        <f t="shared" si="93"/>
        <v>12723.625</v>
      </c>
      <c r="AA164" s="982">
        <f t="shared" si="93"/>
        <v>12723.625</v>
      </c>
      <c r="AB164" s="982">
        <f t="shared" si="93"/>
        <v>12723.625</v>
      </c>
      <c r="AC164" s="982">
        <f t="shared" si="93"/>
        <v>12723.625</v>
      </c>
      <c r="AD164" s="982">
        <f t="shared" si="93"/>
        <v>12723.625</v>
      </c>
      <c r="AE164" s="982">
        <f t="shared" si="93"/>
        <v>17214.833333333332</v>
      </c>
      <c r="AF164" s="982">
        <f t="shared" si="93"/>
        <v>0</v>
      </c>
      <c r="AG164" s="982">
        <f t="shared" si="93"/>
        <v>0</v>
      </c>
    </row>
    <row r="165" spans="1:33" s="235" customFormat="1" ht="17.25" customHeight="1" outlineLevel="1" thickBot="1">
      <c r="A165" s="127"/>
      <c r="C165" s="262" t="str">
        <f>CHOOSE(language,"Total (with direct labour costs)","Total (with direct labor costs)")</f>
        <v>Total (with direct labor costs)</v>
      </c>
      <c r="D165" s="398" t="str">
        <f t="shared" si="89"/>
        <v>USD</v>
      </c>
      <c r="E165" s="861"/>
      <c r="F165" s="861"/>
      <c r="G165" s="861"/>
      <c r="H165" s="861"/>
      <c r="I165" s="236">
        <f ca="1">SUM(J165:AG165)</f>
        <v>1009463.2593734402</v>
      </c>
      <c r="J165" s="687">
        <f t="shared" ref="J165:AG165" ca="1" si="94">SUM(J161:J164)</f>
        <v>12907.658888888891</v>
      </c>
      <c r="K165" s="687">
        <f t="shared" ca="1" si="94"/>
        <v>14808.347777777777</v>
      </c>
      <c r="L165" s="687">
        <f t="shared" ca="1" si="94"/>
        <v>17164.875555555558</v>
      </c>
      <c r="M165" s="687">
        <f t="shared" ca="1" si="94"/>
        <v>19025.667611111112</v>
      </c>
      <c r="N165" s="687">
        <f t="shared" ca="1" si="94"/>
        <v>21092.077388888891</v>
      </c>
      <c r="O165" s="687">
        <f t="shared" ca="1" si="94"/>
        <v>27675.461324444448</v>
      </c>
      <c r="P165" s="687">
        <f t="shared" ca="1" si="94"/>
        <v>29486.991959088889</v>
      </c>
      <c r="Q165" s="687">
        <f t="shared" ca="1" si="94"/>
        <v>39447.360557119122</v>
      </c>
      <c r="R165" s="687">
        <f t="shared" ca="1" si="94"/>
        <v>41153.287444070549</v>
      </c>
      <c r="S165" s="687">
        <f t="shared" ca="1" si="94"/>
        <v>42951.195640250036</v>
      </c>
      <c r="T165" s="687">
        <f t="shared" ca="1" si="94"/>
        <v>45130.890976176706</v>
      </c>
      <c r="U165" s="687">
        <f t="shared" ca="1" si="94"/>
        <v>47806.669795613408</v>
      </c>
      <c r="V165" s="687">
        <f t="shared" ca="1" si="94"/>
        <v>49640.771334500903</v>
      </c>
      <c r="W165" s="687">
        <f t="shared" ca="1" si="94"/>
        <v>56282.769978464938</v>
      </c>
      <c r="X165" s="687">
        <f t="shared" ca="1" si="94"/>
        <v>58206.453401797669</v>
      </c>
      <c r="Y165" s="687">
        <f t="shared" ca="1" si="94"/>
        <v>60109.681024363548</v>
      </c>
      <c r="Z165" s="687">
        <f t="shared" ca="1" si="94"/>
        <v>62279.092310862521</v>
      </c>
      <c r="AA165" s="687">
        <f t="shared" ca="1" si="94"/>
        <v>64487.106735828842</v>
      </c>
      <c r="AB165" s="687">
        <f t="shared" ca="1" si="94"/>
        <v>70669.046496453884</v>
      </c>
      <c r="AC165" s="687">
        <f t="shared" ca="1" si="94"/>
        <v>72619.356702690522</v>
      </c>
      <c r="AD165" s="687">
        <f t="shared" ca="1" si="94"/>
        <v>74922.888948759384</v>
      </c>
      <c r="AE165" s="687">
        <f t="shared" ca="1" si="94"/>
        <v>81595.607520732578</v>
      </c>
      <c r="AF165" s="687">
        <f t="shared" ca="1" si="94"/>
        <v>0</v>
      </c>
      <c r="AG165" s="687">
        <f t="shared" ca="1" si="94"/>
        <v>0</v>
      </c>
    </row>
    <row r="166" spans="1:33" s="235" customFormat="1" ht="17.25" customHeight="1" thickTop="1">
      <c r="A166" s="861"/>
      <c r="B166" s="861"/>
      <c r="C166" s="861"/>
      <c r="D166" s="861"/>
      <c r="E166" s="861"/>
      <c r="F166" s="861"/>
      <c r="I166" s="786"/>
      <c r="J166" s="786"/>
      <c r="K166" s="786"/>
      <c r="L166" s="786"/>
      <c r="M166" s="786"/>
      <c r="N166" s="786"/>
      <c r="O166" s="786"/>
      <c r="P166" s="786"/>
      <c r="Q166" s="786"/>
      <c r="R166" s="786"/>
      <c r="S166" s="786"/>
      <c r="T166" s="786"/>
      <c r="U166" s="786"/>
      <c r="V166" s="786"/>
      <c r="W166" s="786"/>
      <c r="X166" s="786"/>
      <c r="Y166" s="786"/>
      <c r="Z166" s="786"/>
      <c r="AA166" s="786"/>
      <c r="AB166" s="786"/>
      <c r="AC166" s="786"/>
      <c r="AD166" s="786"/>
      <c r="AE166" s="786"/>
      <c r="AF166" s="786"/>
      <c r="AG166" s="786"/>
    </row>
    <row r="167" spans="1:33" s="861" customFormat="1" ht="27.75" customHeight="1" thickBot="1">
      <c r="A167" s="316"/>
      <c r="B167" s="316"/>
      <c r="C167" s="316" t="s">
        <v>869</v>
      </c>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6"/>
      <c r="AD167" s="316"/>
      <c r="AE167" s="316"/>
      <c r="AF167" s="316"/>
      <c r="AG167" s="316"/>
    </row>
    <row r="168" spans="1:33" s="861" customFormat="1" ht="17.25" customHeight="1" outlineLevel="1">
      <c r="B168" s="683" t="s">
        <v>33</v>
      </c>
      <c r="C168" s="320" t="str">
        <f>CHOOSE(language,"Direct Labour Expenses","Direct Labor Expenses")</f>
        <v>Direct Labor Expenses</v>
      </c>
    </row>
    <row r="169" spans="1:33" s="861" customFormat="1" ht="17.25" customHeight="1" outlineLevel="1">
      <c r="C169" s="40" t="str">
        <f>"Product/Service 1: "&amp;PS_01</f>
        <v>Product/Service 1: WonderApp</v>
      </c>
      <c r="D169" s="398" t="str">
        <f t="shared" ref="D169" si="95">Currency_Label</f>
        <v>USD</v>
      </c>
      <c r="I169" s="236">
        <f ca="1">SUM(J169:AG169)</f>
        <v>248057.31913323083</v>
      </c>
      <c r="J169" s="982">
        <f t="shared" ref="J169:AG169" ca="1" si="96">IFERROR(J50+J86+J$126*J50/J$51,0)</f>
        <v>1509.0300000000002</v>
      </c>
      <c r="K169" s="982">
        <f t="shared" ca="1" si="96"/>
        <v>2238.0300000000002</v>
      </c>
      <c r="L169" s="982">
        <f t="shared" ca="1" si="96"/>
        <v>3149.2800000000007</v>
      </c>
      <c r="M169" s="982">
        <f t="shared" ca="1" si="96"/>
        <v>4021.5284999999999</v>
      </c>
      <c r="N169" s="982">
        <f t="shared" ca="1" si="96"/>
        <v>4970.6865000000007</v>
      </c>
      <c r="O169" s="982">
        <f t="shared" ca="1" si="96"/>
        <v>5950.1563200000001</v>
      </c>
      <c r="P169" s="982">
        <f t="shared" ca="1" si="96"/>
        <v>6897.1260077999996</v>
      </c>
      <c r="Q169" s="982">
        <f t="shared" ca="1" si="96"/>
        <v>7921.8930651120018</v>
      </c>
      <c r="R169" s="982">
        <f t="shared" ca="1" si="96"/>
        <v>8980.3790297164833</v>
      </c>
      <c r="S169" s="982">
        <f t="shared" ca="1" si="96"/>
        <v>9800.6004866551411</v>
      </c>
      <c r="T169" s="982">
        <f t="shared" ca="1" si="96"/>
        <v>10787.557505971348</v>
      </c>
      <c r="U169" s="982">
        <f t="shared" ca="1" si="96"/>
        <v>11898.641847180805</v>
      </c>
      <c r="V169" s="982">
        <f t="shared" ca="1" si="96"/>
        <v>12724.251651271663</v>
      </c>
      <c r="W169" s="982">
        <f t="shared" ca="1" si="96"/>
        <v>13688.117138099222</v>
      </c>
      <c r="X169" s="982">
        <f t="shared" ca="1" si="96"/>
        <v>14665.084170325486</v>
      </c>
      <c r="Y169" s="982">
        <f t="shared" ca="1" si="96"/>
        <v>15513.438188799892</v>
      </c>
      <c r="Z169" s="982">
        <f t="shared" ca="1" si="96"/>
        <v>16478.009843729415</v>
      </c>
      <c r="AA169" s="982">
        <f t="shared" ca="1" si="96"/>
        <v>17461.820028559585</v>
      </c>
      <c r="AB169" s="982">
        <f t="shared" ca="1" si="96"/>
        <v>18355.428942035916</v>
      </c>
      <c r="AC169" s="982">
        <f t="shared" ca="1" si="96"/>
        <v>19349.509963732158</v>
      </c>
      <c r="AD169" s="982">
        <f t="shared" ca="1" si="96"/>
        <v>20368.652530710875</v>
      </c>
      <c r="AE169" s="982">
        <f t="shared" ca="1" si="96"/>
        <v>21328.097413530846</v>
      </c>
      <c r="AF169" s="982">
        <f t="shared" ca="1" si="96"/>
        <v>0</v>
      </c>
      <c r="AG169" s="982">
        <f t="shared" ca="1" si="96"/>
        <v>0</v>
      </c>
    </row>
    <row r="170" spans="1:33" s="861" customFormat="1" ht="17.25" customHeight="1" outlineLevel="1">
      <c r="J170" s="319"/>
    </row>
    <row r="171" spans="1:33" s="861" customFormat="1" ht="17.25" customHeight="1" outlineLevel="1">
      <c r="B171" s="683" t="s">
        <v>34</v>
      </c>
      <c r="C171" s="320" t="s">
        <v>867</v>
      </c>
      <c r="J171" s="987"/>
    </row>
    <row r="172" spans="1:33" s="861" customFormat="1" ht="17.25" customHeight="1" outlineLevel="1">
      <c r="C172" s="40" t="str">
        <f>"Product/Service 1: "&amp;PS_01</f>
        <v>Product/Service 1: WonderApp</v>
      </c>
      <c r="D172" s="398" t="str">
        <f t="shared" ref="D172" si="97">Currency_Label</f>
        <v>USD</v>
      </c>
      <c r="I172" s="236">
        <f ca="1">SUM(J172:AG172)</f>
        <v>79009.474594736253</v>
      </c>
      <c r="J172" s="982">
        <f t="shared" ref="J172:AG172" ca="1" si="98">IFERROR(J54+J90+J$135*J54/J$56,0)</f>
        <v>1088.6963356535828</v>
      </c>
      <c r="K172" s="982">
        <f t="shared" ca="1" si="98"/>
        <v>2084.1676049672819</v>
      </c>
      <c r="L172" s="982">
        <f t="shared" ca="1" si="98"/>
        <v>2572.4801680066253</v>
      </c>
      <c r="M172" s="982">
        <f t="shared" ca="1" si="98"/>
        <v>2652.5959349162222</v>
      </c>
      <c r="N172" s="982">
        <f t="shared" ca="1" si="98"/>
        <v>2755.6295811213563</v>
      </c>
      <c r="O172" s="982">
        <f t="shared" ca="1" si="98"/>
        <v>2862.1231963459854</v>
      </c>
      <c r="P172" s="982">
        <f t="shared" ca="1" si="98"/>
        <v>2972.2231031675387</v>
      </c>
      <c r="Q172" s="982">
        <f t="shared" ca="1" si="98"/>
        <v>3089.659071959843</v>
      </c>
      <c r="R172" s="982">
        <f t="shared" ca="1" si="98"/>
        <v>3211.0239157393717</v>
      </c>
      <c r="S172" s="982">
        <f t="shared" ca="1" si="98"/>
        <v>3332.7248832337195</v>
      </c>
      <c r="T172" s="982">
        <f t="shared" ca="1" si="98"/>
        <v>3467.4488438772869</v>
      </c>
      <c r="U172" s="982">
        <f t="shared" ca="1" si="98"/>
        <v>3633.7048075486687</v>
      </c>
      <c r="V172" s="982">
        <f t="shared" ca="1" si="98"/>
        <v>3774.5721818717138</v>
      </c>
      <c r="W172" s="982">
        <f t="shared" ca="1" si="98"/>
        <v>3926.6961198690237</v>
      </c>
      <c r="X172" s="982">
        <f t="shared" ca="1" si="98"/>
        <v>4082.6876823130406</v>
      </c>
      <c r="Y172" s="982">
        <f t="shared" ca="1" si="98"/>
        <v>4242.8356042665282</v>
      </c>
      <c r="Z172" s="982">
        <f t="shared" ca="1" si="98"/>
        <v>4413.463661725762</v>
      </c>
      <c r="AA172" s="982">
        <f t="shared" ca="1" si="98"/>
        <v>4589.2778383928317</v>
      </c>
      <c r="AB172" s="982">
        <f t="shared" ca="1" si="98"/>
        <v>4770.5428416374734</v>
      </c>
      <c r="AC172" s="982">
        <f t="shared" ca="1" si="98"/>
        <v>4962.0959315289665</v>
      </c>
      <c r="AD172" s="982">
        <f t="shared" ca="1" si="98"/>
        <v>5160.0718913223254</v>
      </c>
      <c r="AE172" s="982">
        <f t="shared" ca="1" si="98"/>
        <v>5364.7533952711137</v>
      </c>
      <c r="AF172" s="982">
        <f t="shared" ca="1" si="98"/>
        <v>0</v>
      </c>
      <c r="AG172" s="982">
        <f t="shared" ca="1" si="98"/>
        <v>0</v>
      </c>
    </row>
    <row r="173" spans="1:33" s="861" customFormat="1" ht="17.25" customHeight="1" outlineLevel="1"/>
    <row r="174" spans="1:33" s="861" customFormat="1" ht="17.25" customHeight="1" outlineLevel="1">
      <c r="B174" s="683" t="s">
        <v>35</v>
      </c>
      <c r="C174" s="320" t="s">
        <v>868</v>
      </c>
      <c r="J174" s="987"/>
      <c r="K174" s="987"/>
      <c r="L174" s="987"/>
      <c r="M174" s="987"/>
      <c r="N174" s="987"/>
      <c r="O174" s="987"/>
      <c r="P174" s="987"/>
      <c r="Q174" s="987"/>
      <c r="R174" s="987"/>
      <c r="S174" s="987"/>
      <c r="T174" s="987"/>
      <c r="U174" s="987"/>
      <c r="V174" s="987"/>
      <c r="W174" s="987"/>
      <c r="X174" s="987"/>
      <c r="Y174" s="987"/>
      <c r="Z174" s="987"/>
      <c r="AA174" s="987"/>
      <c r="AB174" s="987"/>
      <c r="AC174" s="987"/>
      <c r="AD174" s="987"/>
      <c r="AE174" s="987"/>
      <c r="AF174" s="987"/>
      <c r="AG174" s="987"/>
    </row>
    <row r="175" spans="1:33" s="861" customFormat="1" ht="17.25" customHeight="1" outlineLevel="1">
      <c r="C175" s="40" t="str">
        <f>"Product/Service 1: "&amp;PS_01</f>
        <v>Product/Service 1: WonderApp</v>
      </c>
      <c r="D175" s="398" t="str">
        <f t="shared" ref="D175" si="99">Currency_Label</f>
        <v>USD</v>
      </c>
      <c r="I175" s="236">
        <f ca="1">SUM(J175:AG175)</f>
        <v>265379.96564547304</v>
      </c>
      <c r="J175" s="982">
        <f t="shared" ref="J175:AG175" ca="1" si="100">IFERROR(J55+J91+J$135*J55/J$56,0)</f>
        <v>1730.7658865686394</v>
      </c>
      <c r="K175" s="982">
        <f t="shared" ca="1" si="100"/>
        <v>2456.9835061438293</v>
      </c>
      <c r="L175" s="982">
        <f t="shared" ca="1" si="100"/>
        <v>3413.9487208822643</v>
      </c>
      <c r="M175" s="982">
        <f t="shared" ca="1" si="100"/>
        <v>4322.3765095282224</v>
      </c>
      <c r="N175" s="982">
        <f t="shared" ca="1" si="100"/>
        <v>5336.5946411008663</v>
      </c>
      <c r="O175" s="982">
        <f t="shared" ca="1" si="100"/>
        <v>6379.8484747651264</v>
      </c>
      <c r="P175" s="982">
        <f t="shared" ca="1" si="100"/>
        <v>7384.3095147880194</v>
      </c>
      <c r="Q175" s="982">
        <f t="shared" ca="1" si="100"/>
        <v>8477.4750867139373</v>
      </c>
      <c r="R175" s="982">
        <f t="shared" ca="1" si="100"/>
        <v>9603.5511652813584</v>
      </c>
      <c r="S175" s="982">
        <f t="shared" ca="1" si="100"/>
        <v>10459.53693702784</v>
      </c>
      <c r="T175" s="982">
        <f t="shared" ca="1" si="100"/>
        <v>11517.551292994738</v>
      </c>
      <c r="U175" s="982">
        <f t="shared" ca="1" si="100"/>
        <v>12736.906474217267</v>
      </c>
      <c r="V175" s="982">
        <f t="shared" ca="1" si="100"/>
        <v>13604.530834690862</v>
      </c>
      <c r="W175" s="982">
        <f t="shared" ca="1" si="100"/>
        <v>14639.331720496695</v>
      </c>
      <c r="X175" s="982">
        <f t="shared" ca="1" si="100"/>
        <v>15680.056549159148</v>
      </c>
      <c r="Y175" s="982">
        <f t="shared" ca="1" si="100"/>
        <v>16574.782231297129</v>
      </c>
      <c r="Z175" s="982">
        <f t="shared" ca="1" si="100"/>
        <v>17608.993805407346</v>
      </c>
      <c r="AA175" s="982">
        <f t="shared" ca="1" si="100"/>
        <v>18657.383868876426</v>
      </c>
      <c r="AB175" s="982">
        <f t="shared" ca="1" si="100"/>
        <v>19602.699712780493</v>
      </c>
      <c r="AC175" s="982">
        <f t="shared" ca="1" si="100"/>
        <v>20667.375807429395</v>
      </c>
      <c r="AD175" s="982">
        <f t="shared" ca="1" si="100"/>
        <v>21753.789526726177</v>
      </c>
      <c r="AE175" s="982">
        <f t="shared" ca="1" si="100"/>
        <v>22771.173378597283</v>
      </c>
      <c r="AF175" s="982">
        <f t="shared" ca="1" si="100"/>
        <v>0</v>
      </c>
      <c r="AG175" s="982">
        <f t="shared" ca="1" si="100"/>
        <v>0</v>
      </c>
    </row>
    <row r="176" spans="1:33" s="861" customFormat="1" ht="17.25" customHeight="1" outlineLevel="1"/>
    <row r="177" spans="3:33" s="861" customFormat="1" ht="17.25" customHeight="1" outlineLevel="1">
      <c r="C177" s="40" t="s">
        <v>870</v>
      </c>
      <c r="I177" s="668">
        <f ca="1">SUM(J177:AG177)</f>
        <v>0</v>
      </c>
      <c r="J177" s="668">
        <f t="shared" ref="J177:AG177" ca="1" si="101">(J51+J87)+(J56+J92)+(J126+J135)-SUM(J169:J176)</f>
        <v>0</v>
      </c>
      <c r="K177" s="668">
        <f t="shared" ca="1" si="101"/>
        <v>0</v>
      </c>
      <c r="L177" s="668">
        <f t="shared" ca="1" si="101"/>
        <v>0</v>
      </c>
      <c r="M177" s="668">
        <f t="shared" ca="1" si="101"/>
        <v>0</v>
      </c>
      <c r="N177" s="668">
        <f t="shared" ca="1" si="101"/>
        <v>0</v>
      </c>
      <c r="O177" s="668">
        <f t="shared" ca="1" si="101"/>
        <v>0</v>
      </c>
      <c r="P177" s="668">
        <f t="shared" ca="1" si="101"/>
        <v>0</v>
      </c>
      <c r="Q177" s="668">
        <f t="shared" ca="1" si="101"/>
        <v>0</v>
      </c>
      <c r="R177" s="668">
        <f t="shared" ca="1" si="101"/>
        <v>0</v>
      </c>
      <c r="S177" s="668">
        <f t="shared" ca="1" si="101"/>
        <v>0</v>
      </c>
      <c r="T177" s="668">
        <f t="shared" ca="1" si="101"/>
        <v>0</v>
      </c>
      <c r="U177" s="668">
        <f t="shared" ca="1" si="101"/>
        <v>0</v>
      </c>
      <c r="V177" s="668">
        <f t="shared" ca="1" si="101"/>
        <v>0</v>
      </c>
      <c r="W177" s="668">
        <f t="shared" ca="1" si="101"/>
        <v>0</v>
      </c>
      <c r="X177" s="668">
        <f t="shared" ca="1" si="101"/>
        <v>0</v>
      </c>
      <c r="Y177" s="668">
        <f t="shared" ca="1" si="101"/>
        <v>0</v>
      </c>
      <c r="Z177" s="668">
        <f t="shared" ca="1" si="101"/>
        <v>0</v>
      </c>
      <c r="AA177" s="668">
        <f t="shared" ca="1" si="101"/>
        <v>0</v>
      </c>
      <c r="AB177" s="668">
        <f t="shared" ca="1" si="101"/>
        <v>0</v>
      </c>
      <c r="AC177" s="668">
        <f t="shared" ca="1" si="101"/>
        <v>0</v>
      </c>
      <c r="AD177" s="668">
        <f t="shared" ca="1" si="101"/>
        <v>0</v>
      </c>
      <c r="AE177" s="668">
        <f t="shared" ca="1" si="101"/>
        <v>0</v>
      </c>
      <c r="AF177" s="668">
        <f t="shared" ca="1" si="101"/>
        <v>0</v>
      </c>
      <c r="AG177" s="668">
        <f t="shared" ca="1" si="101"/>
        <v>0</v>
      </c>
    </row>
    <row r="178" spans="3:33" s="861" customFormat="1" ht="17.25" customHeight="1" outlineLevel="1"/>
    <row r="179" spans="3:33" s="861" customFormat="1" ht="17.25" customHeight="1"/>
    <row r="180" spans="3:33" s="861" customFormat="1" ht="17.25" customHeight="1"/>
    <row r="181" spans="3:33" s="861" customFormat="1" ht="17.25" customHeight="1"/>
    <row r="182" spans="3:33" s="861" customFormat="1" ht="17.25" customHeight="1"/>
    <row r="183" spans="3:33" s="861" customFormat="1" ht="17.25" customHeight="1"/>
    <row r="184" spans="3:33" s="861" customFormat="1" ht="17.25" customHeight="1"/>
    <row r="185" spans="3:33" s="861" customFormat="1" ht="17.25" customHeight="1"/>
    <row r="186" spans="3:33" s="861" customFormat="1" ht="17.25" customHeight="1"/>
    <row r="187" spans="3:33" s="861" customFormat="1" ht="17.25" customHeight="1"/>
    <row r="188" spans="3:33" s="861" customFormat="1" ht="17.25" customHeight="1"/>
    <row r="189" spans="3:33" s="861" customFormat="1" ht="17.25" customHeight="1"/>
    <row r="190" spans="3:33" s="861" customFormat="1" ht="17.25" customHeight="1"/>
    <row r="191" spans="3:33" s="861" customFormat="1" ht="17.25" customHeight="1"/>
    <row r="192" spans="3:33" s="861" customFormat="1" ht="17.25" customHeight="1"/>
    <row r="193" s="861" customFormat="1" ht="17.25" customHeight="1"/>
    <row r="194" s="861" customFormat="1" ht="17.25" customHeight="1"/>
    <row r="195" s="861" customFormat="1" ht="17.25" customHeight="1"/>
    <row r="196" s="861" customFormat="1" ht="17.25" customHeight="1"/>
    <row r="197" s="861" customFormat="1" ht="17.25" customHeight="1"/>
    <row r="198" s="861" customFormat="1" ht="17.25" customHeight="1"/>
    <row r="199" s="861" customFormat="1" ht="17.25" customHeight="1"/>
    <row r="200" s="861" customFormat="1" ht="17.25" customHeight="1"/>
    <row r="201" s="861" customFormat="1" ht="17.25" customHeight="1"/>
    <row r="202" s="861" customFormat="1" ht="17.25" customHeight="1"/>
    <row r="203" s="861" customFormat="1" ht="17.25" customHeight="1"/>
    <row r="204" s="861" customFormat="1" ht="17.25" customHeight="1"/>
    <row r="205" s="861" customFormat="1" ht="17.25" customHeight="1"/>
    <row r="206" s="861" customFormat="1" ht="17.25" customHeight="1"/>
    <row r="207" s="861" customFormat="1" ht="17.25" customHeight="1"/>
    <row r="208" s="861" customFormat="1" ht="17.25" customHeight="1"/>
    <row r="209" s="861" customFormat="1" ht="17.25" customHeight="1"/>
    <row r="210" s="861" customFormat="1" ht="17.25" customHeight="1"/>
    <row r="211" s="861" customFormat="1" ht="17.25" customHeight="1"/>
    <row r="212" s="235" customFormat="1" ht="17.25" customHeight="1"/>
    <row r="213" s="235" customFormat="1" ht="17.25" customHeight="1"/>
    <row r="214" s="235" customFormat="1" ht="17.25" customHeight="1"/>
    <row r="215" s="235" customFormat="1" ht="17.25" customHeight="1"/>
  </sheetData>
  <sheetProtection password="F66A" sheet="1"/>
  <conditionalFormatting sqref="J44:X44">
    <cfRule type="iconSet" priority="168">
      <iconSet iconSet="3Arrows">
        <cfvo type="percent" val="0"/>
        <cfvo type="num" val="0"/>
        <cfvo type="num" val="1"/>
      </iconSet>
    </cfRule>
  </conditionalFormatting>
  <conditionalFormatting sqref="J44:X44">
    <cfRule type="iconSet" priority="167">
      <iconSet iconSet="3Arrows">
        <cfvo type="percent" val="0"/>
        <cfvo type="num" val="0"/>
        <cfvo type="num" val="1"/>
      </iconSet>
    </cfRule>
  </conditionalFormatting>
  <conditionalFormatting sqref="J22:AG29 J33:AG40">
    <cfRule type="expression" dxfId="279" priority="62" stopIfTrue="1">
      <formula>J$6=0</formula>
    </cfRule>
  </conditionalFormatting>
  <conditionalFormatting sqref="D3 J177:AG177">
    <cfRule type="cellIs" dxfId="278" priority="51" operator="notEqual">
      <formula>0</formula>
    </cfRule>
  </conditionalFormatting>
  <conditionalFormatting sqref="E90:E91">
    <cfRule type="cellIs" dxfId="277" priority="38" stopIfTrue="1" operator="equal">
      <formula>1</formula>
    </cfRule>
  </conditionalFormatting>
  <conditionalFormatting sqref="E96">
    <cfRule type="cellIs" dxfId="276" priority="33" stopIfTrue="1" operator="equal">
      <formula>1</formula>
    </cfRule>
  </conditionalFormatting>
  <conditionalFormatting sqref="E97">
    <cfRule type="cellIs" dxfId="275" priority="32" stopIfTrue="1" operator="equal">
      <formula>1</formula>
    </cfRule>
  </conditionalFormatting>
  <conditionalFormatting sqref="E106">
    <cfRule type="cellIs" dxfId="274" priority="30" stopIfTrue="1" operator="equal">
      <formula>1</formula>
    </cfRule>
  </conditionalFormatting>
  <conditionalFormatting sqref="E107">
    <cfRule type="cellIs" dxfId="273" priority="29" stopIfTrue="1" operator="equal">
      <formula>1</formula>
    </cfRule>
  </conditionalFormatting>
  <conditionalFormatting sqref="E108">
    <cfRule type="cellIs" dxfId="272" priority="28" stopIfTrue="1" operator="equal">
      <formula>1</formula>
    </cfRule>
  </conditionalFormatting>
  <conditionalFormatting sqref="E95">
    <cfRule type="cellIs" dxfId="271" priority="22" stopIfTrue="1" operator="equal">
      <formula>1</formula>
    </cfRule>
  </conditionalFormatting>
  <conditionalFormatting sqref="E98:E102">
    <cfRule type="cellIs" dxfId="270" priority="17" stopIfTrue="1" operator="equal">
      <formula>1</formula>
    </cfRule>
  </conditionalFormatting>
  <conditionalFormatting sqref="E109:E113">
    <cfRule type="cellIs" dxfId="269" priority="16" stopIfTrue="1" operator="equal">
      <formula>1</formula>
    </cfRule>
  </conditionalFormatting>
  <conditionalFormatting sqref="E86">
    <cfRule type="cellIs" dxfId="268" priority="14" stopIfTrue="1" operator="equal">
      <formula>1</formula>
    </cfRule>
  </conditionalFormatting>
  <conditionalFormatting sqref="I177">
    <cfRule type="cellIs" dxfId="267" priority="6" operator="notEqual">
      <formula>0</formula>
    </cfRule>
  </conditionalFormatting>
  <conditionalFormatting sqref="Y44:AG44">
    <cfRule type="iconSet" priority="1267">
      <iconSet iconSet="3Arrows">
        <cfvo type="percent" val="0"/>
        <cfvo type="num" val="0"/>
        <cfvo type="num" val="1"/>
      </iconSet>
    </cfRule>
  </conditionalFormatting>
  <conditionalFormatting sqref="K6:L6 R6:AG6">
    <cfRule type="cellIs" dxfId="266" priority="5" stopIfTrue="1" operator="equal">
      <formula>1</formula>
    </cfRule>
  </conditionalFormatting>
  <conditionalFormatting sqref="J4 K4:AG5">
    <cfRule type="expression" dxfId="265" priority="4" stopIfTrue="1">
      <formula>J$6=1</formula>
    </cfRule>
  </conditionalFormatting>
  <conditionalFormatting sqref="M6:Q6">
    <cfRule type="cellIs" dxfId="264" priority="3" stopIfTrue="1" operator="equal">
      <formula>1</formula>
    </cfRule>
  </conditionalFormatting>
  <conditionalFormatting sqref="J5">
    <cfRule type="expression" dxfId="263" priority="2" stopIfTrue="1">
      <formula>J$6=1</formula>
    </cfRule>
  </conditionalFormatting>
  <conditionalFormatting sqref="J6:AG6">
    <cfRule type="cellIs" dxfId="262" priority="1" stopIfTrue="1" operator="equal">
      <formula>1</formula>
    </cfRule>
  </conditionalFormatting>
  <dataValidations count="1">
    <dataValidation type="list" allowBlank="1" showInputMessage="1" showErrorMessage="1" sqref="E22:E29 E33:E40 E13 E17:E18">
      <formula1>"1,0"</formula1>
    </dataValidation>
  </dataValidations>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osts">
    <tabColor rgb="FFFFFF00"/>
    <pageSetUpPr autoPageBreaks="0"/>
  </sheetPr>
  <dimension ref="A1:BU224"/>
  <sheetViews>
    <sheetView showGridLines="0" zoomScaleNormal="100" workbookViewId="0"/>
  </sheetViews>
  <sheetFormatPr baseColWidth="10" defaultColWidth="0" defaultRowHeight="12.75" outlineLevelRow="2"/>
  <cols>
    <col min="1" max="1" width="6" style="632" customWidth="1"/>
    <col min="2" max="2" width="4.140625" style="632" customWidth="1"/>
    <col min="3" max="3" width="65.7109375" style="632" customWidth="1"/>
    <col min="4" max="5" width="12.5703125" style="632" customWidth="1"/>
    <col min="6" max="6" width="14" style="632" customWidth="1"/>
    <col min="7" max="7" width="10.140625" style="632" customWidth="1"/>
    <col min="8" max="8" width="6.28515625" style="632" customWidth="1"/>
    <col min="9" max="33" width="11.42578125" style="632" customWidth="1"/>
    <col min="34" max="73" width="0" style="632" hidden="1" customWidth="1"/>
    <col min="74" max="16384" width="11.42578125" style="632" hidden="1"/>
  </cols>
  <sheetData>
    <row r="1" spans="1:33" ht="20.25">
      <c r="A1" s="41" t="s">
        <v>273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
      <c r="A2" s="127"/>
      <c r="B2" s="127"/>
      <c r="C2" s="268" t="str">
        <f>Timing!C2</f>
        <v>Model: Fictitious 5 Year Forecast</v>
      </c>
      <c r="D2" s="268"/>
      <c r="E2" s="429" t="s">
        <v>148</v>
      </c>
      <c r="F2" s="127"/>
      <c r="G2" s="127"/>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row>
    <row r="3" spans="1:33" ht="20.25">
      <c r="A3" s="127"/>
      <c r="B3" s="127"/>
      <c r="C3" s="268" t="str">
        <f>Timing!C3</f>
        <v>Model Integrity:</v>
      </c>
      <c r="D3" s="668">
        <f ca="1">Timing!D3</f>
        <v>0</v>
      </c>
      <c r="E3" s="429" t="s">
        <v>149</v>
      </c>
      <c r="F3" s="127"/>
      <c r="G3" s="280"/>
      <c r="H3" s="280"/>
      <c r="I3" s="280"/>
      <c r="J3" s="280"/>
      <c r="K3" s="280"/>
      <c r="L3" s="281"/>
      <c r="M3" s="282"/>
      <c r="N3" s="282"/>
      <c r="O3" s="282"/>
      <c r="P3" s="282"/>
      <c r="Q3" s="282"/>
      <c r="R3" s="282"/>
      <c r="S3" s="282"/>
      <c r="T3" s="282"/>
      <c r="U3" s="282"/>
      <c r="V3" s="282"/>
      <c r="W3" s="282"/>
      <c r="X3" s="282"/>
      <c r="Y3" s="282"/>
      <c r="Z3" s="282"/>
      <c r="AA3" s="282"/>
      <c r="AB3" s="282"/>
      <c r="AC3" s="282"/>
      <c r="AD3" s="282"/>
      <c r="AE3" s="282"/>
      <c r="AF3" s="282"/>
      <c r="AG3" s="282"/>
    </row>
    <row r="4" spans="1:33" ht="15.75" customHeight="1">
      <c r="A4" s="275"/>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5.7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5.7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15.75" customHeight="1">
      <c r="A7" s="861"/>
      <c r="B7" s="282"/>
      <c r="C7" s="282" t="str">
        <f>Timing!C17</f>
        <v>Month of model</v>
      </c>
      <c r="D7" s="270" t="str">
        <f>Timing!D17</f>
        <v>#</v>
      </c>
      <c r="E7" s="282"/>
      <c r="F7" s="282"/>
      <c r="G7" s="282"/>
      <c r="H7" s="282"/>
      <c r="I7" s="282"/>
      <c r="J7" s="282">
        <f>Timing!J17</f>
        <v>1</v>
      </c>
      <c r="K7" s="282">
        <f>Timing!K17</f>
        <v>2</v>
      </c>
      <c r="L7" s="282">
        <f>Timing!L17</f>
        <v>3</v>
      </c>
      <c r="M7" s="282">
        <f>Timing!M17</f>
        <v>4</v>
      </c>
      <c r="N7" s="282">
        <f>Timing!N17</f>
        <v>5</v>
      </c>
      <c r="O7" s="282">
        <f>Timing!O17</f>
        <v>6</v>
      </c>
      <c r="P7" s="282">
        <f>Timing!P17</f>
        <v>7</v>
      </c>
      <c r="Q7" s="282">
        <f>Timing!Q17</f>
        <v>8</v>
      </c>
      <c r="R7" s="282">
        <f>Timing!R17</f>
        <v>9</v>
      </c>
      <c r="S7" s="282">
        <f>Timing!S17</f>
        <v>10</v>
      </c>
      <c r="T7" s="282">
        <f>Timing!T17</f>
        <v>11</v>
      </c>
      <c r="U7" s="282">
        <f>Timing!U17</f>
        <v>12</v>
      </c>
      <c r="V7" s="282">
        <f>Timing!V17</f>
        <v>13</v>
      </c>
      <c r="W7" s="282">
        <f>Timing!W17</f>
        <v>14</v>
      </c>
      <c r="X7" s="282">
        <f>Timing!X17</f>
        <v>15</v>
      </c>
      <c r="Y7" s="282">
        <f>Timing!Y17</f>
        <v>16</v>
      </c>
      <c r="Z7" s="282">
        <f>Timing!Z17</f>
        <v>17</v>
      </c>
      <c r="AA7" s="282">
        <f>Timing!AA17</f>
        <v>18</v>
      </c>
      <c r="AB7" s="282">
        <f>Timing!AB17</f>
        <v>19</v>
      </c>
      <c r="AC7" s="282">
        <f>Timing!AC17</f>
        <v>20</v>
      </c>
      <c r="AD7" s="282">
        <f>Timing!AD17</f>
        <v>21</v>
      </c>
      <c r="AE7" s="282">
        <f>Timing!AE17</f>
        <v>22</v>
      </c>
      <c r="AF7" s="282">
        <f>Timing!AF17</f>
        <v>23</v>
      </c>
      <c r="AG7" s="282">
        <f>Timing!AG17</f>
        <v>24</v>
      </c>
    </row>
    <row r="8" spans="1:33" ht="9.75" customHeight="1">
      <c r="A8" s="861"/>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row>
    <row r="9" spans="1:33" ht="27.75" customHeight="1" thickBot="1">
      <c r="A9" s="427"/>
      <c r="B9" s="427"/>
      <c r="C9" s="427" t="str">
        <f>CHOOSE(language,"Overheads - Indirect Costs","Overhead/Indirect Expenses")</f>
        <v>Overhead/Indirect Expenses</v>
      </c>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row>
    <row r="10" spans="1:33" ht="17.25" customHeight="1" outlineLevel="1">
      <c r="A10" s="861"/>
      <c r="B10" s="282"/>
      <c r="C10" s="270" t="s">
        <v>225</v>
      </c>
      <c r="D10" s="282"/>
      <c r="E10" s="861"/>
      <c r="F10" s="861"/>
      <c r="G10" s="861"/>
      <c r="H10" s="861"/>
      <c r="I10" s="861"/>
      <c r="J10" s="861"/>
      <c r="K10" s="861"/>
      <c r="L10" s="861"/>
      <c r="M10" s="861"/>
      <c r="N10" s="861"/>
      <c r="O10" s="861"/>
      <c r="P10" s="282"/>
      <c r="Q10" s="282"/>
      <c r="R10" s="282"/>
      <c r="S10" s="282"/>
      <c r="T10" s="282"/>
      <c r="U10" s="282"/>
      <c r="V10" s="282"/>
      <c r="W10" s="282"/>
      <c r="X10" s="282"/>
      <c r="Y10" s="282"/>
      <c r="Z10" s="282"/>
      <c r="AA10" s="282"/>
      <c r="AB10" s="282"/>
      <c r="AC10" s="282"/>
      <c r="AD10" s="282"/>
      <c r="AE10" s="282"/>
      <c r="AF10" s="282"/>
      <c r="AG10" s="282"/>
    </row>
    <row r="11" spans="1:33" ht="26.25" customHeight="1" outlineLevel="1">
      <c r="A11" s="861"/>
      <c r="B11" s="274">
        <v>1</v>
      </c>
      <c r="C11" s="274" t="s">
        <v>882</v>
      </c>
      <c r="D11" s="282"/>
      <c r="E11" s="671" t="s">
        <v>970</v>
      </c>
      <c r="F11" s="671" t="s">
        <v>212</v>
      </c>
      <c r="G11" s="282"/>
      <c r="H11" s="282"/>
      <c r="I11" s="282"/>
      <c r="J11" s="317" t="s">
        <v>203</v>
      </c>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row>
    <row r="12" spans="1:33" ht="17.25" customHeight="1" outlineLevel="2">
      <c r="A12" s="861"/>
      <c r="B12" s="282"/>
      <c r="C12" s="40" t="str">
        <f>"Payroll "&amp;Inputs!$C$112</f>
        <v>Payroll Marketing and Sales Staff</v>
      </c>
      <c r="D12" s="8" t="str">
        <f>Currency_Label</f>
        <v>USD</v>
      </c>
      <c r="E12" s="282"/>
      <c r="F12" s="270" t="s">
        <v>250</v>
      </c>
      <c r="G12" s="282"/>
      <c r="H12" s="282"/>
      <c r="I12" s="71">
        <f t="shared" ref="I12:I24" ca="1" si="0">SUMPRODUCT((J$6:AG$6),(J12:AG12))</f>
        <v>344389.44024020934</v>
      </c>
      <c r="J12" s="70">
        <f ca="1">'Human Resources'!J56+'Human Resources'!J92+'Human Resources'!J135</f>
        <v>2819.462222222222</v>
      </c>
      <c r="K12" s="70">
        <f ca="1">'Human Resources'!K56+'Human Resources'!K92+'Human Resources'!K135</f>
        <v>4541.1511111111113</v>
      </c>
      <c r="L12" s="70">
        <f ca="1">'Human Resources'!L56+'Human Resources'!L92+'Human Resources'!L135</f>
        <v>5986.4288888888887</v>
      </c>
      <c r="M12" s="70">
        <f ca="1">'Human Resources'!M56+'Human Resources'!M92+'Human Resources'!M135</f>
        <v>6974.9724444444446</v>
      </c>
      <c r="N12" s="70">
        <f ca="1">'Human Resources'!N56+'Human Resources'!N92+'Human Resources'!N135</f>
        <v>8092.2242222222221</v>
      </c>
      <c r="O12" s="70">
        <f ca="1">'Human Resources'!O56+'Human Resources'!O92+'Human Resources'!O135</f>
        <v>9241.9716711111123</v>
      </c>
      <c r="P12" s="70">
        <f ca="1">'Human Resources'!P56+'Human Resources'!P92+'Human Resources'!P135</f>
        <v>10356.532617955558</v>
      </c>
      <c r="Q12" s="70">
        <f ca="1">'Human Resources'!Q56+'Human Resources'!Q92+'Human Resources'!Q135</f>
        <v>11567.134158673784</v>
      </c>
      <c r="R12" s="70">
        <f ca="1">'Human Resources'!R56+'Human Resources'!R92+'Human Resources'!R135</f>
        <v>12814.575081020732</v>
      </c>
      <c r="S12" s="70">
        <f ca="1">'Human Resources'!S56+'Human Resources'!S92+'Human Resources'!S135</f>
        <v>13792.261820261563</v>
      </c>
      <c r="T12" s="70">
        <f ca="1">'Human Resources'!T56+'Human Resources'!T92+'Human Resources'!T135</f>
        <v>14985.000136872024</v>
      </c>
      <c r="U12" s="70">
        <f ca="1">'Human Resources'!U56+'Human Resources'!U92+'Human Resources'!U135</f>
        <v>16370.611281765936</v>
      </c>
      <c r="V12" s="70">
        <f ca="1">'Human Resources'!V56+'Human Resources'!V92+'Human Resources'!V135</f>
        <v>17379.103016562578</v>
      </c>
      <c r="W12" s="70">
        <f ca="1">'Human Resources'!W56+'Human Resources'!W92+'Human Resources'!W135</f>
        <v>18566.027840365718</v>
      </c>
      <c r="X12" s="70">
        <f ca="1">'Human Resources'!X56+'Human Resources'!X92+'Human Resources'!X135</f>
        <v>19762.744231472185</v>
      </c>
      <c r="Y12" s="70">
        <f ca="1">'Human Resources'!Y56+'Human Resources'!Y92+'Human Resources'!Y135</f>
        <v>20817.617835563658</v>
      </c>
      <c r="Z12" s="70">
        <f ca="1">'Human Resources'!Z56+'Human Resources'!Z92+'Human Resources'!Z135</f>
        <v>22022.457467133107</v>
      </c>
      <c r="AA12" s="70">
        <f ca="1">'Human Resources'!AA56+'Human Resources'!AA92+'Human Resources'!AA135</f>
        <v>23246.661707269261</v>
      </c>
      <c r="AB12" s="70">
        <f ca="1">'Human Resources'!AB56+'Human Resources'!AB92+'Human Resources'!AB135</f>
        <v>24373.242554417968</v>
      </c>
      <c r="AC12" s="70">
        <f ca="1">'Human Resources'!AC56+'Human Resources'!AC92+'Human Resources'!AC135</f>
        <v>25629.471738958364</v>
      </c>
      <c r="AD12" s="70">
        <f ca="1">'Human Resources'!AD56+'Human Resources'!AD92+'Human Resources'!AD135</f>
        <v>26913.861418048502</v>
      </c>
      <c r="AE12" s="70">
        <f ca="1">'Human Resources'!AE56+'Human Resources'!AE92+'Human Resources'!AE135</f>
        <v>28135.926773868399</v>
      </c>
      <c r="AF12" s="70">
        <f ca="1">'Human Resources'!AF56+'Human Resources'!AF92+'Human Resources'!AF135</f>
        <v>0</v>
      </c>
      <c r="AG12" s="70">
        <f ca="1">'Human Resources'!AG56+'Human Resources'!AG92+'Human Resources'!AG135</f>
        <v>0</v>
      </c>
    </row>
    <row r="13" spans="1:33" ht="17.25" customHeight="1" outlineLevel="2">
      <c r="A13" s="861"/>
      <c r="B13" s="861"/>
      <c r="C13" s="40" t="s">
        <v>756</v>
      </c>
      <c r="D13" s="8" t="str">
        <f t="shared" ref="D13:D24" si="1">Currency_Label</f>
        <v>USD</v>
      </c>
      <c r="E13" s="861"/>
      <c r="F13" s="1063">
        <v>1</v>
      </c>
      <c r="G13" s="861"/>
      <c r="H13" s="861"/>
      <c r="I13" s="71">
        <f t="shared" si="0"/>
        <v>13940.135359125972</v>
      </c>
      <c r="J13" s="1048">
        <f>'Offering 1'!J76+'Offering 2'!J76+'Offering 3'!J76+'Offering 4'!J76</f>
        <v>180</v>
      </c>
      <c r="K13" s="1048">
        <f>'Offering 1'!K76+'Offering 2'!K76+'Offering 3'!K76+'Offering 4'!K76</f>
        <v>360</v>
      </c>
      <c r="L13" s="1048">
        <f>'Offering 1'!L76+'Offering 2'!L76+'Offering 3'!L76+'Offering 4'!L76</f>
        <v>450</v>
      </c>
      <c r="M13" s="1048">
        <f>'Offering 1'!M76+'Offering 2'!M76+'Offering 3'!M76+'Offering 4'!M76</f>
        <v>468</v>
      </c>
      <c r="N13" s="1048">
        <f>'Offering 1'!N76+'Offering 2'!N76+'Offering 3'!N76+'Offering 4'!N76</f>
        <v>486.72000000000008</v>
      </c>
      <c r="O13" s="1048">
        <f>'Offering 1'!O76+'Offering 2'!O76+'Offering 3'!O76+'Offering 4'!O76</f>
        <v>506.18880000000019</v>
      </c>
      <c r="P13" s="1048">
        <f>'Offering 1'!P76+'Offering 2'!P76+'Offering 3'!P76+'Offering 4'!P76</f>
        <v>526.43635200000017</v>
      </c>
      <c r="Q13" s="1048">
        <f>'Offering 1'!Q76+'Offering 2'!Q76+'Offering 3'!Q76+'Offering 4'!Q76</f>
        <v>547.49380608000013</v>
      </c>
      <c r="R13" s="1048">
        <f>'Offering 1'!R76+'Offering 2'!R76+'Offering 3'!R76+'Offering 4'!R76</f>
        <v>569.39355832320018</v>
      </c>
      <c r="S13" s="1048">
        <f>'Offering 1'!S76+'Offering 2'!S76+'Offering 3'!S76+'Offering 4'!S76</f>
        <v>592.16930065612826</v>
      </c>
      <c r="T13" s="1048">
        <f>'Offering 1'!T76+'Offering 2'!T76+'Offering 3'!T76+'Offering 4'!T76</f>
        <v>615.85607268237334</v>
      </c>
      <c r="U13" s="1048">
        <f>'Offering 1'!U76+'Offering 2'!U76+'Offering 3'!U76+'Offering 4'!U76</f>
        <v>640.49031558966817</v>
      </c>
      <c r="V13" s="1048">
        <f>'Offering 1'!V76+'Offering 2'!V76+'Offering 3'!V76+'Offering 4'!V76</f>
        <v>666.10992821325499</v>
      </c>
      <c r="W13" s="1048">
        <f>'Offering 1'!W76+'Offering 2'!W76+'Offering 3'!W76+'Offering 4'!W76</f>
        <v>692.75432534178526</v>
      </c>
      <c r="X13" s="1048">
        <f>'Offering 1'!X76+'Offering 2'!X76+'Offering 3'!X76+'Offering 4'!X76</f>
        <v>720.46449835545661</v>
      </c>
      <c r="Y13" s="1048">
        <f>'Offering 1'!Y76+'Offering 2'!Y76+'Offering 3'!Y76+'Offering 4'!Y76</f>
        <v>749.28307828967502</v>
      </c>
      <c r="Z13" s="1048">
        <f>'Offering 1'!Z76+'Offering 2'!Z76+'Offering 3'!Z76+'Offering 4'!Z76</f>
        <v>779.25440142126195</v>
      </c>
      <c r="AA13" s="1048">
        <f>'Offering 1'!AA76+'Offering 2'!AA76+'Offering 3'!AA76+'Offering 4'!AA76</f>
        <v>810.4245774781125</v>
      </c>
      <c r="AB13" s="1048">
        <f>'Offering 1'!AB76+'Offering 2'!AB76+'Offering 3'!AB76+'Offering 4'!AB76</f>
        <v>842.84156057723692</v>
      </c>
      <c r="AC13" s="1048">
        <f>'Offering 1'!AC76+'Offering 2'!AC76+'Offering 3'!AC76+'Offering 4'!AC76</f>
        <v>876.55522300032646</v>
      </c>
      <c r="AD13" s="1048">
        <f>'Offering 1'!AD76+'Offering 2'!AD76+'Offering 3'!AD76+'Offering 4'!AD76</f>
        <v>911.61743192033964</v>
      </c>
      <c r="AE13" s="1048">
        <f>'Offering 1'!AE76+'Offering 2'!AE76+'Offering 3'!AE76+'Offering 4'!AE76</f>
        <v>948.08212919715322</v>
      </c>
      <c r="AF13" s="1048">
        <f>'Offering 1'!AF76+'Offering 2'!AF76+'Offering 3'!AF76+'Offering 4'!AF76</f>
        <v>0</v>
      </c>
      <c r="AG13" s="1048">
        <f>'Offering 1'!AG76+'Offering 2'!AG76+'Offering 3'!AG76+'Offering 4'!AG76</f>
        <v>0</v>
      </c>
    </row>
    <row r="14" spans="1:33" ht="17.25" customHeight="1" outlineLevel="2">
      <c r="A14" s="861"/>
      <c r="B14" s="861"/>
      <c r="C14" s="40" t="s">
        <v>757</v>
      </c>
      <c r="D14" s="8" t="str">
        <f t="shared" si="1"/>
        <v>USD</v>
      </c>
      <c r="E14" s="861"/>
      <c r="F14" s="1063">
        <v>1</v>
      </c>
      <c r="G14" s="861"/>
      <c r="H14" s="861"/>
      <c r="I14" s="71">
        <f t="shared" si="0"/>
        <v>19361.299109897183</v>
      </c>
      <c r="J14" s="1048">
        <f>'Offering 1'!J75+'Offering 2'!J75+'Offering 3'!J75+'Offering 4'!J75</f>
        <v>250</v>
      </c>
      <c r="K14" s="1048">
        <f>'Offering 1'!K75+'Offering 2'!K75+'Offering 3'!K75+'Offering 4'!K75</f>
        <v>500</v>
      </c>
      <c r="L14" s="1048">
        <f>'Offering 1'!L75+'Offering 2'!L75+'Offering 3'!L75+'Offering 4'!L75</f>
        <v>625</v>
      </c>
      <c r="M14" s="1048">
        <f>'Offering 1'!M75+'Offering 2'!M75+'Offering 3'!M75+'Offering 4'!M75</f>
        <v>650</v>
      </c>
      <c r="N14" s="1048">
        <f>'Offering 1'!N75+'Offering 2'!N75+'Offering 3'!N75+'Offering 4'!N75</f>
        <v>676.00000000000011</v>
      </c>
      <c r="O14" s="1048">
        <f>'Offering 1'!O75+'Offering 2'!O75+'Offering 3'!O75+'Offering 4'!O75</f>
        <v>703.04000000000019</v>
      </c>
      <c r="P14" s="1048">
        <f>'Offering 1'!P75+'Offering 2'!P75+'Offering 3'!P75+'Offering 4'!P75</f>
        <v>731.16160000000025</v>
      </c>
      <c r="Q14" s="1048">
        <f>'Offering 1'!Q75+'Offering 2'!Q75+'Offering 3'!Q75+'Offering 4'!Q75</f>
        <v>760.40806400000019</v>
      </c>
      <c r="R14" s="1048">
        <f>'Offering 1'!R75+'Offering 2'!R75+'Offering 3'!R75+'Offering 4'!R75</f>
        <v>790.82438656000022</v>
      </c>
      <c r="S14" s="1048">
        <f>'Offering 1'!S75+'Offering 2'!S75+'Offering 3'!S75+'Offering 4'!S75</f>
        <v>822.45736202240028</v>
      </c>
      <c r="T14" s="1048">
        <f>'Offering 1'!T75+'Offering 2'!T75+'Offering 3'!T75+'Offering 4'!T75</f>
        <v>855.35565650329636</v>
      </c>
      <c r="U14" s="1048">
        <f>'Offering 1'!U75+'Offering 2'!U75+'Offering 3'!U75+'Offering 4'!U75</f>
        <v>889.56988276342815</v>
      </c>
      <c r="V14" s="1048">
        <f>'Offering 1'!V75+'Offering 2'!V75+'Offering 3'!V75+'Offering 4'!V75</f>
        <v>925.15267807396526</v>
      </c>
      <c r="W14" s="1048">
        <f>'Offering 1'!W75+'Offering 2'!W75+'Offering 3'!W75+'Offering 4'!W75</f>
        <v>962.15878519692399</v>
      </c>
      <c r="X14" s="1048">
        <f>'Offering 1'!X75+'Offering 2'!X75+'Offering 3'!X75+'Offering 4'!X75</f>
        <v>1000.6451366048009</v>
      </c>
      <c r="Y14" s="1048">
        <f>'Offering 1'!Y75+'Offering 2'!Y75+'Offering 3'!Y75+'Offering 4'!Y75</f>
        <v>1040.6709420689931</v>
      </c>
      <c r="Z14" s="1048">
        <f>'Offering 1'!Z75+'Offering 2'!Z75+'Offering 3'!Z75+'Offering 4'!Z75</f>
        <v>1082.2977797517526</v>
      </c>
      <c r="AA14" s="1048">
        <f>'Offering 1'!AA75+'Offering 2'!AA75+'Offering 3'!AA75+'Offering 4'!AA75</f>
        <v>1125.5896909418229</v>
      </c>
      <c r="AB14" s="1048">
        <f>'Offering 1'!AB75+'Offering 2'!AB75+'Offering 3'!AB75+'Offering 4'!AB75</f>
        <v>1170.6132785794957</v>
      </c>
      <c r="AC14" s="1048">
        <f>'Offering 1'!AC75+'Offering 2'!AC75+'Offering 3'!AC75+'Offering 4'!AC75</f>
        <v>1217.4378097226756</v>
      </c>
      <c r="AD14" s="1048">
        <f>'Offering 1'!AD75+'Offering 2'!AD75+'Offering 3'!AD75+'Offering 4'!AD75</f>
        <v>1266.1353221115828</v>
      </c>
      <c r="AE14" s="1048">
        <f>'Offering 1'!AE75+'Offering 2'!AE75+'Offering 3'!AE75+'Offering 4'!AE75</f>
        <v>1316.7807349960462</v>
      </c>
      <c r="AF14" s="1048">
        <f>'Offering 1'!AF75+'Offering 2'!AF75+'Offering 3'!AF75+'Offering 4'!AF75</f>
        <v>0</v>
      </c>
      <c r="AG14" s="1048">
        <f>'Offering 1'!AG75+'Offering 2'!AG75+'Offering 3'!AG75+'Offering 4'!AG75</f>
        <v>0</v>
      </c>
    </row>
    <row r="15" spans="1:33" ht="17.25" customHeight="1" outlineLevel="2">
      <c r="A15" s="861"/>
      <c r="B15" s="861"/>
      <c r="C15" s="625" t="s">
        <v>266</v>
      </c>
      <c r="D15" s="8" t="str">
        <f t="shared" si="1"/>
        <v>USD</v>
      </c>
      <c r="E15" s="1062">
        <v>1</v>
      </c>
      <c r="F15" s="1063">
        <v>2</v>
      </c>
      <c r="G15" s="282"/>
      <c r="H15" s="282"/>
      <c r="I15" s="71">
        <f t="shared" si="0"/>
        <v>10150</v>
      </c>
      <c r="J15" s="263">
        <v>950</v>
      </c>
      <c r="K15" s="263">
        <v>950</v>
      </c>
      <c r="L15" s="263">
        <v>950</v>
      </c>
      <c r="M15" s="263">
        <v>950</v>
      </c>
      <c r="N15" s="263">
        <v>950</v>
      </c>
      <c r="O15" s="263"/>
      <c r="P15" s="263"/>
      <c r="Q15" s="263"/>
      <c r="R15" s="263"/>
      <c r="S15" s="263"/>
      <c r="T15" s="263"/>
      <c r="U15" s="263">
        <v>1000</v>
      </c>
      <c r="V15" s="263"/>
      <c r="W15" s="263"/>
      <c r="X15" s="263"/>
      <c r="Y15" s="263"/>
      <c r="Z15" s="263">
        <v>1000</v>
      </c>
      <c r="AA15" s="263">
        <v>1000</v>
      </c>
      <c r="AB15" s="263">
        <v>1000</v>
      </c>
      <c r="AC15" s="263">
        <v>1000</v>
      </c>
      <c r="AD15" s="263">
        <v>200</v>
      </c>
      <c r="AE15" s="263">
        <v>200</v>
      </c>
      <c r="AF15" s="263">
        <v>200</v>
      </c>
      <c r="AG15" s="263">
        <v>200</v>
      </c>
    </row>
    <row r="16" spans="1:33" ht="17.25" customHeight="1" outlineLevel="2">
      <c r="A16" s="861"/>
      <c r="B16" s="861"/>
      <c r="C16" s="625" t="s">
        <v>265</v>
      </c>
      <c r="D16" s="8" t="str">
        <f t="shared" si="1"/>
        <v>USD</v>
      </c>
      <c r="E16" s="1062">
        <v>1</v>
      </c>
      <c r="F16" s="1063">
        <v>2</v>
      </c>
      <c r="G16" s="282"/>
      <c r="H16" s="282"/>
      <c r="I16" s="71">
        <f t="shared" si="0"/>
        <v>12000</v>
      </c>
      <c r="J16" s="263"/>
      <c r="K16" s="263"/>
      <c r="L16" s="263">
        <v>7000</v>
      </c>
      <c r="M16" s="263"/>
      <c r="N16" s="263"/>
      <c r="O16" s="263"/>
      <c r="P16" s="263"/>
      <c r="Q16" s="263"/>
      <c r="R16" s="263"/>
      <c r="S16" s="263"/>
      <c r="T16" s="263"/>
      <c r="U16" s="263"/>
      <c r="V16" s="263"/>
      <c r="W16" s="263"/>
      <c r="X16" s="263"/>
      <c r="Y16" s="263"/>
      <c r="Z16" s="263">
        <v>5000</v>
      </c>
      <c r="AA16" s="263"/>
      <c r="AB16" s="263"/>
      <c r="AC16" s="263"/>
      <c r="AD16" s="263"/>
      <c r="AE16" s="263"/>
      <c r="AF16" s="263"/>
      <c r="AG16" s="263"/>
    </row>
    <row r="17" spans="1:33" ht="17.25" customHeight="1" outlineLevel="2">
      <c r="A17" s="861"/>
      <c r="B17" s="861"/>
      <c r="C17" s="625" t="s">
        <v>267</v>
      </c>
      <c r="D17" s="8" t="str">
        <f t="shared" si="1"/>
        <v>USD</v>
      </c>
      <c r="E17" s="1062">
        <v>1</v>
      </c>
      <c r="F17" s="1063">
        <v>2</v>
      </c>
      <c r="G17" s="282"/>
      <c r="H17" s="282"/>
      <c r="I17" s="71">
        <f t="shared" si="0"/>
        <v>4300</v>
      </c>
      <c r="J17" s="263"/>
      <c r="K17" s="263">
        <v>1150</v>
      </c>
      <c r="L17" s="263"/>
      <c r="M17" s="263"/>
      <c r="N17" s="263"/>
      <c r="O17" s="263">
        <v>1050</v>
      </c>
      <c r="P17" s="263"/>
      <c r="Q17" s="263"/>
      <c r="R17" s="263"/>
      <c r="S17" s="263"/>
      <c r="T17" s="263"/>
      <c r="U17" s="263">
        <v>1050</v>
      </c>
      <c r="V17" s="263"/>
      <c r="W17" s="263"/>
      <c r="X17" s="263"/>
      <c r="Y17" s="263"/>
      <c r="Z17" s="263"/>
      <c r="AA17" s="263"/>
      <c r="AB17" s="263">
        <v>1050</v>
      </c>
      <c r="AC17" s="263"/>
      <c r="AD17" s="263"/>
      <c r="AE17" s="263"/>
      <c r="AF17" s="263"/>
      <c r="AG17" s="263"/>
    </row>
    <row r="18" spans="1:33" ht="17.25" customHeight="1" outlineLevel="2">
      <c r="A18" s="861"/>
      <c r="B18" s="861"/>
      <c r="C18" s="625" t="s">
        <v>268</v>
      </c>
      <c r="D18" s="8" t="str">
        <f t="shared" si="1"/>
        <v>USD</v>
      </c>
      <c r="E18" s="1062">
        <v>1</v>
      </c>
      <c r="F18" s="1063"/>
      <c r="G18" s="282"/>
      <c r="H18" s="282"/>
      <c r="I18" s="71">
        <f t="shared" si="0"/>
        <v>5000</v>
      </c>
      <c r="J18" s="263"/>
      <c r="K18" s="263"/>
      <c r="L18" s="263"/>
      <c r="M18" s="263">
        <v>2500</v>
      </c>
      <c r="N18" s="263"/>
      <c r="O18" s="263"/>
      <c r="P18" s="263"/>
      <c r="Q18" s="263"/>
      <c r="R18" s="263"/>
      <c r="S18" s="263"/>
      <c r="T18" s="263"/>
      <c r="U18" s="263"/>
      <c r="V18" s="263"/>
      <c r="W18" s="263"/>
      <c r="X18" s="263"/>
      <c r="Y18" s="263">
        <v>2500</v>
      </c>
      <c r="Z18" s="263"/>
      <c r="AA18" s="263"/>
      <c r="AB18" s="263"/>
      <c r="AC18" s="263"/>
      <c r="AD18" s="263"/>
      <c r="AE18" s="263"/>
      <c r="AF18" s="263"/>
      <c r="AG18" s="263"/>
    </row>
    <row r="19" spans="1:33" s="878" customFormat="1" ht="17.25" customHeight="1" outlineLevel="2">
      <c r="A19" s="861"/>
      <c r="B19" s="861"/>
      <c r="C19" s="625" t="s">
        <v>885</v>
      </c>
      <c r="D19" s="8" t="str">
        <f t="shared" si="1"/>
        <v>USD</v>
      </c>
      <c r="E19" s="1062">
        <v>1</v>
      </c>
      <c r="F19" s="1063"/>
      <c r="G19" s="861"/>
      <c r="H19" s="861"/>
      <c r="I19" s="71">
        <f t="shared" si="0"/>
        <v>7700</v>
      </c>
      <c r="J19" s="263">
        <v>350</v>
      </c>
      <c r="K19" s="263">
        <v>350</v>
      </c>
      <c r="L19" s="263">
        <v>350</v>
      </c>
      <c r="M19" s="263">
        <v>350</v>
      </c>
      <c r="N19" s="263">
        <v>350</v>
      </c>
      <c r="O19" s="263">
        <v>350</v>
      </c>
      <c r="P19" s="263">
        <v>350</v>
      </c>
      <c r="Q19" s="263">
        <v>350</v>
      </c>
      <c r="R19" s="263">
        <v>350</v>
      </c>
      <c r="S19" s="263">
        <v>350</v>
      </c>
      <c r="T19" s="263">
        <v>350</v>
      </c>
      <c r="U19" s="263">
        <v>350</v>
      </c>
      <c r="V19" s="263">
        <v>350</v>
      </c>
      <c r="W19" s="263">
        <v>350</v>
      </c>
      <c r="X19" s="263">
        <v>350</v>
      </c>
      <c r="Y19" s="263">
        <v>350</v>
      </c>
      <c r="Z19" s="263">
        <v>350</v>
      </c>
      <c r="AA19" s="263">
        <v>350</v>
      </c>
      <c r="AB19" s="263">
        <v>350</v>
      </c>
      <c r="AC19" s="263">
        <v>350</v>
      </c>
      <c r="AD19" s="263">
        <v>350</v>
      </c>
      <c r="AE19" s="263">
        <v>350</v>
      </c>
      <c r="AF19" s="263">
        <v>350</v>
      </c>
      <c r="AG19" s="263">
        <v>350</v>
      </c>
    </row>
    <row r="20" spans="1:33" s="878" customFormat="1" ht="17.25" customHeight="1" outlineLevel="2">
      <c r="A20" s="861"/>
      <c r="B20" s="861"/>
      <c r="C20" s="625" t="s">
        <v>884</v>
      </c>
      <c r="D20" s="8" t="str">
        <f t="shared" si="1"/>
        <v>USD</v>
      </c>
      <c r="E20" s="1062">
        <v>1</v>
      </c>
      <c r="F20" s="1063"/>
      <c r="G20" s="861"/>
      <c r="H20" s="861"/>
      <c r="I20" s="71">
        <f t="shared" si="0"/>
        <v>8800</v>
      </c>
      <c r="J20" s="263">
        <v>400</v>
      </c>
      <c r="K20" s="263">
        <v>400</v>
      </c>
      <c r="L20" s="263">
        <v>400</v>
      </c>
      <c r="M20" s="263">
        <v>400</v>
      </c>
      <c r="N20" s="263">
        <v>400</v>
      </c>
      <c r="O20" s="263">
        <v>400</v>
      </c>
      <c r="P20" s="263">
        <v>400</v>
      </c>
      <c r="Q20" s="263">
        <v>400</v>
      </c>
      <c r="R20" s="263">
        <v>400</v>
      </c>
      <c r="S20" s="263">
        <v>400</v>
      </c>
      <c r="T20" s="263">
        <v>400</v>
      </c>
      <c r="U20" s="263">
        <v>400</v>
      </c>
      <c r="V20" s="263">
        <v>400</v>
      </c>
      <c r="W20" s="263">
        <v>400</v>
      </c>
      <c r="X20" s="263">
        <v>400</v>
      </c>
      <c r="Y20" s="263">
        <v>400</v>
      </c>
      <c r="Z20" s="263">
        <v>400</v>
      </c>
      <c r="AA20" s="263">
        <v>400</v>
      </c>
      <c r="AB20" s="263">
        <v>400</v>
      </c>
      <c r="AC20" s="263">
        <v>400</v>
      </c>
      <c r="AD20" s="263">
        <v>400</v>
      </c>
      <c r="AE20" s="263">
        <v>400</v>
      </c>
      <c r="AF20" s="263">
        <v>400</v>
      </c>
      <c r="AG20" s="263">
        <v>400</v>
      </c>
    </row>
    <row r="21" spans="1:33" s="878" customFormat="1" ht="17.25" customHeight="1" outlineLevel="2">
      <c r="A21" s="861"/>
      <c r="B21" s="861"/>
      <c r="C21" s="905" t="s">
        <v>883</v>
      </c>
      <c r="D21" s="8" t="str">
        <f t="shared" si="1"/>
        <v>USD</v>
      </c>
      <c r="E21" s="1062">
        <v>0</v>
      </c>
      <c r="F21" s="1063"/>
      <c r="G21" s="861"/>
      <c r="H21" s="861"/>
      <c r="I21" s="71">
        <f t="shared" si="0"/>
        <v>0</v>
      </c>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row>
    <row r="22" spans="1:33" s="878" customFormat="1" ht="17.25" customHeight="1" outlineLevel="2">
      <c r="A22" s="861"/>
      <c r="B22" s="861"/>
      <c r="C22" s="625" t="s">
        <v>252</v>
      </c>
      <c r="D22" s="8" t="str">
        <f t="shared" si="1"/>
        <v>USD</v>
      </c>
      <c r="E22" s="1062">
        <v>0</v>
      </c>
      <c r="F22" s="1063"/>
      <c r="G22" s="861"/>
      <c r="H22" s="861"/>
      <c r="I22" s="71">
        <f t="shared" si="0"/>
        <v>0</v>
      </c>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row>
    <row r="23" spans="1:33" s="878" customFormat="1" ht="17.25" customHeight="1" outlineLevel="2">
      <c r="A23" s="861"/>
      <c r="B23" s="861"/>
      <c r="C23" s="625" t="s">
        <v>254</v>
      </c>
      <c r="D23" s="8" t="str">
        <f t="shared" si="1"/>
        <v>USD</v>
      </c>
      <c r="E23" s="1062">
        <v>0</v>
      </c>
      <c r="F23" s="1063"/>
      <c r="G23" s="861"/>
      <c r="H23" s="861"/>
      <c r="I23" s="71">
        <f t="shared" si="0"/>
        <v>0</v>
      </c>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row>
    <row r="24" spans="1:33" ht="17.25" customHeight="1" outlineLevel="2">
      <c r="A24" s="861"/>
      <c r="B24" s="861"/>
      <c r="C24" s="625" t="s">
        <v>253</v>
      </c>
      <c r="D24" s="8" t="str">
        <f t="shared" si="1"/>
        <v>USD</v>
      </c>
      <c r="E24" s="1062">
        <v>0</v>
      </c>
      <c r="F24" s="1063"/>
      <c r="G24" s="282"/>
      <c r="H24" s="282"/>
      <c r="I24" s="71">
        <f t="shared" si="0"/>
        <v>0</v>
      </c>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row>
    <row r="25" spans="1:33" ht="17.25" customHeight="1" outlineLevel="2">
      <c r="A25" s="861"/>
      <c r="B25" s="861"/>
      <c r="C25" s="75" t="str">
        <f>"   Subtotal "&amp;C11</f>
        <v xml:space="preserve">   Subtotal Marketing and Sales Costs</v>
      </c>
      <c r="D25" s="8" t="str">
        <f>Currency_Label</f>
        <v>USD</v>
      </c>
      <c r="E25" s="36"/>
      <c r="F25" s="36"/>
      <c r="G25" s="36"/>
      <c r="H25" s="36"/>
      <c r="I25" s="71">
        <f ca="1">SUM(J25:AG25)</f>
        <v>425640.87470923242</v>
      </c>
      <c r="J25" s="988">
        <f ca="1">SUM(J12:J24)*J$6</f>
        <v>4949.4622222222224</v>
      </c>
      <c r="K25" s="988">
        <f t="shared" ref="K25:AG25" ca="1" si="2">SUM(K12:K24)*K$6</f>
        <v>8251.1511111111104</v>
      </c>
      <c r="L25" s="988">
        <f t="shared" ca="1" si="2"/>
        <v>15761.428888888888</v>
      </c>
      <c r="M25" s="988">
        <f t="shared" ca="1" si="2"/>
        <v>12292.972444444444</v>
      </c>
      <c r="N25" s="988">
        <f t="shared" ca="1" si="2"/>
        <v>10954.944222222222</v>
      </c>
      <c r="O25" s="988">
        <f t="shared" ca="1" si="2"/>
        <v>12251.200471111113</v>
      </c>
      <c r="P25" s="988">
        <f t="shared" ca="1" si="2"/>
        <v>12364.130569955558</v>
      </c>
      <c r="Q25" s="988">
        <f t="shared" ca="1" si="2"/>
        <v>13625.036028753784</v>
      </c>
      <c r="R25" s="988">
        <f t="shared" ca="1" si="2"/>
        <v>14924.793025903931</v>
      </c>
      <c r="S25" s="988">
        <f t="shared" ca="1" si="2"/>
        <v>15956.888482940092</v>
      </c>
      <c r="T25" s="988">
        <f t="shared" ca="1" si="2"/>
        <v>17206.211866057693</v>
      </c>
      <c r="U25" s="988">
        <f t="shared" ca="1" si="2"/>
        <v>20700.671480119036</v>
      </c>
      <c r="V25" s="988">
        <f t="shared" ca="1" si="2"/>
        <v>19720.3656228498</v>
      </c>
      <c r="W25" s="988">
        <f t="shared" ca="1" si="2"/>
        <v>20970.940950904427</v>
      </c>
      <c r="X25" s="988">
        <f t="shared" ca="1" si="2"/>
        <v>22233.853866432444</v>
      </c>
      <c r="Y25" s="988">
        <f t="shared" ca="1" si="2"/>
        <v>25857.571855922324</v>
      </c>
      <c r="Z25" s="988">
        <f t="shared" ca="1" si="2"/>
        <v>30634.009648306121</v>
      </c>
      <c r="AA25" s="988">
        <f t="shared" ca="1" si="2"/>
        <v>26932.675975689195</v>
      </c>
      <c r="AB25" s="988">
        <f t="shared" ca="1" si="2"/>
        <v>29186.697393574697</v>
      </c>
      <c r="AC25" s="988">
        <f t="shared" ca="1" si="2"/>
        <v>29473.464771681367</v>
      </c>
      <c r="AD25" s="988">
        <f t="shared" ca="1" si="2"/>
        <v>30041.614172080423</v>
      </c>
      <c r="AE25" s="988">
        <f t="shared" ca="1" si="2"/>
        <v>31350.789638061597</v>
      </c>
      <c r="AF25" s="988">
        <f t="shared" ca="1" si="2"/>
        <v>0</v>
      </c>
      <c r="AG25" s="988">
        <f t="shared" ca="1" si="2"/>
        <v>0</v>
      </c>
    </row>
    <row r="26" spans="1:33" ht="17.25" customHeight="1" outlineLevel="2">
      <c r="A26" s="861"/>
      <c r="B26" s="861"/>
      <c r="C26" s="861"/>
      <c r="D26" s="861"/>
      <c r="E26" s="861"/>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row>
    <row r="27" spans="1:33" s="878" customFormat="1" ht="21" customHeight="1" outlineLevel="2">
      <c r="A27" s="861"/>
      <c r="B27" s="861"/>
      <c r="C27" s="274" t="s">
        <v>968</v>
      </c>
      <c r="D27" s="861"/>
      <c r="E27" s="861"/>
      <c r="F27" s="861"/>
      <c r="G27" s="861"/>
      <c r="H27" s="861"/>
      <c r="I27" s="861"/>
      <c r="J27" s="861"/>
      <c r="K27" s="861"/>
      <c r="L27" s="861"/>
      <c r="M27" s="861"/>
      <c r="N27" s="861"/>
      <c r="O27" s="861"/>
      <c r="P27" s="861"/>
      <c r="Q27" s="861"/>
      <c r="R27" s="861"/>
      <c r="S27" s="861"/>
      <c r="T27" s="861"/>
      <c r="U27" s="861"/>
      <c r="V27" s="861"/>
      <c r="W27" s="861"/>
      <c r="X27" s="861"/>
      <c r="Y27" s="861"/>
      <c r="Z27" s="861"/>
      <c r="AA27" s="861"/>
      <c r="AB27" s="861"/>
      <c r="AC27" s="861"/>
      <c r="AD27" s="861"/>
      <c r="AE27" s="861"/>
      <c r="AF27" s="861"/>
      <c r="AG27" s="861"/>
    </row>
    <row r="28" spans="1:33" s="878" customFormat="1" ht="17.25" customHeight="1" outlineLevel="2">
      <c r="A28" s="861"/>
      <c r="B28" s="861"/>
      <c r="C28" s="36" t="s">
        <v>1001</v>
      </c>
      <c r="D28" s="8" t="str">
        <f t="shared" ref="D28:D30" si="3">Currency_Label</f>
        <v>USD</v>
      </c>
      <c r="E28" s="317" t="s">
        <v>969</v>
      </c>
      <c r="F28" s="861"/>
      <c r="G28" s="861"/>
      <c r="H28" s="861"/>
      <c r="I28" s="71">
        <f>SUMPRODUCT((J$6:AG$6),(J28:AG28))</f>
        <v>47950</v>
      </c>
      <c r="J28" s="230">
        <f t="shared" ref="J28:AG28" si="4">SUMIF($E15:$E24,1,J15:J24)*J$6</f>
        <v>1700</v>
      </c>
      <c r="K28" s="230">
        <f t="shared" si="4"/>
        <v>2850</v>
      </c>
      <c r="L28" s="230">
        <f t="shared" si="4"/>
        <v>8700</v>
      </c>
      <c r="M28" s="230">
        <f t="shared" si="4"/>
        <v>4200</v>
      </c>
      <c r="N28" s="230">
        <f t="shared" si="4"/>
        <v>1700</v>
      </c>
      <c r="O28" s="230">
        <f t="shared" si="4"/>
        <v>1800</v>
      </c>
      <c r="P28" s="230">
        <f t="shared" si="4"/>
        <v>750</v>
      </c>
      <c r="Q28" s="230">
        <f t="shared" si="4"/>
        <v>750</v>
      </c>
      <c r="R28" s="230">
        <f t="shared" si="4"/>
        <v>750</v>
      </c>
      <c r="S28" s="230">
        <f t="shared" si="4"/>
        <v>750</v>
      </c>
      <c r="T28" s="230">
        <f t="shared" si="4"/>
        <v>750</v>
      </c>
      <c r="U28" s="230">
        <f t="shared" si="4"/>
        <v>2800</v>
      </c>
      <c r="V28" s="230">
        <f t="shared" si="4"/>
        <v>750</v>
      </c>
      <c r="W28" s="230">
        <f t="shared" si="4"/>
        <v>750</v>
      </c>
      <c r="X28" s="230">
        <f t="shared" si="4"/>
        <v>750</v>
      </c>
      <c r="Y28" s="230">
        <f t="shared" si="4"/>
        <v>3250</v>
      </c>
      <c r="Z28" s="230">
        <f t="shared" si="4"/>
        <v>6750</v>
      </c>
      <c r="AA28" s="230">
        <f t="shared" si="4"/>
        <v>1750</v>
      </c>
      <c r="AB28" s="230">
        <f t="shared" si="4"/>
        <v>2800</v>
      </c>
      <c r="AC28" s="230">
        <f t="shared" si="4"/>
        <v>1750</v>
      </c>
      <c r="AD28" s="230">
        <f t="shared" si="4"/>
        <v>950</v>
      </c>
      <c r="AE28" s="230">
        <f t="shared" si="4"/>
        <v>950</v>
      </c>
      <c r="AF28" s="230">
        <f t="shared" si="4"/>
        <v>0</v>
      </c>
      <c r="AG28" s="230">
        <f t="shared" si="4"/>
        <v>0</v>
      </c>
    </row>
    <row r="29" spans="1:33" s="878" customFormat="1" ht="17.25" customHeight="1" outlineLevel="2">
      <c r="A29" s="861"/>
      <c r="B29" s="861"/>
      <c r="C29" s="36" t="s">
        <v>1002</v>
      </c>
      <c r="D29" s="8" t="str">
        <f t="shared" si="3"/>
        <v>USD</v>
      </c>
      <c r="E29" s="861"/>
      <c r="F29" s="84">
        <f>1-F30</f>
        <v>9.9999999999999978E-2</v>
      </c>
      <c r="G29" s="861"/>
      <c r="H29" s="861"/>
      <c r="I29" s="71">
        <f>SUMPRODUCT((J$6:AG$6),(J29:AG29))</f>
        <v>4794.9999999999991</v>
      </c>
      <c r="J29" s="716">
        <f>$F29*J$28</f>
        <v>169.99999999999997</v>
      </c>
      <c r="K29" s="716">
        <f t="shared" ref="K29:AG30" si="5">$F29*K$28</f>
        <v>284.99999999999994</v>
      </c>
      <c r="L29" s="716">
        <f t="shared" si="5"/>
        <v>869.99999999999977</v>
      </c>
      <c r="M29" s="716">
        <f t="shared" si="5"/>
        <v>419.99999999999989</v>
      </c>
      <c r="N29" s="716">
        <f t="shared" si="5"/>
        <v>169.99999999999997</v>
      </c>
      <c r="O29" s="716">
        <f t="shared" si="5"/>
        <v>179.99999999999997</v>
      </c>
      <c r="P29" s="716">
        <f t="shared" si="5"/>
        <v>74.999999999999986</v>
      </c>
      <c r="Q29" s="716">
        <f t="shared" si="5"/>
        <v>74.999999999999986</v>
      </c>
      <c r="R29" s="716">
        <f t="shared" si="5"/>
        <v>74.999999999999986</v>
      </c>
      <c r="S29" s="716">
        <f t="shared" si="5"/>
        <v>74.999999999999986</v>
      </c>
      <c r="T29" s="716">
        <f t="shared" si="5"/>
        <v>74.999999999999986</v>
      </c>
      <c r="U29" s="716">
        <f t="shared" si="5"/>
        <v>279.99999999999994</v>
      </c>
      <c r="V29" s="716">
        <f t="shared" si="5"/>
        <v>74.999999999999986</v>
      </c>
      <c r="W29" s="716">
        <f t="shared" si="5"/>
        <v>74.999999999999986</v>
      </c>
      <c r="X29" s="716">
        <f t="shared" si="5"/>
        <v>74.999999999999986</v>
      </c>
      <c r="Y29" s="716">
        <f t="shared" si="5"/>
        <v>324.99999999999994</v>
      </c>
      <c r="Z29" s="716">
        <f t="shared" si="5"/>
        <v>674.99999999999989</v>
      </c>
      <c r="AA29" s="716">
        <f t="shared" si="5"/>
        <v>174.99999999999997</v>
      </c>
      <c r="AB29" s="716">
        <f t="shared" si="5"/>
        <v>279.99999999999994</v>
      </c>
      <c r="AC29" s="716">
        <f t="shared" si="5"/>
        <v>174.99999999999997</v>
      </c>
      <c r="AD29" s="716">
        <f t="shared" si="5"/>
        <v>94.999999999999986</v>
      </c>
      <c r="AE29" s="716">
        <f t="shared" si="5"/>
        <v>94.999999999999986</v>
      </c>
      <c r="AF29" s="716">
        <f t="shared" si="5"/>
        <v>0</v>
      </c>
      <c r="AG29" s="716">
        <f t="shared" si="5"/>
        <v>0</v>
      </c>
    </row>
    <row r="30" spans="1:33" s="878" customFormat="1" ht="17.25" customHeight="1" outlineLevel="2">
      <c r="A30" s="861"/>
      <c r="B30" s="861"/>
      <c r="C30" s="36" t="s">
        <v>1003</v>
      </c>
      <c r="D30" s="8" t="str">
        <f t="shared" si="3"/>
        <v>USD</v>
      </c>
      <c r="E30" s="861"/>
      <c r="F30" s="84">
        <f>Inputs!F225</f>
        <v>0.9</v>
      </c>
      <c r="G30" s="861"/>
      <c r="H30" s="861"/>
      <c r="I30" s="71">
        <f>SUMPRODUCT((J$6:AG$6),(J30:AG30))</f>
        <v>43155</v>
      </c>
      <c r="J30" s="230">
        <f>$F30*J$28</f>
        <v>1530</v>
      </c>
      <c r="K30" s="230">
        <f t="shared" si="5"/>
        <v>2565</v>
      </c>
      <c r="L30" s="230">
        <f t="shared" si="5"/>
        <v>7830</v>
      </c>
      <c r="M30" s="230">
        <f t="shared" si="5"/>
        <v>3780</v>
      </c>
      <c r="N30" s="230">
        <f t="shared" si="5"/>
        <v>1530</v>
      </c>
      <c r="O30" s="230">
        <f t="shared" si="5"/>
        <v>1620</v>
      </c>
      <c r="P30" s="230">
        <f t="shared" si="5"/>
        <v>675</v>
      </c>
      <c r="Q30" s="230">
        <f t="shared" si="5"/>
        <v>675</v>
      </c>
      <c r="R30" s="230">
        <f t="shared" si="5"/>
        <v>675</v>
      </c>
      <c r="S30" s="230">
        <f t="shared" si="5"/>
        <v>675</v>
      </c>
      <c r="T30" s="230">
        <f t="shared" si="5"/>
        <v>675</v>
      </c>
      <c r="U30" s="230">
        <f t="shared" si="5"/>
        <v>2520</v>
      </c>
      <c r="V30" s="230">
        <f t="shared" si="5"/>
        <v>675</v>
      </c>
      <c r="W30" s="230">
        <f t="shared" si="5"/>
        <v>675</v>
      </c>
      <c r="X30" s="230">
        <f t="shared" si="5"/>
        <v>675</v>
      </c>
      <c r="Y30" s="230">
        <f t="shared" si="5"/>
        <v>2925</v>
      </c>
      <c r="Z30" s="230">
        <f t="shared" si="5"/>
        <v>6075</v>
      </c>
      <c r="AA30" s="230">
        <f t="shared" si="5"/>
        <v>1575</v>
      </c>
      <c r="AB30" s="230">
        <f t="shared" si="5"/>
        <v>2520</v>
      </c>
      <c r="AC30" s="230">
        <f t="shared" si="5"/>
        <v>1575</v>
      </c>
      <c r="AD30" s="230">
        <f t="shared" si="5"/>
        <v>855</v>
      </c>
      <c r="AE30" s="230">
        <f t="shared" si="5"/>
        <v>855</v>
      </c>
      <c r="AF30" s="230">
        <f t="shared" si="5"/>
        <v>0</v>
      </c>
      <c r="AG30" s="230">
        <f t="shared" si="5"/>
        <v>0</v>
      </c>
    </row>
    <row r="31" spans="1:33" s="878" customFormat="1" ht="17.25" customHeight="1" outlineLevel="2">
      <c r="A31" s="861"/>
      <c r="B31" s="861"/>
      <c r="C31" s="268" t="s">
        <v>1004</v>
      </c>
      <c r="D31" s="861"/>
      <c r="E31" s="861"/>
      <c r="F31" s="861"/>
      <c r="G31" s="861"/>
      <c r="H31" s="861"/>
      <c r="I31" s="861"/>
      <c r="J31" s="861"/>
      <c r="K31" s="861"/>
      <c r="L31" s="861"/>
      <c r="M31" s="861"/>
      <c r="N31" s="861"/>
      <c r="O31" s="861"/>
      <c r="P31" s="861"/>
      <c r="Q31" s="861"/>
      <c r="R31" s="861"/>
      <c r="S31" s="861"/>
      <c r="T31" s="861"/>
      <c r="U31" s="861"/>
      <c r="V31" s="861"/>
      <c r="W31" s="861"/>
      <c r="X31" s="861"/>
      <c r="Y31" s="861"/>
      <c r="Z31" s="861"/>
      <c r="AA31" s="861"/>
      <c r="AB31" s="861"/>
      <c r="AC31" s="861"/>
      <c r="AD31" s="861"/>
      <c r="AE31" s="861"/>
      <c r="AF31" s="861"/>
      <c r="AG31" s="861"/>
    </row>
    <row r="32" spans="1:33" s="878" customFormat="1" ht="17.25" customHeight="1" outlineLevel="2">
      <c r="A32" s="861"/>
      <c r="B32" s="861"/>
      <c r="C32" s="268" t="s">
        <v>966</v>
      </c>
      <c r="D32" s="861"/>
      <c r="E32" s="861"/>
      <c r="F32" s="861"/>
      <c r="G32" s="861"/>
      <c r="H32" s="861"/>
      <c r="I32" s="861"/>
      <c r="J32" s="861" t="s">
        <v>1006</v>
      </c>
      <c r="K32" s="861"/>
      <c r="L32" s="861"/>
      <c r="M32" s="861"/>
      <c r="N32" s="861"/>
      <c r="O32" s="861"/>
      <c r="P32" s="861"/>
      <c r="Q32" s="861"/>
      <c r="R32" s="861"/>
      <c r="S32" s="861"/>
      <c r="T32" s="861"/>
      <c r="U32" s="861"/>
      <c r="V32" s="861"/>
      <c r="W32" s="861"/>
      <c r="X32" s="861"/>
      <c r="Y32" s="861"/>
      <c r="Z32" s="861"/>
      <c r="AA32" s="861"/>
      <c r="AB32" s="861"/>
      <c r="AC32" s="861"/>
      <c r="AD32" s="861"/>
      <c r="AE32" s="861"/>
      <c r="AF32" s="861"/>
      <c r="AG32" s="861"/>
    </row>
    <row r="33" spans="1:33" s="878" customFormat="1" ht="17.25" customHeight="1" outlineLevel="2">
      <c r="A33" s="861"/>
      <c r="B33" s="861"/>
      <c r="C33" s="40" t="str">
        <f>"Product/Service 1: "&amp;PS_01</f>
        <v>Product/Service 1: WonderApp</v>
      </c>
      <c r="D33" s="8" t="s">
        <v>26</v>
      </c>
      <c r="E33" s="861"/>
      <c r="F33" s="861"/>
      <c r="G33" s="861"/>
      <c r="H33" s="861"/>
      <c r="I33" s="861"/>
      <c r="J33" s="995">
        <f ca="1">IFERROR(IFS!J12/IFS!J$16,0)</f>
        <v>1</v>
      </c>
      <c r="K33" s="995">
        <f ca="1">IFERROR(IFS!K12/IFS!K$16,0)</f>
        <v>1</v>
      </c>
      <c r="L33" s="995">
        <f ca="1">IFERROR(IFS!L12/IFS!L$16,0)</f>
        <v>1</v>
      </c>
      <c r="M33" s="995">
        <f ca="1">IFERROR(IFS!M12/IFS!M$16,0)</f>
        <v>1</v>
      </c>
      <c r="N33" s="995">
        <f ca="1">IFERROR(IFS!N12/IFS!N$16,0)</f>
        <v>1</v>
      </c>
      <c r="O33" s="995">
        <f ca="1">IFERROR(IFS!O12/IFS!O$16,0)</f>
        <v>1</v>
      </c>
      <c r="P33" s="995">
        <f ca="1">IFERROR(IFS!P12/IFS!P$16,0)</f>
        <v>1</v>
      </c>
      <c r="Q33" s="995">
        <f ca="1">IFERROR(IFS!Q12/IFS!Q$16,0)</f>
        <v>1</v>
      </c>
      <c r="R33" s="995">
        <f ca="1">IFERROR(IFS!R12/IFS!R$16,0)</f>
        <v>1</v>
      </c>
      <c r="S33" s="995">
        <f ca="1">IFERROR(IFS!S12/IFS!S$16,0)</f>
        <v>1</v>
      </c>
      <c r="T33" s="995">
        <f ca="1">IFERROR(IFS!T12/IFS!T$16,0)</f>
        <v>1</v>
      </c>
      <c r="U33" s="995">
        <f ca="1">IFERROR(IFS!U12/IFS!U$16,0)</f>
        <v>1</v>
      </c>
      <c r="V33" s="995">
        <f ca="1">IFERROR(IFS!V12/IFS!V$16,0)</f>
        <v>1</v>
      </c>
      <c r="W33" s="995">
        <f ca="1">IFERROR(IFS!W12/IFS!W$16,0)</f>
        <v>1</v>
      </c>
      <c r="X33" s="995">
        <f ca="1">IFERROR(IFS!X12/IFS!X$16,0)</f>
        <v>1</v>
      </c>
      <c r="Y33" s="995">
        <f ca="1">IFERROR(IFS!Y12/IFS!Y$16,0)</f>
        <v>1</v>
      </c>
      <c r="Z33" s="995">
        <f ca="1">IFERROR(IFS!Z12/IFS!Z$16,0)</f>
        <v>1</v>
      </c>
      <c r="AA33" s="995">
        <f ca="1">IFERROR(IFS!AA12/IFS!AA$16,0)</f>
        <v>1</v>
      </c>
      <c r="AB33" s="995">
        <f ca="1">IFERROR(IFS!AB12/IFS!AB$16,0)</f>
        <v>1</v>
      </c>
      <c r="AC33" s="995">
        <f ca="1">IFERROR(IFS!AC12/IFS!AC$16,0)</f>
        <v>1</v>
      </c>
      <c r="AD33" s="995">
        <f ca="1">IFERROR(IFS!AD12/IFS!AD$16,0)</f>
        <v>1</v>
      </c>
      <c r="AE33" s="995">
        <f ca="1">IFERROR(IFS!AE12/IFS!AE$16,0)</f>
        <v>1</v>
      </c>
      <c r="AF33" s="995">
        <f ca="1">IFERROR(IFS!AF12/IFS!AF$16,0)</f>
        <v>0</v>
      </c>
      <c r="AG33" s="995">
        <f ca="1">IFERROR(IFS!AG12/IFS!AG$16,0)</f>
        <v>0</v>
      </c>
    </row>
    <row r="34" spans="1:33" s="878" customFormat="1" ht="17.25" customHeight="1" outlineLevel="2">
      <c r="A34" s="861"/>
      <c r="B34" s="861"/>
      <c r="C34" s="40" t="str">
        <f>"Product/Service 2: "&amp;PS_02</f>
        <v>Product/Service 2: WonderMoreX</v>
      </c>
      <c r="D34" s="8" t="s">
        <v>26</v>
      </c>
      <c r="E34" s="861"/>
      <c r="F34" s="861"/>
      <c r="G34" s="861"/>
      <c r="H34" s="861"/>
      <c r="I34" s="861"/>
      <c r="J34" s="995">
        <f ca="1">IFERROR(IFS!J13/IFS!J$16,0)</f>
        <v>0</v>
      </c>
      <c r="K34" s="995">
        <f ca="1">IFERROR(IFS!K13/IFS!K$16,0)</f>
        <v>0</v>
      </c>
      <c r="L34" s="995">
        <f ca="1">IFERROR(IFS!L13/IFS!L$16,0)</f>
        <v>0</v>
      </c>
      <c r="M34" s="995">
        <f ca="1">IFERROR(IFS!M13/IFS!M$16,0)</f>
        <v>0</v>
      </c>
      <c r="N34" s="995">
        <f ca="1">IFERROR(IFS!N13/IFS!N$16,0)</f>
        <v>0</v>
      </c>
      <c r="O34" s="995">
        <f ca="1">IFERROR(IFS!O13/IFS!O$16,0)</f>
        <v>0</v>
      </c>
      <c r="P34" s="995">
        <f ca="1">IFERROR(IFS!P13/IFS!P$16,0)</f>
        <v>0</v>
      </c>
      <c r="Q34" s="995">
        <f ca="1">IFERROR(IFS!Q13/IFS!Q$16,0)</f>
        <v>0</v>
      </c>
      <c r="R34" s="995">
        <f ca="1">IFERROR(IFS!R13/IFS!R$16,0)</f>
        <v>0</v>
      </c>
      <c r="S34" s="995">
        <f ca="1">IFERROR(IFS!S13/IFS!S$16,0)</f>
        <v>0</v>
      </c>
      <c r="T34" s="995">
        <f ca="1">IFERROR(IFS!T13/IFS!T$16,0)</f>
        <v>0</v>
      </c>
      <c r="U34" s="995">
        <f ca="1">IFERROR(IFS!U13/IFS!U$16,0)</f>
        <v>0</v>
      </c>
      <c r="V34" s="995">
        <f ca="1">IFERROR(IFS!V13/IFS!V$16,0)</f>
        <v>0</v>
      </c>
      <c r="W34" s="995">
        <f ca="1">IFERROR(IFS!W13/IFS!W$16,0)</f>
        <v>0</v>
      </c>
      <c r="X34" s="995">
        <f ca="1">IFERROR(IFS!X13/IFS!X$16,0)</f>
        <v>0</v>
      </c>
      <c r="Y34" s="995">
        <f ca="1">IFERROR(IFS!Y13/IFS!Y$16,0)</f>
        <v>0</v>
      </c>
      <c r="Z34" s="995">
        <f ca="1">IFERROR(IFS!Z13/IFS!Z$16,0)</f>
        <v>0</v>
      </c>
      <c r="AA34" s="995">
        <f ca="1">IFERROR(IFS!AA13/IFS!AA$16,0)</f>
        <v>0</v>
      </c>
      <c r="AB34" s="995">
        <f ca="1">IFERROR(IFS!AB13/IFS!AB$16,0)</f>
        <v>0</v>
      </c>
      <c r="AC34" s="995">
        <f ca="1">IFERROR(IFS!AC13/IFS!AC$16,0)</f>
        <v>0</v>
      </c>
      <c r="AD34" s="995">
        <f ca="1">IFERROR(IFS!AD13/IFS!AD$16,0)</f>
        <v>0</v>
      </c>
      <c r="AE34" s="995">
        <f ca="1">IFERROR(IFS!AE13/IFS!AE$16,0)</f>
        <v>0</v>
      </c>
      <c r="AF34" s="995">
        <f ca="1">IFERROR(IFS!AF13/IFS!AF$16,0)</f>
        <v>0</v>
      </c>
      <c r="AG34" s="995">
        <f ca="1">IFERROR(IFS!AG13/IFS!AG$16,0)</f>
        <v>0</v>
      </c>
    </row>
    <row r="35" spans="1:33" s="878" customFormat="1" ht="17.25" customHeight="1" outlineLevel="2">
      <c r="A35" s="861"/>
      <c r="B35" s="861"/>
      <c r="C35" s="40" t="str">
        <f>"Product/Service 3: "&amp;PS_03</f>
        <v>Product/Service 3: Customizing Services</v>
      </c>
      <c r="D35" s="8" t="s">
        <v>26</v>
      </c>
      <c r="E35" s="861"/>
      <c r="F35" s="861"/>
      <c r="G35" s="861"/>
      <c r="H35" s="861"/>
      <c r="I35" s="861"/>
      <c r="J35" s="995">
        <f ca="1">IFERROR(IFS!J14/IFS!J$16,0)</f>
        <v>0</v>
      </c>
      <c r="K35" s="995">
        <f ca="1">IFERROR(IFS!K14/IFS!K$16,0)</f>
        <v>0</v>
      </c>
      <c r="L35" s="995">
        <f ca="1">IFERROR(IFS!L14/IFS!L$16,0)</f>
        <v>0</v>
      </c>
      <c r="M35" s="995">
        <f ca="1">IFERROR(IFS!M14/IFS!M$16,0)</f>
        <v>0</v>
      </c>
      <c r="N35" s="995">
        <f ca="1">IFERROR(IFS!N14/IFS!N$16,0)</f>
        <v>0</v>
      </c>
      <c r="O35" s="995">
        <f ca="1">IFERROR(IFS!O14/IFS!O$16,0)</f>
        <v>0</v>
      </c>
      <c r="P35" s="995">
        <f ca="1">IFERROR(IFS!P14/IFS!P$16,0)</f>
        <v>0</v>
      </c>
      <c r="Q35" s="995">
        <f ca="1">IFERROR(IFS!Q14/IFS!Q$16,0)</f>
        <v>0</v>
      </c>
      <c r="R35" s="995">
        <f ca="1">IFERROR(IFS!R14/IFS!R$16,0)</f>
        <v>0</v>
      </c>
      <c r="S35" s="995">
        <f ca="1">IFERROR(IFS!S14/IFS!S$16,0)</f>
        <v>0</v>
      </c>
      <c r="T35" s="995">
        <f ca="1">IFERROR(IFS!T14/IFS!T$16,0)</f>
        <v>0</v>
      </c>
      <c r="U35" s="995">
        <f ca="1">IFERROR(IFS!U14/IFS!U$16,0)</f>
        <v>0</v>
      </c>
      <c r="V35" s="995">
        <f ca="1">IFERROR(IFS!V14/IFS!V$16,0)</f>
        <v>0</v>
      </c>
      <c r="W35" s="995">
        <f ca="1">IFERROR(IFS!W14/IFS!W$16,0)</f>
        <v>0</v>
      </c>
      <c r="X35" s="995">
        <f ca="1">IFERROR(IFS!X14/IFS!X$16,0)</f>
        <v>0</v>
      </c>
      <c r="Y35" s="995">
        <f ca="1">IFERROR(IFS!Y14/IFS!Y$16,0)</f>
        <v>0</v>
      </c>
      <c r="Z35" s="995">
        <f ca="1">IFERROR(IFS!Z14/IFS!Z$16,0)</f>
        <v>0</v>
      </c>
      <c r="AA35" s="995">
        <f ca="1">IFERROR(IFS!AA14/IFS!AA$16,0)</f>
        <v>0</v>
      </c>
      <c r="AB35" s="995">
        <f ca="1">IFERROR(IFS!AB14/IFS!AB$16,0)</f>
        <v>0</v>
      </c>
      <c r="AC35" s="995">
        <f ca="1">IFERROR(IFS!AC14/IFS!AC$16,0)</f>
        <v>0</v>
      </c>
      <c r="AD35" s="995">
        <f ca="1">IFERROR(IFS!AD14/IFS!AD$16,0)</f>
        <v>0</v>
      </c>
      <c r="AE35" s="995">
        <f ca="1">IFERROR(IFS!AE14/IFS!AE$16,0)</f>
        <v>0</v>
      </c>
      <c r="AF35" s="995">
        <f ca="1">IFERROR(IFS!AF14/IFS!AF$16,0)</f>
        <v>0</v>
      </c>
      <c r="AG35" s="995">
        <f ca="1">IFERROR(IFS!AG14/IFS!AG$16,0)</f>
        <v>0</v>
      </c>
    </row>
    <row r="36" spans="1:33" s="878" customFormat="1" ht="17.25" customHeight="1" outlineLevel="2">
      <c r="A36" s="861"/>
      <c r="B36" s="861"/>
      <c r="C36" s="40" t="str">
        <f>"Product/Service 4: "&amp;PS_04</f>
        <v>Product/Service 4: FutureApp</v>
      </c>
      <c r="D36" s="8" t="s">
        <v>26</v>
      </c>
      <c r="E36" s="861"/>
      <c r="F36" s="861"/>
      <c r="G36" s="861"/>
      <c r="H36" s="861"/>
      <c r="I36" s="861"/>
      <c r="J36" s="995">
        <f ca="1">IFERROR(IFS!J15/IFS!J$16,0)</f>
        <v>0</v>
      </c>
      <c r="K36" s="995">
        <f ca="1">IFERROR(IFS!K15/IFS!K$16,0)</f>
        <v>0</v>
      </c>
      <c r="L36" s="995">
        <f ca="1">IFERROR(IFS!L15/IFS!L$16,0)</f>
        <v>0</v>
      </c>
      <c r="M36" s="995">
        <f ca="1">IFERROR(IFS!M15/IFS!M$16,0)</f>
        <v>0</v>
      </c>
      <c r="N36" s="995">
        <f ca="1">IFERROR(IFS!N15/IFS!N$16,0)</f>
        <v>0</v>
      </c>
      <c r="O36" s="995">
        <f ca="1">IFERROR(IFS!O15/IFS!O$16,0)</f>
        <v>0</v>
      </c>
      <c r="P36" s="995">
        <f ca="1">IFERROR(IFS!P15/IFS!P$16,0)</f>
        <v>0</v>
      </c>
      <c r="Q36" s="995">
        <f ca="1">IFERROR(IFS!Q15/IFS!Q$16,0)</f>
        <v>0</v>
      </c>
      <c r="R36" s="995">
        <f ca="1">IFERROR(IFS!R15/IFS!R$16,0)</f>
        <v>0</v>
      </c>
      <c r="S36" s="995">
        <f ca="1">IFERROR(IFS!S15/IFS!S$16,0)</f>
        <v>0</v>
      </c>
      <c r="T36" s="995">
        <f ca="1">IFERROR(IFS!T15/IFS!T$16,0)</f>
        <v>0</v>
      </c>
      <c r="U36" s="995">
        <f ca="1">IFERROR(IFS!U15/IFS!U$16,0)</f>
        <v>0</v>
      </c>
      <c r="V36" s="995">
        <f ca="1">IFERROR(IFS!V15/IFS!V$16,0)</f>
        <v>0</v>
      </c>
      <c r="W36" s="995">
        <f ca="1">IFERROR(IFS!W15/IFS!W$16,0)</f>
        <v>0</v>
      </c>
      <c r="X36" s="995">
        <f ca="1">IFERROR(IFS!X15/IFS!X$16,0)</f>
        <v>0</v>
      </c>
      <c r="Y36" s="995">
        <f ca="1">IFERROR(IFS!Y15/IFS!Y$16,0)</f>
        <v>0</v>
      </c>
      <c r="Z36" s="995">
        <f ca="1">IFERROR(IFS!Z15/IFS!Z$16,0)</f>
        <v>0</v>
      </c>
      <c r="AA36" s="995">
        <f ca="1">IFERROR(IFS!AA15/IFS!AA$16,0)</f>
        <v>0</v>
      </c>
      <c r="AB36" s="995">
        <f ca="1">IFERROR(IFS!AB15/IFS!AB$16,0)</f>
        <v>0</v>
      </c>
      <c r="AC36" s="995">
        <f ca="1">IFERROR(IFS!AC15/IFS!AC$16,0)</f>
        <v>0</v>
      </c>
      <c r="AD36" s="995">
        <f ca="1">IFERROR(IFS!AD15/IFS!AD$16,0)</f>
        <v>0</v>
      </c>
      <c r="AE36" s="995">
        <f ca="1">IFERROR(IFS!AE15/IFS!AE$16,0)</f>
        <v>0</v>
      </c>
      <c r="AF36" s="995">
        <f ca="1">IFERROR(IFS!AF15/IFS!AF$16,0)</f>
        <v>0</v>
      </c>
      <c r="AG36" s="995">
        <f ca="1">IFERROR(IFS!AG15/IFS!AG$16,0)</f>
        <v>0</v>
      </c>
    </row>
    <row r="37" spans="1:33" s="878" customFormat="1" ht="17.25" customHeight="1" outlineLevel="2">
      <c r="A37" s="861"/>
      <c r="B37" s="861"/>
      <c r="C37" s="40" t="s">
        <v>871</v>
      </c>
      <c r="D37" s="8"/>
      <c r="E37" s="861"/>
      <c r="F37" s="861"/>
      <c r="G37" s="861"/>
      <c r="H37" s="861"/>
      <c r="I37" s="626">
        <f ca="1">SUM(J37:AG37)</f>
        <v>0</v>
      </c>
      <c r="J37" s="626">
        <f ca="1">IF(OR(SUM(J33:J36)=1,SUM(J33:J36)=0),0,1)*J$6</f>
        <v>0</v>
      </c>
      <c r="K37" s="626">
        <f t="shared" ref="K37:AG37" ca="1" si="6">IF(OR(SUM(K33:K36)=1,SUM(K33:K36)=0),0,1)*K$6</f>
        <v>0</v>
      </c>
      <c r="L37" s="626">
        <f t="shared" ca="1" si="6"/>
        <v>0</v>
      </c>
      <c r="M37" s="626">
        <f t="shared" ca="1" si="6"/>
        <v>0</v>
      </c>
      <c r="N37" s="626">
        <f t="shared" ca="1" si="6"/>
        <v>0</v>
      </c>
      <c r="O37" s="626">
        <f t="shared" ca="1" si="6"/>
        <v>0</v>
      </c>
      <c r="P37" s="626">
        <f t="shared" ca="1" si="6"/>
        <v>0</v>
      </c>
      <c r="Q37" s="626">
        <f t="shared" ca="1" si="6"/>
        <v>0</v>
      </c>
      <c r="R37" s="626">
        <f t="shared" ca="1" si="6"/>
        <v>0</v>
      </c>
      <c r="S37" s="626">
        <f t="shared" ca="1" si="6"/>
        <v>0</v>
      </c>
      <c r="T37" s="626">
        <f t="shared" ca="1" si="6"/>
        <v>0</v>
      </c>
      <c r="U37" s="626">
        <f t="shared" ca="1" si="6"/>
        <v>0</v>
      </c>
      <c r="V37" s="626">
        <f t="shared" ca="1" si="6"/>
        <v>0</v>
      </c>
      <c r="W37" s="626">
        <f t="shared" ca="1" si="6"/>
        <v>0</v>
      </c>
      <c r="X37" s="626">
        <f t="shared" ca="1" si="6"/>
        <v>0</v>
      </c>
      <c r="Y37" s="626">
        <f t="shared" ca="1" si="6"/>
        <v>0</v>
      </c>
      <c r="Z37" s="626">
        <f t="shared" ca="1" si="6"/>
        <v>0</v>
      </c>
      <c r="AA37" s="626">
        <f t="shared" ca="1" si="6"/>
        <v>0</v>
      </c>
      <c r="AB37" s="626">
        <f t="shared" ca="1" si="6"/>
        <v>0</v>
      </c>
      <c r="AC37" s="626">
        <f t="shared" ca="1" si="6"/>
        <v>0</v>
      </c>
      <c r="AD37" s="626">
        <f t="shared" ca="1" si="6"/>
        <v>0</v>
      </c>
      <c r="AE37" s="626">
        <f t="shared" ca="1" si="6"/>
        <v>0</v>
      </c>
      <c r="AF37" s="626">
        <f t="shared" ca="1" si="6"/>
        <v>0</v>
      </c>
      <c r="AG37" s="626">
        <f t="shared" ca="1" si="6"/>
        <v>0</v>
      </c>
    </row>
    <row r="38" spans="1:33" s="878" customFormat="1" ht="17.25" customHeight="1" outlineLevel="2">
      <c r="A38" s="861"/>
      <c r="B38" s="861"/>
      <c r="C38" s="268" t="s">
        <v>967</v>
      </c>
      <c r="D38" s="861"/>
      <c r="E38" s="861"/>
      <c r="F38" s="861"/>
      <c r="G38" s="861"/>
      <c r="H38" s="861"/>
      <c r="I38" s="861"/>
      <c r="J38" s="861"/>
      <c r="K38" s="861"/>
      <c r="L38" s="861"/>
      <c r="M38" s="861"/>
      <c r="N38" s="861"/>
      <c r="O38" s="861"/>
      <c r="P38" s="861"/>
      <c r="Q38" s="861"/>
      <c r="R38" s="861"/>
      <c r="S38" s="861"/>
      <c r="T38" s="861"/>
      <c r="U38" s="861"/>
      <c r="V38" s="861"/>
      <c r="W38" s="861"/>
      <c r="X38" s="861"/>
      <c r="Y38" s="861"/>
      <c r="Z38" s="861"/>
      <c r="AA38" s="861"/>
      <c r="AB38" s="861"/>
      <c r="AC38" s="861"/>
      <c r="AD38" s="861"/>
      <c r="AE38" s="861"/>
      <c r="AF38" s="861"/>
      <c r="AG38" s="861"/>
    </row>
    <row r="39" spans="1:33" s="878" customFormat="1" ht="17.25" customHeight="1" outlineLevel="2">
      <c r="A39" s="861"/>
      <c r="B39" s="861"/>
      <c r="C39" s="40" t="str">
        <f>"Product/Service 1: "&amp;PS_01</f>
        <v>Product/Service 1: WonderApp</v>
      </c>
      <c r="D39" s="8" t="str">
        <f t="shared" ref="D39:D43" si="7">Currency_Label</f>
        <v>USD</v>
      </c>
      <c r="E39" s="861"/>
      <c r="F39" s="861"/>
      <c r="G39" s="861"/>
      <c r="H39" s="861"/>
      <c r="I39" s="71">
        <f ca="1">SUMPRODUCT((J$6:AG$6),(J39:AG39))</f>
        <v>4794.9999999999991</v>
      </c>
      <c r="J39" s="230">
        <f ca="1">J33*J$29</f>
        <v>169.99999999999997</v>
      </c>
      <c r="K39" s="230">
        <f t="shared" ref="K39:AG42" ca="1" si="8">K33*K$29</f>
        <v>284.99999999999994</v>
      </c>
      <c r="L39" s="230">
        <f t="shared" ca="1" si="8"/>
        <v>869.99999999999977</v>
      </c>
      <c r="M39" s="230">
        <f t="shared" ca="1" si="8"/>
        <v>419.99999999999989</v>
      </c>
      <c r="N39" s="230">
        <f t="shared" ca="1" si="8"/>
        <v>169.99999999999997</v>
      </c>
      <c r="O39" s="230">
        <f t="shared" ca="1" si="8"/>
        <v>179.99999999999997</v>
      </c>
      <c r="P39" s="230">
        <f t="shared" ca="1" si="8"/>
        <v>74.999999999999986</v>
      </c>
      <c r="Q39" s="230">
        <f t="shared" ca="1" si="8"/>
        <v>74.999999999999986</v>
      </c>
      <c r="R39" s="230">
        <f t="shared" ca="1" si="8"/>
        <v>74.999999999999986</v>
      </c>
      <c r="S39" s="230">
        <f t="shared" ca="1" si="8"/>
        <v>74.999999999999986</v>
      </c>
      <c r="T39" s="230">
        <f t="shared" ca="1" si="8"/>
        <v>74.999999999999986</v>
      </c>
      <c r="U39" s="230">
        <f t="shared" ca="1" si="8"/>
        <v>279.99999999999994</v>
      </c>
      <c r="V39" s="230">
        <f t="shared" ca="1" si="8"/>
        <v>74.999999999999986</v>
      </c>
      <c r="W39" s="230">
        <f t="shared" ca="1" si="8"/>
        <v>74.999999999999986</v>
      </c>
      <c r="X39" s="230">
        <f t="shared" ca="1" si="8"/>
        <v>74.999999999999986</v>
      </c>
      <c r="Y39" s="230">
        <f t="shared" ca="1" si="8"/>
        <v>324.99999999999994</v>
      </c>
      <c r="Z39" s="230">
        <f t="shared" ca="1" si="8"/>
        <v>674.99999999999989</v>
      </c>
      <c r="AA39" s="230">
        <f t="shared" ca="1" si="8"/>
        <v>174.99999999999997</v>
      </c>
      <c r="AB39" s="230">
        <f t="shared" ca="1" si="8"/>
        <v>279.99999999999994</v>
      </c>
      <c r="AC39" s="230">
        <f t="shared" ca="1" si="8"/>
        <v>174.99999999999997</v>
      </c>
      <c r="AD39" s="230">
        <f t="shared" ca="1" si="8"/>
        <v>94.999999999999986</v>
      </c>
      <c r="AE39" s="230">
        <f t="shared" ca="1" si="8"/>
        <v>94.999999999999986</v>
      </c>
      <c r="AF39" s="230">
        <f t="shared" ca="1" si="8"/>
        <v>0</v>
      </c>
      <c r="AG39" s="230">
        <f t="shared" ca="1" si="8"/>
        <v>0</v>
      </c>
    </row>
    <row r="40" spans="1:33" s="878" customFormat="1" ht="17.25" customHeight="1" outlineLevel="2">
      <c r="A40" s="861"/>
      <c r="B40" s="861"/>
      <c r="C40" s="40" t="str">
        <f>"Product/Service 2: "&amp;PS_02</f>
        <v>Product/Service 2: WonderMoreX</v>
      </c>
      <c r="D40" s="8" t="str">
        <f t="shared" si="7"/>
        <v>USD</v>
      </c>
      <c r="E40" s="861"/>
      <c r="F40" s="861"/>
      <c r="G40" s="861"/>
      <c r="H40" s="861"/>
      <c r="I40" s="71">
        <f ca="1">SUMPRODUCT((J$6:AG$6),(J40:AG40))</f>
        <v>0</v>
      </c>
      <c r="J40" s="230">
        <f t="shared" ref="J40:Y42" ca="1" si="9">J34*J$29</f>
        <v>0</v>
      </c>
      <c r="K40" s="230">
        <f t="shared" ca="1" si="9"/>
        <v>0</v>
      </c>
      <c r="L40" s="230">
        <f t="shared" ca="1" si="9"/>
        <v>0</v>
      </c>
      <c r="M40" s="230">
        <f t="shared" ca="1" si="9"/>
        <v>0</v>
      </c>
      <c r="N40" s="230">
        <f t="shared" ca="1" si="9"/>
        <v>0</v>
      </c>
      <c r="O40" s="230">
        <f t="shared" ca="1" si="9"/>
        <v>0</v>
      </c>
      <c r="P40" s="230">
        <f t="shared" ca="1" si="9"/>
        <v>0</v>
      </c>
      <c r="Q40" s="230">
        <f t="shared" ca="1" si="9"/>
        <v>0</v>
      </c>
      <c r="R40" s="230">
        <f t="shared" ca="1" si="9"/>
        <v>0</v>
      </c>
      <c r="S40" s="230">
        <f t="shared" ca="1" si="9"/>
        <v>0</v>
      </c>
      <c r="T40" s="230">
        <f t="shared" ca="1" si="9"/>
        <v>0</v>
      </c>
      <c r="U40" s="230">
        <f t="shared" ca="1" si="9"/>
        <v>0</v>
      </c>
      <c r="V40" s="230">
        <f t="shared" ca="1" si="9"/>
        <v>0</v>
      </c>
      <c r="W40" s="230">
        <f t="shared" ca="1" si="9"/>
        <v>0</v>
      </c>
      <c r="X40" s="230">
        <f t="shared" ca="1" si="9"/>
        <v>0</v>
      </c>
      <c r="Y40" s="230">
        <f t="shared" ca="1" si="9"/>
        <v>0</v>
      </c>
      <c r="Z40" s="230">
        <f t="shared" ca="1" si="8"/>
        <v>0</v>
      </c>
      <c r="AA40" s="230">
        <f t="shared" ca="1" si="8"/>
        <v>0</v>
      </c>
      <c r="AB40" s="230">
        <f t="shared" ca="1" si="8"/>
        <v>0</v>
      </c>
      <c r="AC40" s="230">
        <f t="shared" ca="1" si="8"/>
        <v>0</v>
      </c>
      <c r="AD40" s="230">
        <f t="shared" ca="1" si="8"/>
        <v>0</v>
      </c>
      <c r="AE40" s="230">
        <f t="shared" ca="1" si="8"/>
        <v>0</v>
      </c>
      <c r="AF40" s="230">
        <f t="shared" ca="1" si="8"/>
        <v>0</v>
      </c>
      <c r="AG40" s="230">
        <f t="shared" ca="1" si="8"/>
        <v>0</v>
      </c>
    </row>
    <row r="41" spans="1:33" s="878" customFormat="1" ht="17.25" customHeight="1" outlineLevel="2">
      <c r="A41" s="861"/>
      <c r="B41" s="861"/>
      <c r="C41" s="40" t="str">
        <f>"Product/Service 3: "&amp;PS_03</f>
        <v>Product/Service 3: Customizing Services</v>
      </c>
      <c r="D41" s="8" t="str">
        <f t="shared" si="7"/>
        <v>USD</v>
      </c>
      <c r="E41" s="861"/>
      <c r="F41" s="861"/>
      <c r="G41" s="861"/>
      <c r="H41" s="861"/>
      <c r="I41" s="71">
        <f ca="1">SUMPRODUCT((J$6:AG$6),(J41:AG41))</f>
        <v>0</v>
      </c>
      <c r="J41" s="230">
        <f t="shared" ca="1" si="9"/>
        <v>0</v>
      </c>
      <c r="K41" s="230">
        <f t="shared" ca="1" si="8"/>
        <v>0</v>
      </c>
      <c r="L41" s="230">
        <f t="shared" ca="1" si="8"/>
        <v>0</v>
      </c>
      <c r="M41" s="230">
        <f t="shared" ca="1" si="8"/>
        <v>0</v>
      </c>
      <c r="N41" s="230">
        <f t="shared" ca="1" si="8"/>
        <v>0</v>
      </c>
      <c r="O41" s="230">
        <f t="shared" ca="1" si="8"/>
        <v>0</v>
      </c>
      <c r="P41" s="230">
        <f t="shared" ca="1" si="8"/>
        <v>0</v>
      </c>
      <c r="Q41" s="230">
        <f t="shared" ca="1" si="8"/>
        <v>0</v>
      </c>
      <c r="R41" s="230">
        <f t="shared" ca="1" si="8"/>
        <v>0</v>
      </c>
      <c r="S41" s="230">
        <f t="shared" ca="1" si="8"/>
        <v>0</v>
      </c>
      <c r="T41" s="230">
        <f t="shared" ca="1" si="8"/>
        <v>0</v>
      </c>
      <c r="U41" s="230">
        <f t="shared" ca="1" si="8"/>
        <v>0</v>
      </c>
      <c r="V41" s="230">
        <f t="shared" ca="1" si="8"/>
        <v>0</v>
      </c>
      <c r="W41" s="230">
        <f t="shared" ca="1" si="8"/>
        <v>0</v>
      </c>
      <c r="X41" s="230">
        <f t="shared" ca="1" si="8"/>
        <v>0</v>
      </c>
      <c r="Y41" s="230">
        <f t="shared" ca="1" si="8"/>
        <v>0</v>
      </c>
      <c r="Z41" s="230">
        <f t="shared" ca="1" si="8"/>
        <v>0</v>
      </c>
      <c r="AA41" s="230">
        <f t="shared" ca="1" si="8"/>
        <v>0</v>
      </c>
      <c r="AB41" s="230">
        <f t="shared" ca="1" si="8"/>
        <v>0</v>
      </c>
      <c r="AC41" s="230">
        <f t="shared" ca="1" si="8"/>
        <v>0</v>
      </c>
      <c r="AD41" s="230">
        <f t="shared" ca="1" si="8"/>
        <v>0</v>
      </c>
      <c r="AE41" s="230">
        <f t="shared" ca="1" si="8"/>
        <v>0</v>
      </c>
      <c r="AF41" s="230">
        <f t="shared" ca="1" si="8"/>
        <v>0</v>
      </c>
      <c r="AG41" s="230">
        <f t="shared" ca="1" si="8"/>
        <v>0</v>
      </c>
    </row>
    <row r="42" spans="1:33" s="878" customFormat="1" ht="17.25" customHeight="1" outlineLevel="2">
      <c r="A42" s="861"/>
      <c r="B42" s="861"/>
      <c r="C42" s="40" t="str">
        <f>"Product/Service 4: "&amp;PS_04</f>
        <v>Product/Service 4: FutureApp</v>
      </c>
      <c r="D42" s="8" t="str">
        <f t="shared" si="7"/>
        <v>USD</v>
      </c>
      <c r="E42" s="861"/>
      <c r="F42" s="861"/>
      <c r="G42" s="861"/>
      <c r="H42" s="861"/>
      <c r="I42" s="71">
        <f ca="1">SUMPRODUCT((J$6:AG$6),(J42:AG42))</f>
        <v>0</v>
      </c>
      <c r="J42" s="230">
        <f t="shared" ca="1" si="9"/>
        <v>0</v>
      </c>
      <c r="K42" s="230">
        <f t="shared" ca="1" si="8"/>
        <v>0</v>
      </c>
      <c r="L42" s="230">
        <f t="shared" ca="1" si="8"/>
        <v>0</v>
      </c>
      <c r="M42" s="230">
        <f t="shared" ca="1" si="8"/>
        <v>0</v>
      </c>
      <c r="N42" s="230">
        <f t="shared" ca="1" si="8"/>
        <v>0</v>
      </c>
      <c r="O42" s="230">
        <f t="shared" ca="1" si="8"/>
        <v>0</v>
      </c>
      <c r="P42" s="230">
        <f t="shared" ca="1" si="8"/>
        <v>0</v>
      </c>
      <c r="Q42" s="230">
        <f t="shared" ca="1" si="8"/>
        <v>0</v>
      </c>
      <c r="R42" s="230">
        <f t="shared" ca="1" si="8"/>
        <v>0</v>
      </c>
      <c r="S42" s="230">
        <f t="shared" ca="1" si="8"/>
        <v>0</v>
      </c>
      <c r="T42" s="230">
        <f t="shared" ca="1" si="8"/>
        <v>0</v>
      </c>
      <c r="U42" s="230">
        <f t="shared" ca="1" si="8"/>
        <v>0</v>
      </c>
      <c r="V42" s="230">
        <f t="shared" ca="1" si="8"/>
        <v>0</v>
      </c>
      <c r="W42" s="230">
        <f t="shared" ca="1" si="8"/>
        <v>0</v>
      </c>
      <c r="X42" s="230">
        <f t="shared" ca="1" si="8"/>
        <v>0</v>
      </c>
      <c r="Y42" s="230">
        <f t="shared" ca="1" si="8"/>
        <v>0</v>
      </c>
      <c r="Z42" s="230">
        <f t="shared" ca="1" si="8"/>
        <v>0</v>
      </c>
      <c r="AA42" s="230">
        <f t="shared" ca="1" si="8"/>
        <v>0</v>
      </c>
      <c r="AB42" s="230">
        <f t="shared" ca="1" si="8"/>
        <v>0</v>
      </c>
      <c r="AC42" s="230">
        <f t="shared" ca="1" si="8"/>
        <v>0</v>
      </c>
      <c r="AD42" s="230">
        <f t="shared" ca="1" si="8"/>
        <v>0</v>
      </c>
      <c r="AE42" s="230">
        <f t="shared" ca="1" si="8"/>
        <v>0</v>
      </c>
      <c r="AF42" s="230">
        <f t="shared" ca="1" si="8"/>
        <v>0</v>
      </c>
      <c r="AG42" s="230">
        <f t="shared" ca="1" si="8"/>
        <v>0</v>
      </c>
    </row>
    <row r="43" spans="1:33" s="878" customFormat="1" ht="17.25" customHeight="1" outlineLevel="2">
      <c r="A43" s="861"/>
      <c r="B43" s="861"/>
      <c r="C43" s="75" t="s">
        <v>872</v>
      </c>
      <c r="D43" s="8" t="str">
        <f t="shared" si="7"/>
        <v>USD</v>
      </c>
      <c r="E43" s="861"/>
      <c r="F43" s="861"/>
      <c r="G43" s="1026" t="s">
        <v>971</v>
      </c>
      <c r="H43" s="626">
        <f ca="1">I29-I43</f>
        <v>0</v>
      </c>
      <c r="I43" s="71">
        <f ca="1">SUMPRODUCT((J$6:AG$6),(J43:AG43))</f>
        <v>4794.9999999999991</v>
      </c>
      <c r="J43" s="988">
        <f ca="1">SUM(J39:J42)*J$6</f>
        <v>169.99999999999997</v>
      </c>
      <c r="K43" s="988">
        <f t="shared" ref="K43" ca="1" si="10">SUM(K39:K42)*K$6</f>
        <v>284.99999999999994</v>
      </c>
      <c r="L43" s="988">
        <f t="shared" ref="L43" ca="1" si="11">SUM(L39:L42)*L$6</f>
        <v>869.99999999999977</v>
      </c>
      <c r="M43" s="988">
        <f t="shared" ref="M43" ca="1" si="12">SUM(M39:M42)*M$6</f>
        <v>419.99999999999989</v>
      </c>
      <c r="N43" s="988">
        <f t="shared" ref="N43" ca="1" si="13">SUM(N39:N42)*N$6</f>
        <v>169.99999999999997</v>
      </c>
      <c r="O43" s="988">
        <f t="shared" ref="O43" ca="1" si="14">SUM(O39:O42)*O$6</f>
        <v>179.99999999999997</v>
      </c>
      <c r="P43" s="988">
        <f t="shared" ref="P43" ca="1" si="15">SUM(P39:P42)*P$6</f>
        <v>74.999999999999986</v>
      </c>
      <c r="Q43" s="988">
        <f t="shared" ref="Q43" ca="1" si="16">SUM(Q39:Q42)*Q$6</f>
        <v>74.999999999999986</v>
      </c>
      <c r="R43" s="988">
        <f t="shared" ref="R43" ca="1" si="17">SUM(R39:R42)*R$6</f>
        <v>74.999999999999986</v>
      </c>
      <c r="S43" s="988">
        <f t="shared" ref="S43" ca="1" si="18">SUM(S39:S42)*S$6</f>
        <v>74.999999999999986</v>
      </c>
      <c r="T43" s="988">
        <f t="shared" ref="T43" ca="1" si="19">SUM(T39:T42)*T$6</f>
        <v>74.999999999999986</v>
      </c>
      <c r="U43" s="988">
        <f t="shared" ref="U43" ca="1" si="20">SUM(U39:U42)*U$6</f>
        <v>279.99999999999994</v>
      </c>
      <c r="V43" s="988">
        <f t="shared" ref="V43" ca="1" si="21">SUM(V39:V42)*V$6</f>
        <v>74.999999999999986</v>
      </c>
      <c r="W43" s="988">
        <f t="shared" ref="W43" ca="1" si="22">SUM(W39:W42)*W$6</f>
        <v>74.999999999999986</v>
      </c>
      <c r="X43" s="988">
        <f t="shared" ref="X43" ca="1" si="23">SUM(X39:X42)*X$6</f>
        <v>74.999999999999986</v>
      </c>
      <c r="Y43" s="988">
        <f t="shared" ref="Y43" ca="1" si="24">SUM(Y39:Y42)*Y$6</f>
        <v>324.99999999999994</v>
      </c>
      <c r="Z43" s="988">
        <f t="shared" ref="Z43" ca="1" si="25">SUM(Z39:Z42)*Z$6</f>
        <v>674.99999999999989</v>
      </c>
      <c r="AA43" s="988">
        <f t="shared" ref="AA43" ca="1" si="26">SUM(AA39:AA42)*AA$6</f>
        <v>174.99999999999997</v>
      </c>
      <c r="AB43" s="988">
        <f t="shared" ref="AB43" ca="1" si="27">SUM(AB39:AB42)*AB$6</f>
        <v>279.99999999999994</v>
      </c>
      <c r="AC43" s="988">
        <f t="shared" ref="AC43" ca="1" si="28">SUM(AC39:AC42)*AC$6</f>
        <v>174.99999999999997</v>
      </c>
      <c r="AD43" s="988">
        <f t="shared" ref="AD43" ca="1" si="29">SUM(AD39:AD42)*AD$6</f>
        <v>94.999999999999986</v>
      </c>
      <c r="AE43" s="988">
        <f t="shared" ref="AE43" ca="1" si="30">SUM(AE39:AE42)*AE$6</f>
        <v>94.999999999999986</v>
      </c>
      <c r="AF43" s="988">
        <f t="shared" ref="AF43" ca="1" si="31">SUM(AF39:AF42)*AF$6</f>
        <v>0</v>
      </c>
      <c r="AG43" s="988">
        <f t="shared" ref="AG43" ca="1" si="32">SUM(AG39:AG42)*AG$6</f>
        <v>0</v>
      </c>
    </row>
    <row r="44" spans="1:33" s="878" customFormat="1" ht="17.25" customHeight="1" outlineLevel="2">
      <c r="A44" s="861"/>
      <c r="B44" s="861"/>
      <c r="C44" s="861"/>
      <c r="D44" s="861"/>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row>
    <row r="45" spans="1:33" s="878" customFormat="1" ht="17.25" customHeight="1" outlineLevel="2">
      <c r="A45" s="861"/>
      <c r="B45" s="1023"/>
      <c r="C45" s="268" t="s">
        <v>1005</v>
      </c>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row>
    <row r="46" spans="1:33" s="878" customFormat="1" ht="17.25" customHeight="1" outlineLevel="2">
      <c r="A46" s="861"/>
      <c r="B46" s="861"/>
      <c r="C46" s="268" t="s">
        <v>966</v>
      </c>
      <c r="D46" s="861"/>
      <c r="E46" s="861"/>
      <c r="F46" s="861"/>
      <c r="G46" s="861"/>
      <c r="H46" s="861"/>
      <c r="I46" s="861"/>
      <c r="J46" s="861" t="s">
        <v>1006</v>
      </c>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row>
    <row r="47" spans="1:33" s="878" customFormat="1" ht="17.25" customHeight="1" outlineLevel="2">
      <c r="A47" s="861"/>
      <c r="B47" s="861"/>
      <c r="C47" s="40" t="str">
        <f>"Product/Service 1: "&amp;PS_01</f>
        <v>Product/Service 1: WonderApp</v>
      </c>
      <c r="D47" s="8" t="s">
        <v>26</v>
      </c>
      <c r="E47" s="861"/>
      <c r="F47" s="861"/>
      <c r="G47" s="861"/>
      <c r="H47" s="861"/>
      <c r="I47" s="861"/>
      <c r="J47" s="995">
        <f ca="1">IFERROR(IFS!J12/IFS!J$16,0)</f>
        <v>1</v>
      </c>
      <c r="K47" s="995">
        <f ca="1">IFERROR(IFS!K12/IFS!K$16,0)</f>
        <v>1</v>
      </c>
      <c r="L47" s="995">
        <f ca="1">IFERROR(IFS!L12/IFS!L$16,0)</f>
        <v>1</v>
      </c>
      <c r="M47" s="995">
        <f ca="1">IFERROR(IFS!M12/IFS!M$16,0)</f>
        <v>1</v>
      </c>
      <c r="N47" s="995">
        <f ca="1">IFERROR(IFS!N12/IFS!N$16,0)</f>
        <v>1</v>
      </c>
      <c r="O47" s="995">
        <f ca="1">IFERROR(IFS!O12/IFS!O$16,0)</f>
        <v>1</v>
      </c>
      <c r="P47" s="995">
        <f ca="1">IFERROR(IFS!P12/IFS!P$16,0)</f>
        <v>1</v>
      </c>
      <c r="Q47" s="995">
        <f ca="1">IFERROR(IFS!Q12/IFS!Q$16,0)</f>
        <v>1</v>
      </c>
      <c r="R47" s="995">
        <f ca="1">IFERROR(IFS!R12/IFS!R$16,0)</f>
        <v>1</v>
      </c>
      <c r="S47" s="995">
        <f ca="1">IFERROR(IFS!S12/IFS!S$16,0)</f>
        <v>1</v>
      </c>
      <c r="T47" s="995">
        <f ca="1">IFERROR(IFS!T12/IFS!T$16,0)</f>
        <v>1</v>
      </c>
      <c r="U47" s="995">
        <f ca="1">IFERROR(IFS!U12/IFS!U$16,0)</f>
        <v>1</v>
      </c>
      <c r="V47" s="995">
        <f ca="1">IFERROR(IFS!V12/IFS!V$16,0)</f>
        <v>1</v>
      </c>
      <c r="W47" s="995">
        <f ca="1">IFERROR(IFS!W12/IFS!W$16,0)</f>
        <v>1</v>
      </c>
      <c r="X47" s="995">
        <f ca="1">IFERROR(IFS!X12/IFS!X$16,0)</f>
        <v>1</v>
      </c>
      <c r="Y47" s="995">
        <f ca="1">IFERROR(IFS!Y12/IFS!Y$16,0)</f>
        <v>1</v>
      </c>
      <c r="Z47" s="995">
        <f ca="1">IFERROR(IFS!Z12/IFS!Z$16,0)</f>
        <v>1</v>
      </c>
      <c r="AA47" s="995">
        <f ca="1">IFERROR(IFS!AA12/IFS!AA$16,0)</f>
        <v>1</v>
      </c>
      <c r="AB47" s="995">
        <f ca="1">IFERROR(IFS!AB12/IFS!AB$16,0)</f>
        <v>1</v>
      </c>
      <c r="AC47" s="995">
        <f ca="1">IFERROR(IFS!AC12/IFS!AC$16,0)</f>
        <v>1</v>
      </c>
      <c r="AD47" s="995">
        <f ca="1">IFERROR(IFS!AD12/IFS!AD$16,0)</f>
        <v>1</v>
      </c>
      <c r="AE47" s="995">
        <f ca="1">IFERROR(IFS!AE12/IFS!AE$16,0)</f>
        <v>1</v>
      </c>
      <c r="AF47" s="995">
        <f ca="1">IFERROR(IFS!AF12/IFS!AF$16,0)</f>
        <v>0</v>
      </c>
      <c r="AG47" s="995">
        <f ca="1">IFERROR(IFS!AG12/IFS!AG$16,0)</f>
        <v>0</v>
      </c>
    </row>
    <row r="48" spans="1:33" s="878" customFormat="1" ht="17.25" customHeight="1" outlineLevel="2">
      <c r="A48" s="861"/>
      <c r="B48" s="861"/>
      <c r="C48" s="40" t="str">
        <f>"Product/Service 2: "&amp;PS_02</f>
        <v>Product/Service 2: WonderMoreX</v>
      </c>
      <c r="D48" s="8" t="s">
        <v>26</v>
      </c>
      <c r="E48" s="861"/>
      <c r="F48" s="861"/>
      <c r="G48" s="861"/>
      <c r="H48" s="861"/>
      <c r="I48" s="861"/>
      <c r="J48" s="995">
        <f ca="1">IFERROR(IFS!J13/IFS!J$16,0)</f>
        <v>0</v>
      </c>
      <c r="K48" s="995">
        <f ca="1">IFERROR(IFS!K13/IFS!K$16,0)</f>
        <v>0</v>
      </c>
      <c r="L48" s="995">
        <f ca="1">IFERROR(IFS!L13/IFS!L$16,0)</f>
        <v>0</v>
      </c>
      <c r="M48" s="995">
        <f ca="1">IFERROR(IFS!M13/IFS!M$16,0)</f>
        <v>0</v>
      </c>
      <c r="N48" s="995">
        <f ca="1">IFERROR(IFS!N13/IFS!N$16,0)</f>
        <v>0</v>
      </c>
      <c r="O48" s="995">
        <f ca="1">IFERROR(IFS!O13/IFS!O$16,0)</f>
        <v>0</v>
      </c>
      <c r="P48" s="995">
        <f ca="1">IFERROR(IFS!P13/IFS!P$16,0)</f>
        <v>0</v>
      </c>
      <c r="Q48" s="995">
        <f ca="1">IFERROR(IFS!Q13/IFS!Q$16,0)</f>
        <v>0</v>
      </c>
      <c r="R48" s="995">
        <f ca="1">IFERROR(IFS!R13/IFS!R$16,0)</f>
        <v>0</v>
      </c>
      <c r="S48" s="995">
        <f ca="1">IFERROR(IFS!S13/IFS!S$16,0)</f>
        <v>0</v>
      </c>
      <c r="T48" s="995">
        <f ca="1">IFERROR(IFS!T13/IFS!T$16,0)</f>
        <v>0</v>
      </c>
      <c r="U48" s="995">
        <f ca="1">IFERROR(IFS!U13/IFS!U$16,0)</f>
        <v>0</v>
      </c>
      <c r="V48" s="995">
        <f ca="1">IFERROR(IFS!V13/IFS!V$16,0)</f>
        <v>0</v>
      </c>
      <c r="W48" s="995">
        <f ca="1">IFERROR(IFS!W13/IFS!W$16,0)</f>
        <v>0</v>
      </c>
      <c r="X48" s="995">
        <f ca="1">IFERROR(IFS!X13/IFS!X$16,0)</f>
        <v>0</v>
      </c>
      <c r="Y48" s="995">
        <f ca="1">IFERROR(IFS!Y13/IFS!Y$16,0)</f>
        <v>0</v>
      </c>
      <c r="Z48" s="995">
        <f ca="1">IFERROR(IFS!Z13/IFS!Z$16,0)</f>
        <v>0</v>
      </c>
      <c r="AA48" s="995">
        <f ca="1">IFERROR(IFS!AA13/IFS!AA$16,0)</f>
        <v>0</v>
      </c>
      <c r="AB48" s="995">
        <f ca="1">IFERROR(IFS!AB13/IFS!AB$16,0)</f>
        <v>0</v>
      </c>
      <c r="AC48" s="995">
        <f ca="1">IFERROR(IFS!AC13/IFS!AC$16,0)</f>
        <v>0</v>
      </c>
      <c r="AD48" s="995">
        <f ca="1">IFERROR(IFS!AD13/IFS!AD$16,0)</f>
        <v>0</v>
      </c>
      <c r="AE48" s="995">
        <f ca="1">IFERROR(IFS!AE13/IFS!AE$16,0)</f>
        <v>0</v>
      </c>
      <c r="AF48" s="995">
        <f ca="1">IFERROR(IFS!AF13/IFS!AF$16,0)</f>
        <v>0</v>
      </c>
      <c r="AG48" s="995">
        <f ca="1">IFERROR(IFS!AG13/IFS!AG$16,0)</f>
        <v>0</v>
      </c>
    </row>
    <row r="49" spans="1:33" s="878" customFormat="1" ht="17.25" customHeight="1" outlineLevel="2">
      <c r="A49" s="861"/>
      <c r="B49" s="861"/>
      <c r="C49" s="40" t="str">
        <f>"Product/Service 3: "&amp;PS_03</f>
        <v>Product/Service 3: Customizing Services</v>
      </c>
      <c r="D49" s="8" t="s">
        <v>26</v>
      </c>
      <c r="E49" s="861"/>
      <c r="F49" s="861"/>
      <c r="G49" s="861"/>
      <c r="H49" s="861"/>
      <c r="I49" s="861"/>
      <c r="J49" s="995">
        <f ca="1">IFERROR(IFS!J14/IFS!J$16,0)</f>
        <v>0</v>
      </c>
      <c r="K49" s="995">
        <f ca="1">IFERROR(IFS!K14/IFS!K$16,0)</f>
        <v>0</v>
      </c>
      <c r="L49" s="995">
        <f ca="1">IFERROR(IFS!L14/IFS!L$16,0)</f>
        <v>0</v>
      </c>
      <c r="M49" s="995">
        <f ca="1">IFERROR(IFS!M14/IFS!M$16,0)</f>
        <v>0</v>
      </c>
      <c r="N49" s="995">
        <f ca="1">IFERROR(IFS!N14/IFS!N$16,0)</f>
        <v>0</v>
      </c>
      <c r="O49" s="995">
        <f ca="1">IFERROR(IFS!O14/IFS!O$16,0)</f>
        <v>0</v>
      </c>
      <c r="P49" s="995">
        <f ca="1">IFERROR(IFS!P14/IFS!P$16,0)</f>
        <v>0</v>
      </c>
      <c r="Q49" s="995">
        <f ca="1">IFERROR(IFS!Q14/IFS!Q$16,0)</f>
        <v>0</v>
      </c>
      <c r="R49" s="995">
        <f ca="1">IFERROR(IFS!R14/IFS!R$16,0)</f>
        <v>0</v>
      </c>
      <c r="S49" s="995">
        <f ca="1">IFERROR(IFS!S14/IFS!S$16,0)</f>
        <v>0</v>
      </c>
      <c r="T49" s="995">
        <f ca="1">IFERROR(IFS!T14/IFS!T$16,0)</f>
        <v>0</v>
      </c>
      <c r="U49" s="995">
        <f ca="1">IFERROR(IFS!U14/IFS!U$16,0)</f>
        <v>0</v>
      </c>
      <c r="V49" s="995">
        <f ca="1">IFERROR(IFS!V14/IFS!V$16,0)</f>
        <v>0</v>
      </c>
      <c r="W49" s="995">
        <f ca="1">IFERROR(IFS!W14/IFS!W$16,0)</f>
        <v>0</v>
      </c>
      <c r="X49" s="995">
        <f ca="1">IFERROR(IFS!X14/IFS!X$16,0)</f>
        <v>0</v>
      </c>
      <c r="Y49" s="995">
        <f ca="1">IFERROR(IFS!Y14/IFS!Y$16,0)</f>
        <v>0</v>
      </c>
      <c r="Z49" s="995">
        <f ca="1">IFERROR(IFS!Z14/IFS!Z$16,0)</f>
        <v>0</v>
      </c>
      <c r="AA49" s="995">
        <f ca="1">IFERROR(IFS!AA14/IFS!AA$16,0)</f>
        <v>0</v>
      </c>
      <c r="AB49" s="995">
        <f ca="1">IFERROR(IFS!AB14/IFS!AB$16,0)</f>
        <v>0</v>
      </c>
      <c r="AC49" s="995">
        <f ca="1">IFERROR(IFS!AC14/IFS!AC$16,0)</f>
        <v>0</v>
      </c>
      <c r="AD49" s="995">
        <f ca="1">IFERROR(IFS!AD14/IFS!AD$16,0)</f>
        <v>0</v>
      </c>
      <c r="AE49" s="995">
        <f ca="1">IFERROR(IFS!AE14/IFS!AE$16,0)</f>
        <v>0</v>
      </c>
      <c r="AF49" s="995">
        <f ca="1">IFERROR(IFS!AF14/IFS!AF$16,0)</f>
        <v>0</v>
      </c>
      <c r="AG49" s="995">
        <f ca="1">IFERROR(IFS!AG14/IFS!AG$16,0)</f>
        <v>0</v>
      </c>
    </row>
    <row r="50" spans="1:33" s="878" customFormat="1" ht="17.25" customHeight="1" outlineLevel="2">
      <c r="A50" s="861"/>
      <c r="B50" s="861"/>
      <c r="C50" s="40" t="str">
        <f>"Product/Service 4: "&amp;PS_04</f>
        <v>Product/Service 4: FutureApp</v>
      </c>
      <c r="D50" s="8" t="s">
        <v>26</v>
      </c>
      <c r="E50" s="861"/>
      <c r="F50" s="861"/>
      <c r="G50" s="861"/>
      <c r="H50" s="861"/>
      <c r="I50" s="861"/>
      <c r="J50" s="995">
        <f ca="1">IFERROR(IFS!J15/IFS!J$16,0)</f>
        <v>0</v>
      </c>
      <c r="K50" s="995">
        <f ca="1">IFERROR(IFS!K15/IFS!K$16,0)</f>
        <v>0</v>
      </c>
      <c r="L50" s="995">
        <f ca="1">IFERROR(IFS!L15/IFS!L$16,0)</f>
        <v>0</v>
      </c>
      <c r="M50" s="995">
        <f ca="1">IFERROR(IFS!M15/IFS!M$16,0)</f>
        <v>0</v>
      </c>
      <c r="N50" s="995">
        <f ca="1">IFERROR(IFS!N15/IFS!N$16,0)</f>
        <v>0</v>
      </c>
      <c r="O50" s="995">
        <f ca="1">IFERROR(IFS!O15/IFS!O$16,0)</f>
        <v>0</v>
      </c>
      <c r="P50" s="995">
        <f ca="1">IFERROR(IFS!P15/IFS!P$16,0)</f>
        <v>0</v>
      </c>
      <c r="Q50" s="995">
        <f ca="1">IFERROR(IFS!Q15/IFS!Q$16,0)</f>
        <v>0</v>
      </c>
      <c r="R50" s="995">
        <f ca="1">IFERROR(IFS!R15/IFS!R$16,0)</f>
        <v>0</v>
      </c>
      <c r="S50" s="995">
        <f ca="1">IFERROR(IFS!S15/IFS!S$16,0)</f>
        <v>0</v>
      </c>
      <c r="T50" s="995">
        <f ca="1">IFERROR(IFS!T15/IFS!T$16,0)</f>
        <v>0</v>
      </c>
      <c r="U50" s="995">
        <f ca="1">IFERROR(IFS!U15/IFS!U$16,0)</f>
        <v>0</v>
      </c>
      <c r="V50" s="995">
        <f ca="1">IFERROR(IFS!V15/IFS!V$16,0)</f>
        <v>0</v>
      </c>
      <c r="W50" s="995">
        <f ca="1">IFERROR(IFS!W15/IFS!W$16,0)</f>
        <v>0</v>
      </c>
      <c r="X50" s="995">
        <f ca="1">IFERROR(IFS!X15/IFS!X$16,0)</f>
        <v>0</v>
      </c>
      <c r="Y50" s="995">
        <f ca="1">IFERROR(IFS!Y15/IFS!Y$16,0)</f>
        <v>0</v>
      </c>
      <c r="Z50" s="995">
        <f ca="1">IFERROR(IFS!Z15/IFS!Z$16,0)</f>
        <v>0</v>
      </c>
      <c r="AA50" s="995">
        <f ca="1">IFERROR(IFS!AA15/IFS!AA$16,0)</f>
        <v>0</v>
      </c>
      <c r="AB50" s="995">
        <f ca="1">IFERROR(IFS!AB15/IFS!AB$16,0)</f>
        <v>0</v>
      </c>
      <c r="AC50" s="995">
        <f ca="1">IFERROR(IFS!AC15/IFS!AC$16,0)</f>
        <v>0</v>
      </c>
      <c r="AD50" s="995">
        <f ca="1">IFERROR(IFS!AD15/IFS!AD$16,0)</f>
        <v>0</v>
      </c>
      <c r="AE50" s="995">
        <f ca="1">IFERROR(IFS!AE15/IFS!AE$16,0)</f>
        <v>0</v>
      </c>
      <c r="AF50" s="995">
        <f ca="1">IFERROR(IFS!AF15/IFS!AF$16,0)</f>
        <v>0</v>
      </c>
      <c r="AG50" s="995">
        <f ca="1">IFERROR(IFS!AG15/IFS!AG$16,0)</f>
        <v>0</v>
      </c>
    </row>
    <row r="51" spans="1:33" s="878" customFormat="1" ht="17.25" customHeight="1" outlineLevel="2">
      <c r="A51" s="861"/>
      <c r="B51" s="861"/>
      <c r="C51" s="40" t="s">
        <v>871</v>
      </c>
      <c r="D51" s="8"/>
      <c r="E51" s="861"/>
      <c r="F51" s="861"/>
      <c r="G51" s="861"/>
      <c r="H51" s="861"/>
      <c r="I51" s="626">
        <f ca="1">SUM(J51:AG51)</f>
        <v>0</v>
      </c>
      <c r="J51" s="626">
        <f ca="1">IF(OR(SUM(J47:J50)=1,SUM(J47:J50)=0),0,1)*J$6</f>
        <v>0</v>
      </c>
      <c r="K51" s="626">
        <f t="shared" ref="K51:AG51" ca="1" si="33">IF(OR(SUM(K47:K50)=1,SUM(K47:K50)=0),0,1)*K$6</f>
        <v>0</v>
      </c>
      <c r="L51" s="626">
        <f t="shared" ca="1" si="33"/>
        <v>0</v>
      </c>
      <c r="M51" s="626">
        <f t="shared" ca="1" si="33"/>
        <v>0</v>
      </c>
      <c r="N51" s="626">
        <f t="shared" ca="1" si="33"/>
        <v>0</v>
      </c>
      <c r="O51" s="626">
        <f t="shared" ca="1" si="33"/>
        <v>0</v>
      </c>
      <c r="P51" s="626">
        <f t="shared" ca="1" si="33"/>
        <v>0</v>
      </c>
      <c r="Q51" s="626">
        <f t="shared" ca="1" si="33"/>
        <v>0</v>
      </c>
      <c r="R51" s="626">
        <f t="shared" ca="1" si="33"/>
        <v>0</v>
      </c>
      <c r="S51" s="626">
        <f t="shared" ca="1" si="33"/>
        <v>0</v>
      </c>
      <c r="T51" s="626">
        <f t="shared" ca="1" si="33"/>
        <v>0</v>
      </c>
      <c r="U51" s="626">
        <f t="shared" ca="1" si="33"/>
        <v>0</v>
      </c>
      <c r="V51" s="626">
        <f t="shared" ca="1" si="33"/>
        <v>0</v>
      </c>
      <c r="W51" s="626">
        <f t="shared" ca="1" si="33"/>
        <v>0</v>
      </c>
      <c r="X51" s="626">
        <f t="shared" ca="1" si="33"/>
        <v>0</v>
      </c>
      <c r="Y51" s="626">
        <f t="shared" ca="1" si="33"/>
        <v>0</v>
      </c>
      <c r="Z51" s="626">
        <f t="shared" ca="1" si="33"/>
        <v>0</v>
      </c>
      <c r="AA51" s="626">
        <f t="shared" ca="1" si="33"/>
        <v>0</v>
      </c>
      <c r="AB51" s="626">
        <f t="shared" ca="1" si="33"/>
        <v>0</v>
      </c>
      <c r="AC51" s="626">
        <f t="shared" ca="1" si="33"/>
        <v>0</v>
      </c>
      <c r="AD51" s="626">
        <f t="shared" ca="1" si="33"/>
        <v>0</v>
      </c>
      <c r="AE51" s="626">
        <f t="shared" ca="1" si="33"/>
        <v>0</v>
      </c>
      <c r="AF51" s="626">
        <f t="shared" ca="1" si="33"/>
        <v>0</v>
      </c>
      <c r="AG51" s="626">
        <f t="shared" ca="1" si="33"/>
        <v>0</v>
      </c>
    </row>
    <row r="52" spans="1:33" s="878" customFormat="1" ht="17.25" customHeight="1" outlineLevel="2">
      <c r="A52" s="861"/>
      <c r="B52" s="861"/>
      <c r="C52" s="268" t="s">
        <v>967</v>
      </c>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row>
    <row r="53" spans="1:33" s="878" customFormat="1" ht="17.25" customHeight="1" outlineLevel="2">
      <c r="A53" s="861"/>
      <c r="B53" s="861"/>
      <c r="C53" s="40" t="str">
        <f>"Product/Service 1: "&amp;PS_01</f>
        <v>Product/Service 1: WonderApp</v>
      </c>
      <c r="D53" s="8" t="str">
        <f t="shared" ref="D53:D57" si="34">Currency_Label</f>
        <v>USD</v>
      </c>
      <c r="E53" s="861"/>
      <c r="F53" s="861"/>
      <c r="G53" s="861"/>
      <c r="H53" s="861"/>
      <c r="I53" s="71">
        <f ca="1">SUMPRODUCT((J$6:AG$6),(J53:AG53))</f>
        <v>43155</v>
      </c>
      <c r="J53" s="230">
        <f ca="1">J47*J$30</f>
        <v>1530</v>
      </c>
      <c r="K53" s="230">
        <f t="shared" ref="K53:AG56" ca="1" si="35">K47*K$30</f>
        <v>2565</v>
      </c>
      <c r="L53" s="230">
        <f t="shared" ca="1" si="35"/>
        <v>7830</v>
      </c>
      <c r="M53" s="230">
        <f t="shared" ca="1" si="35"/>
        <v>3780</v>
      </c>
      <c r="N53" s="230">
        <f t="shared" ca="1" si="35"/>
        <v>1530</v>
      </c>
      <c r="O53" s="230">
        <f t="shared" ca="1" si="35"/>
        <v>1620</v>
      </c>
      <c r="P53" s="230">
        <f t="shared" ca="1" si="35"/>
        <v>675</v>
      </c>
      <c r="Q53" s="230">
        <f t="shared" ca="1" si="35"/>
        <v>675</v>
      </c>
      <c r="R53" s="230">
        <f t="shared" ca="1" si="35"/>
        <v>675</v>
      </c>
      <c r="S53" s="230">
        <f t="shared" ca="1" si="35"/>
        <v>675</v>
      </c>
      <c r="T53" s="230">
        <f t="shared" ca="1" si="35"/>
        <v>675</v>
      </c>
      <c r="U53" s="230">
        <f t="shared" ca="1" si="35"/>
        <v>2520</v>
      </c>
      <c r="V53" s="230">
        <f t="shared" ca="1" si="35"/>
        <v>675</v>
      </c>
      <c r="W53" s="230">
        <f t="shared" ca="1" si="35"/>
        <v>675</v>
      </c>
      <c r="X53" s="230">
        <f t="shared" ca="1" si="35"/>
        <v>675</v>
      </c>
      <c r="Y53" s="230">
        <f t="shared" ca="1" si="35"/>
        <v>2925</v>
      </c>
      <c r="Z53" s="230">
        <f t="shared" ca="1" si="35"/>
        <v>6075</v>
      </c>
      <c r="AA53" s="230">
        <f t="shared" ca="1" si="35"/>
        <v>1575</v>
      </c>
      <c r="AB53" s="230">
        <f t="shared" ca="1" si="35"/>
        <v>2520</v>
      </c>
      <c r="AC53" s="230">
        <f t="shared" ca="1" si="35"/>
        <v>1575</v>
      </c>
      <c r="AD53" s="230">
        <f t="shared" ca="1" si="35"/>
        <v>855</v>
      </c>
      <c r="AE53" s="230">
        <f t="shared" ca="1" si="35"/>
        <v>855</v>
      </c>
      <c r="AF53" s="230">
        <f t="shared" ca="1" si="35"/>
        <v>0</v>
      </c>
      <c r="AG53" s="230">
        <f t="shared" ca="1" si="35"/>
        <v>0</v>
      </c>
    </row>
    <row r="54" spans="1:33" s="878" customFormat="1" ht="17.25" customHeight="1" outlineLevel="2">
      <c r="A54" s="861"/>
      <c r="B54" s="861"/>
      <c r="C54" s="40" t="str">
        <f>"Product/Service 2: "&amp;PS_02</f>
        <v>Product/Service 2: WonderMoreX</v>
      </c>
      <c r="D54" s="8" t="str">
        <f t="shared" si="34"/>
        <v>USD</v>
      </c>
      <c r="E54" s="861"/>
      <c r="F54" s="861"/>
      <c r="G54" s="861"/>
      <c r="H54" s="861"/>
      <c r="I54" s="71">
        <f ca="1">SUMPRODUCT((J$6:AG$6),(J54:AG54))</f>
        <v>0</v>
      </c>
      <c r="J54" s="230">
        <f t="shared" ref="J54:Y56" ca="1" si="36">J48*J$30</f>
        <v>0</v>
      </c>
      <c r="K54" s="230">
        <f t="shared" ca="1" si="36"/>
        <v>0</v>
      </c>
      <c r="L54" s="230">
        <f t="shared" ca="1" si="36"/>
        <v>0</v>
      </c>
      <c r="M54" s="230">
        <f t="shared" ca="1" si="36"/>
        <v>0</v>
      </c>
      <c r="N54" s="230">
        <f t="shared" ca="1" si="36"/>
        <v>0</v>
      </c>
      <c r="O54" s="230">
        <f t="shared" ca="1" si="36"/>
        <v>0</v>
      </c>
      <c r="P54" s="230">
        <f t="shared" ca="1" si="36"/>
        <v>0</v>
      </c>
      <c r="Q54" s="230">
        <f t="shared" ca="1" si="36"/>
        <v>0</v>
      </c>
      <c r="R54" s="230">
        <f t="shared" ca="1" si="36"/>
        <v>0</v>
      </c>
      <c r="S54" s="230">
        <f t="shared" ca="1" si="36"/>
        <v>0</v>
      </c>
      <c r="T54" s="230">
        <f t="shared" ca="1" si="36"/>
        <v>0</v>
      </c>
      <c r="U54" s="230">
        <f t="shared" ca="1" si="36"/>
        <v>0</v>
      </c>
      <c r="V54" s="230">
        <f t="shared" ca="1" si="36"/>
        <v>0</v>
      </c>
      <c r="W54" s="230">
        <f t="shared" ca="1" si="36"/>
        <v>0</v>
      </c>
      <c r="X54" s="230">
        <f t="shared" ca="1" si="36"/>
        <v>0</v>
      </c>
      <c r="Y54" s="230">
        <f t="shared" ca="1" si="36"/>
        <v>0</v>
      </c>
      <c r="Z54" s="230">
        <f t="shared" ca="1" si="35"/>
        <v>0</v>
      </c>
      <c r="AA54" s="230">
        <f t="shared" ca="1" si="35"/>
        <v>0</v>
      </c>
      <c r="AB54" s="230">
        <f t="shared" ca="1" si="35"/>
        <v>0</v>
      </c>
      <c r="AC54" s="230">
        <f t="shared" ca="1" si="35"/>
        <v>0</v>
      </c>
      <c r="AD54" s="230">
        <f t="shared" ca="1" si="35"/>
        <v>0</v>
      </c>
      <c r="AE54" s="230">
        <f t="shared" ca="1" si="35"/>
        <v>0</v>
      </c>
      <c r="AF54" s="230">
        <f t="shared" ca="1" si="35"/>
        <v>0</v>
      </c>
      <c r="AG54" s="230">
        <f t="shared" ca="1" si="35"/>
        <v>0</v>
      </c>
    </row>
    <row r="55" spans="1:33" s="878" customFormat="1" ht="17.25" customHeight="1" outlineLevel="2">
      <c r="A55" s="861"/>
      <c r="B55" s="861"/>
      <c r="C55" s="40" t="str">
        <f>"Product/Service 3: "&amp;PS_03</f>
        <v>Product/Service 3: Customizing Services</v>
      </c>
      <c r="D55" s="8" t="str">
        <f t="shared" si="34"/>
        <v>USD</v>
      </c>
      <c r="E55" s="861"/>
      <c r="F55" s="861"/>
      <c r="G55" s="861"/>
      <c r="H55" s="861"/>
      <c r="I55" s="71">
        <f ca="1">SUMPRODUCT((J$6:AG$6),(J55:AG55))</f>
        <v>0</v>
      </c>
      <c r="J55" s="230">
        <f t="shared" ca="1" si="36"/>
        <v>0</v>
      </c>
      <c r="K55" s="230">
        <f t="shared" ca="1" si="35"/>
        <v>0</v>
      </c>
      <c r="L55" s="230">
        <f t="shared" ca="1" si="35"/>
        <v>0</v>
      </c>
      <c r="M55" s="230">
        <f t="shared" ca="1" si="35"/>
        <v>0</v>
      </c>
      <c r="N55" s="230">
        <f t="shared" ca="1" si="35"/>
        <v>0</v>
      </c>
      <c r="O55" s="230">
        <f t="shared" ca="1" si="35"/>
        <v>0</v>
      </c>
      <c r="P55" s="230">
        <f t="shared" ca="1" si="35"/>
        <v>0</v>
      </c>
      <c r="Q55" s="230">
        <f t="shared" ca="1" si="35"/>
        <v>0</v>
      </c>
      <c r="R55" s="230">
        <f t="shared" ca="1" si="35"/>
        <v>0</v>
      </c>
      <c r="S55" s="230">
        <f t="shared" ca="1" si="35"/>
        <v>0</v>
      </c>
      <c r="T55" s="230">
        <f t="shared" ca="1" si="35"/>
        <v>0</v>
      </c>
      <c r="U55" s="230">
        <f t="shared" ca="1" si="35"/>
        <v>0</v>
      </c>
      <c r="V55" s="230">
        <f t="shared" ca="1" si="35"/>
        <v>0</v>
      </c>
      <c r="W55" s="230">
        <f t="shared" ca="1" si="35"/>
        <v>0</v>
      </c>
      <c r="X55" s="230">
        <f t="shared" ca="1" si="35"/>
        <v>0</v>
      </c>
      <c r="Y55" s="230">
        <f t="shared" ca="1" si="35"/>
        <v>0</v>
      </c>
      <c r="Z55" s="230">
        <f t="shared" ca="1" si="35"/>
        <v>0</v>
      </c>
      <c r="AA55" s="230">
        <f t="shared" ca="1" si="35"/>
        <v>0</v>
      </c>
      <c r="AB55" s="230">
        <f t="shared" ca="1" si="35"/>
        <v>0</v>
      </c>
      <c r="AC55" s="230">
        <f t="shared" ca="1" si="35"/>
        <v>0</v>
      </c>
      <c r="AD55" s="230">
        <f t="shared" ca="1" si="35"/>
        <v>0</v>
      </c>
      <c r="AE55" s="230">
        <f t="shared" ca="1" si="35"/>
        <v>0</v>
      </c>
      <c r="AF55" s="230">
        <f t="shared" ca="1" si="35"/>
        <v>0</v>
      </c>
      <c r="AG55" s="230">
        <f t="shared" ca="1" si="35"/>
        <v>0</v>
      </c>
    </row>
    <row r="56" spans="1:33" s="878" customFormat="1" ht="17.25" customHeight="1" outlineLevel="2">
      <c r="A56" s="861"/>
      <c r="B56" s="861"/>
      <c r="C56" s="40" t="str">
        <f>"Product/Service 4: "&amp;PS_04</f>
        <v>Product/Service 4: FutureApp</v>
      </c>
      <c r="D56" s="8" t="str">
        <f t="shared" si="34"/>
        <v>USD</v>
      </c>
      <c r="E56" s="861"/>
      <c r="F56" s="861"/>
      <c r="G56" s="861"/>
      <c r="H56" s="861"/>
      <c r="I56" s="71">
        <f ca="1">SUMPRODUCT((J$6:AG$6),(J56:AG56))</f>
        <v>0</v>
      </c>
      <c r="J56" s="230">
        <f t="shared" ca="1" si="36"/>
        <v>0</v>
      </c>
      <c r="K56" s="230">
        <f t="shared" ca="1" si="35"/>
        <v>0</v>
      </c>
      <c r="L56" s="230">
        <f t="shared" ca="1" si="35"/>
        <v>0</v>
      </c>
      <c r="M56" s="230">
        <f t="shared" ca="1" si="35"/>
        <v>0</v>
      </c>
      <c r="N56" s="230">
        <f t="shared" ca="1" si="35"/>
        <v>0</v>
      </c>
      <c r="O56" s="230">
        <f t="shared" ca="1" si="35"/>
        <v>0</v>
      </c>
      <c r="P56" s="230">
        <f t="shared" ca="1" si="35"/>
        <v>0</v>
      </c>
      <c r="Q56" s="230">
        <f t="shared" ca="1" si="35"/>
        <v>0</v>
      </c>
      <c r="R56" s="230">
        <f t="shared" ca="1" si="35"/>
        <v>0</v>
      </c>
      <c r="S56" s="230">
        <f t="shared" ca="1" si="35"/>
        <v>0</v>
      </c>
      <c r="T56" s="230">
        <f t="shared" ca="1" si="35"/>
        <v>0</v>
      </c>
      <c r="U56" s="230">
        <f t="shared" ca="1" si="35"/>
        <v>0</v>
      </c>
      <c r="V56" s="230">
        <f t="shared" ca="1" si="35"/>
        <v>0</v>
      </c>
      <c r="W56" s="230">
        <f t="shared" ca="1" si="35"/>
        <v>0</v>
      </c>
      <c r="X56" s="230">
        <f t="shared" ca="1" si="35"/>
        <v>0</v>
      </c>
      <c r="Y56" s="230">
        <f t="shared" ca="1" si="35"/>
        <v>0</v>
      </c>
      <c r="Z56" s="230">
        <f t="shared" ca="1" si="35"/>
        <v>0</v>
      </c>
      <c r="AA56" s="230">
        <f t="shared" ca="1" si="35"/>
        <v>0</v>
      </c>
      <c r="AB56" s="230">
        <f t="shared" ca="1" si="35"/>
        <v>0</v>
      </c>
      <c r="AC56" s="230">
        <f t="shared" ca="1" si="35"/>
        <v>0</v>
      </c>
      <c r="AD56" s="230">
        <f t="shared" ca="1" si="35"/>
        <v>0</v>
      </c>
      <c r="AE56" s="230">
        <f t="shared" ca="1" si="35"/>
        <v>0</v>
      </c>
      <c r="AF56" s="230">
        <f t="shared" ca="1" si="35"/>
        <v>0</v>
      </c>
      <c r="AG56" s="230">
        <f t="shared" ca="1" si="35"/>
        <v>0</v>
      </c>
    </row>
    <row r="57" spans="1:33" s="878" customFormat="1" ht="17.25" customHeight="1" outlineLevel="2">
      <c r="A57" s="861"/>
      <c r="B57" s="861"/>
      <c r="C57" s="75" t="s">
        <v>872</v>
      </c>
      <c r="D57" s="8" t="str">
        <f t="shared" si="34"/>
        <v>USD</v>
      </c>
      <c r="E57" s="317"/>
      <c r="F57" s="861"/>
      <c r="G57" s="1026" t="s">
        <v>971</v>
      </c>
      <c r="H57" s="626">
        <f ca="1">I30-I57</f>
        <v>0</v>
      </c>
      <c r="I57" s="71">
        <f ca="1">SUMPRODUCT((J$6:AG$6),(J57:AG57))</f>
        <v>43155</v>
      </c>
      <c r="J57" s="988">
        <f ca="1">SUM(J53:J56)*J$6</f>
        <v>1530</v>
      </c>
      <c r="K57" s="988">
        <f t="shared" ref="K57:AG57" ca="1" si="37">SUM(K53:K56)*K$6</f>
        <v>2565</v>
      </c>
      <c r="L57" s="988">
        <f t="shared" ca="1" si="37"/>
        <v>7830</v>
      </c>
      <c r="M57" s="988">
        <f t="shared" ca="1" si="37"/>
        <v>3780</v>
      </c>
      <c r="N57" s="988">
        <f t="shared" ca="1" si="37"/>
        <v>1530</v>
      </c>
      <c r="O57" s="988">
        <f t="shared" ca="1" si="37"/>
        <v>1620</v>
      </c>
      <c r="P57" s="988">
        <f t="shared" ca="1" si="37"/>
        <v>675</v>
      </c>
      <c r="Q57" s="988">
        <f t="shared" ca="1" si="37"/>
        <v>675</v>
      </c>
      <c r="R57" s="988">
        <f t="shared" ca="1" si="37"/>
        <v>675</v>
      </c>
      <c r="S57" s="988">
        <f t="shared" ca="1" si="37"/>
        <v>675</v>
      </c>
      <c r="T57" s="988">
        <f t="shared" ca="1" si="37"/>
        <v>675</v>
      </c>
      <c r="U57" s="988">
        <f t="shared" ca="1" si="37"/>
        <v>2520</v>
      </c>
      <c r="V57" s="988">
        <f t="shared" ca="1" si="37"/>
        <v>675</v>
      </c>
      <c r="W57" s="988">
        <f t="shared" ca="1" si="37"/>
        <v>675</v>
      </c>
      <c r="X57" s="988">
        <f t="shared" ca="1" si="37"/>
        <v>675</v>
      </c>
      <c r="Y57" s="988">
        <f t="shared" ca="1" si="37"/>
        <v>2925</v>
      </c>
      <c r="Z57" s="988">
        <f t="shared" ca="1" si="37"/>
        <v>6075</v>
      </c>
      <c r="AA57" s="988">
        <f t="shared" ca="1" si="37"/>
        <v>1575</v>
      </c>
      <c r="AB57" s="988">
        <f t="shared" ca="1" si="37"/>
        <v>2520</v>
      </c>
      <c r="AC57" s="988">
        <f t="shared" ca="1" si="37"/>
        <v>1575</v>
      </c>
      <c r="AD57" s="988">
        <f t="shared" ca="1" si="37"/>
        <v>855</v>
      </c>
      <c r="AE57" s="988">
        <f t="shared" ca="1" si="37"/>
        <v>855</v>
      </c>
      <c r="AF57" s="988">
        <f t="shared" ca="1" si="37"/>
        <v>0</v>
      </c>
      <c r="AG57" s="988">
        <f t="shared" ca="1" si="37"/>
        <v>0</v>
      </c>
    </row>
    <row r="58" spans="1:33" s="878" customFormat="1" ht="17.25" customHeight="1" outlineLevel="2">
      <c r="A58" s="861"/>
      <c r="B58" s="861"/>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row>
    <row r="59" spans="1:33" ht="26.25" customHeight="1" outlineLevel="1">
      <c r="A59" s="861"/>
      <c r="B59" s="274">
        <v>2</v>
      </c>
      <c r="C59" s="274" t="s">
        <v>873</v>
      </c>
      <c r="D59" s="282"/>
      <c r="E59" s="282"/>
      <c r="F59" s="671" t="s">
        <v>212</v>
      </c>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row>
    <row r="60" spans="1:33" ht="17.25" customHeight="1" outlineLevel="2">
      <c r="A60" s="861"/>
      <c r="B60" s="861"/>
      <c r="C60" s="40" t="str">
        <f>"Payroll "&amp;Inputs!$C$116</f>
        <v>Payroll Research and Development Staff</v>
      </c>
      <c r="D60" s="8" t="str">
        <f>Currency_Label</f>
        <v>USD</v>
      </c>
      <c r="E60" s="282"/>
      <c r="F60" s="270" t="s">
        <v>250</v>
      </c>
      <c r="G60" s="282"/>
      <c r="H60" s="282"/>
      <c r="I60" s="71">
        <f t="shared" ref="I60:I72" si="38">SUMPRODUCT((J$6:AG$6),(J60:AG60))</f>
        <v>208827</v>
      </c>
      <c r="J60" s="70">
        <f>'Human Resources'!J67+'Human Resources'!J103+'Human Resources'!J144</f>
        <v>4125</v>
      </c>
      <c r="K60" s="70">
        <f>'Human Resources'!K67+'Human Resources'!K103+'Human Resources'!K144</f>
        <v>3825</v>
      </c>
      <c r="L60" s="70">
        <f>'Human Resources'!L67+'Human Resources'!L103+'Human Resources'!L144</f>
        <v>3825</v>
      </c>
      <c r="M60" s="70">
        <f>'Human Resources'!M67+'Human Resources'!M103+'Human Resources'!M144</f>
        <v>3825</v>
      </c>
      <c r="N60" s="70">
        <f>'Human Resources'!N67+'Human Resources'!N103+'Human Resources'!N144</f>
        <v>3825</v>
      </c>
      <c r="O60" s="70">
        <f>'Human Resources'!O67+'Human Resources'!O103+'Human Resources'!O144</f>
        <v>3825</v>
      </c>
      <c r="P60" s="70">
        <f>'Human Resources'!P67+'Human Resources'!P103+'Human Resources'!P144</f>
        <v>3825</v>
      </c>
      <c r="Q60" s="70">
        <f>'Human Resources'!Q67+'Human Resources'!Q103+'Human Resources'!Q144</f>
        <v>11549.999999999998</v>
      </c>
      <c r="R60" s="70">
        <f>'Human Resources'!R67+'Human Resources'!R103+'Human Resources'!R144</f>
        <v>10949.999999999998</v>
      </c>
      <c r="S60" s="70">
        <f>'Human Resources'!S67+'Human Resources'!S103+'Human Resources'!S144</f>
        <v>10949.999999999998</v>
      </c>
      <c r="T60" s="70">
        <f>'Human Resources'!T67+'Human Resources'!T103+'Human Resources'!T144</f>
        <v>10949.999999999998</v>
      </c>
      <c r="U60" s="70">
        <f>'Human Resources'!U67+'Human Resources'!U103+'Human Resources'!U144</f>
        <v>11055.000000000002</v>
      </c>
      <c r="V60" s="70">
        <f>'Human Resources'!V67+'Human Resources'!V103+'Human Resources'!V144</f>
        <v>11055.000000000002</v>
      </c>
      <c r="W60" s="70">
        <f>'Human Resources'!W67+'Human Resources'!W103+'Human Resources'!W144</f>
        <v>11055.000000000002</v>
      </c>
      <c r="X60" s="70">
        <f>'Human Resources'!X67+'Human Resources'!X103+'Human Resources'!X144</f>
        <v>11055.000000000002</v>
      </c>
      <c r="Y60" s="70">
        <f>'Human Resources'!Y67+'Human Resources'!Y103+'Human Resources'!Y144</f>
        <v>11055.000000000002</v>
      </c>
      <c r="Z60" s="70">
        <f>'Human Resources'!Z67+'Human Resources'!Z103+'Human Resources'!Z144</f>
        <v>11055.000000000002</v>
      </c>
      <c r="AA60" s="70">
        <f>'Human Resources'!AA67+'Human Resources'!AA103+'Human Resources'!AA144</f>
        <v>11055.000000000002</v>
      </c>
      <c r="AB60" s="70">
        <f>'Human Resources'!AB67+'Human Resources'!AB103+'Human Resources'!AB144</f>
        <v>15216.75</v>
      </c>
      <c r="AC60" s="70">
        <f>'Human Resources'!AC67+'Human Resources'!AC103+'Human Resources'!AC144</f>
        <v>14916.75</v>
      </c>
      <c r="AD60" s="70">
        <f>'Human Resources'!AD67+'Human Resources'!AD103+'Human Resources'!AD144</f>
        <v>14916.75</v>
      </c>
      <c r="AE60" s="70">
        <f>'Human Resources'!AE67+'Human Resources'!AE103+'Human Resources'!AE144</f>
        <v>14916.75</v>
      </c>
      <c r="AF60" s="70">
        <f>'Human Resources'!AF67+'Human Resources'!AF103+'Human Resources'!AF144</f>
        <v>0</v>
      </c>
      <c r="AG60" s="70">
        <f>'Human Resources'!AG67+'Human Resources'!AG103+'Human Resources'!AG144</f>
        <v>0</v>
      </c>
    </row>
    <row r="61" spans="1:33" ht="17.25" customHeight="1" outlineLevel="2">
      <c r="A61" s="861"/>
      <c r="B61" s="861"/>
      <c r="C61" s="625" t="s">
        <v>262</v>
      </c>
      <c r="D61" s="8" t="str">
        <f t="shared" ref="D61:D72" si="39">Currency_Label</f>
        <v>USD</v>
      </c>
      <c r="E61" s="282"/>
      <c r="F61" s="1063">
        <v>2</v>
      </c>
      <c r="G61" s="282"/>
      <c r="H61" s="282"/>
      <c r="I61" s="71">
        <f t="shared" si="38"/>
        <v>36707.37896263814</v>
      </c>
      <c r="J61" s="263">
        <v>1500</v>
      </c>
      <c r="K61" s="263">
        <f>J61*(1+1%)</f>
        <v>1515</v>
      </c>
      <c r="L61" s="263">
        <f t="shared" ref="L61:AG61" si="40">K61*(1+1%)</f>
        <v>1530.15</v>
      </c>
      <c r="M61" s="263">
        <f t="shared" si="40"/>
        <v>1545.4515000000001</v>
      </c>
      <c r="N61" s="263">
        <f t="shared" si="40"/>
        <v>1560.9060150000003</v>
      </c>
      <c r="O61" s="263">
        <f t="shared" si="40"/>
        <v>1576.5150751500003</v>
      </c>
      <c r="P61" s="263">
        <f t="shared" si="40"/>
        <v>1592.2802259015002</v>
      </c>
      <c r="Q61" s="263">
        <f t="shared" si="40"/>
        <v>1608.2030281605153</v>
      </c>
      <c r="R61" s="263">
        <f t="shared" si="40"/>
        <v>1624.2850584421203</v>
      </c>
      <c r="S61" s="263">
        <f t="shared" si="40"/>
        <v>1640.5279090265415</v>
      </c>
      <c r="T61" s="263">
        <f t="shared" si="40"/>
        <v>1656.9331881168068</v>
      </c>
      <c r="U61" s="263">
        <f t="shared" si="40"/>
        <v>1673.502519997975</v>
      </c>
      <c r="V61" s="263">
        <f t="shared" si="40"/>
        <v>1690.2375451979549</v>
      </c>
      <c r="W61" s="263">
        <f t="shared" si="40"/>
        <v>1707.1399206499345</v>
      </c>
      <c r="X61" s="263">
        <f t="shared" si="40"/>
        <v>1724.2113198564339</v>
      </c>
      <c r="Y61" s="263">
        <f t="shared" si="40"/>
        <v>1741.4534330549982</v>
      </c>
      <c r="Z61" s="263">
        <f t="shared" si="40"/>
        <v>1758.8679673855481</v>
      </c>
      <c r="AA61" s="263">
        <f t="shared" si="40"/>
        <v>1776.4566470594036</v>
      </c>
      <c r="AB61" s="263">
        <f t="shared" si="40"/>
        <v>1794.2212135299976</v>
      </c>
      <c r="AC61" s="263">
        <f t="shared" si="40"/>
        <v>1812.1634256652976</v>
      </c>
      <c r="AD61" s="263">
        <f t="shared" si="40"/>
        <v>1830.2850599219505</v>
      </c>
      <c r="AE61" s="263">
        <f t="shared" si="40"/>
        <v>1848.58791052117</v>
      </c>
      <c r="AF61" s="263">
        <f t="shared" si="40"/>
        <v>1867.0737896263818</v>
      </c>
      <c r="AG61" s="263">
        <f t="shared" si="40"/>
        <v>1885.7445275226455</v>
      </c>
    </row>
    <row r="62" spans="1:33" ht="17.25" customHeight="1" outlineLevel="2">
      <c r="A62" s="861"/>
      <c r="B62" s="861"/>
      <c r="C62" s="625" t="s">
        <v>264</v>
      </c>
      <c r="D62" s="8" t="str">
        <f t="shared" si="39"/>
        <v>USD</v>
      </c>
      <c r="E62" s="282"/>
      <c r="F62" s="1063"/>
      <c r="G62" s="282"/>
      <c r="H62" s="282"/>
      <c r="I62" s="71">
        <f t="shared" si="38"/>
        <v>0</v>
      </c>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row>
    <row r="63" spans="1:33" ht="17.25" customHeight="1" outlineLevel="2">
      <c r="A63" s="861"/>
      <c r="B63" s="861"/>
      <c r="C63" s="625" t="s">
        <v>263</v>
      </c>
      <c r="D63" s="8" t="str">
        <f t="shared" si="39"/>
        <v>USD</v>
      </c>
      <c r="E63" s="282"/>
      <c r="F63" s="1063"/>
      <c r="G63" s="282"/>
      <c r="H63" s="282"/>
      <c r="I63" s="71">
        <f t="shared" si="38"/>
        <v>0</v>
      </c>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row>
    <row r="64" spans="1:33" ht="17.25" customHeight="1" outlineLevel="2">
      <c r="A64" s="861"/>
      <c r="B64" s="861"/>
      <c r="C64" s="625" t="s">
        <v>252</v>
      </c>
      <c r="D64" s="8" t="str">
        <f t="shared" si="39"/>
        <v>USD</v>
      </c>
      <c r="E64" s="282"/>
      <c r="F64" s="1063"/>
      <c r="G64" s="282"/>
      <c r="H64" s="282"/>
      <c r="I64" s="71">
        <f t="shared" si="38"/>
        <v>0</v>
      </c>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row>
    <row r="65" spans="1:33" ht="17.25" customHeight="1" outlineLevel="2">
      <c r="A65" s="861"/>
      <c r="B65" s="861"/>
      <c r="C65" s="625" t="s">
        <v>254</v>
      </c>
      <c r="D65" s="8" t="str">
        <f t="shared" si="39"/>
        <v>USD</v>
      </c>
      <c r="E65" s="282"/>
      <c r="F65" s="1063"/>
      <c r="G65" s="282"/>
      <c r="H65" s="282"/>
      <c r="I65" s="71">
        <f t="shared" si="38"/>
        <v>0</v>
      </c>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row>
    <row r="66" spans="1:33" ht="17.25" customHeight="1" outlineLevel="2">
      <c r="A66" s="861"/>
      <c r="B66" s="861"/>
      <c r="C66" s="625" t="s">
        <v>253</v>
      </c>
      <c r="D66" s="8" t="str">
        <f t="shared" si="39"/>
        <v>USD</v>
      </c>
      <c r="E66" s="282"/>
      <c r="F66" s="1063"/>
      <c r="G66" s="282"/>
      <c r="H66" s="282"/>
      <c r="I66" s="71">
        <f t="shared" si="38"/>
        <v>0</v>
      </c>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row>
    <row r="67" spans="1:33" s="878" customFormat="1" ht="17.25" customHeight="1" outlineLevel="2">
      <c r="A67" s="861"/>
      <c r="B67" s="861"/>
      <c r="C67" s="625" t="s">
        <v>261</v>
      </c>
      <c r="D67" s="8" t="str">
        <f t="shared" si="39"/>
        <v>USD</v>
      </c>
      <c r="E67" s="861"/>
      <c r="F67" s="1063"/>
      <c r="G67" s="861"/>
      <c r="H67" s="861"/>
      <c r="I67" s="71">
        <f t="shared" si="38"/>
        <v>0</v>
      </c>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row>
    <row r="68" spans="1:33" s="878" customFormat="1" ht="17.25" customHeight="1" outlineLevel="2">
      <c r="A68" s="861"/>
      <c r="B68" s="861"/>
      <c r="C68" s="625" t="s">
        <v>875</v>
      </c>
      <c r="D68" s="8" t="str">
        <f t="shared" si="39"/>
        <v>USD</v>
      </c>
      <c r="E68" s="861"/>
      <c r="F68" s="1063"/>
      <c r="G68" s="861"/>
      <c r="H68" s="861"/>
      <c r="I68" s="71">
        <f t="shared" si="38"/>
        <v>0</v>
      </c>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row>
    <row r="69" spans="1:33" s="878" customFormat="1" ht="17.25" customHeight="1" outlineLevel="2">
      <c r="A69" s="861"/>
      <c r="B69" s="861"/>
      <c r="C69" s="625" t="s">
        <v>876</v>
      </c>
      <c r="D69" s="8" t="str">
        <f t="shared" si="39"/>
        <v>USD</v>
      </c>
      <c r="E69" s="861"/>
      <c r="F69" s="1063"/>
      <c r="G69" s="861"/>
      <c r="H69" s="861"/>
      <c r="I69" s="71">
        <f t="shared" si="38"/>
        <v>0</v>
      </c>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row>
    <row r="70" spans="1:33" s="878" customFormat="1" ht="17.25" customHeight="1" outlineLevel="2">
      <c r="A70" s="861"/>
      <c r="B70" s="861"/>
      <c r="C70" s="625" t="s">
        <v>877</v>
      </c>
      <c r="D70" s="8" t="str">
        <f t="shared" si="39"/>
        <v>USD</v>
      </c>
      <c r="E70" s="861"/>
      <c r="F70" s="1063"/>
      <c r="G70" s="861"/>
      <c r="H70" s="861"/>
      <c r="I70" s="71">
        <f t="shared" si="38"/>
        <v>0</v>
      </c>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row>
    <row r="71" spans="1:33" s="878" customFormat="1" ht="17.25" customHeight="1" outlineLevel="2">
      <c r="A71" s="861"/>
      <c r="B71" s="861"/>
      <c r="C71" s="625" t="s">
        <v>878</v>
      </c>
      <c r="D71" s="8" t="str">
        <f t="shared" si="39"/>
        <v>USD</v>
      </c>
      <c r="E71" s="861"/>
      <c r="F71" s="1063"/>
      <c r="G71" s="861"/>
      <c r="H71" s="861"/>
      <c r="I71" s="71">
        <f t="shared" si="38"/>
        <v>0</v>
      </c>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row>
    <row r="72" spans="1:33" ht="17.25" customHeight="1" outlineLevel="2">
      <c r="A72" s="861"/>
      <c r="B72" s="861"/>
      <c r="C72" s="625" t="s">
        <v>879</v>
      </c>
      <c r="D72" s="8" t="str">
        <f t="shared" si="39"/>
        <v>USD</v>
      </c>
      <c r="E72" s="861"/>
      <c r="F72" s="1063"/>
      <c r="G72" s="861"/>
      <c r="H72" s="861"/>
      <c r="I72" s="71">
        <f t="shared" si="38"/>
        <v>0</v>
      </c>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row>
    <row r="73" spans="1:33" ht="17.25" customHeight="1" outlineLevel="2">
      <c r="A73" s="861"/>
      <c r="B73" s="861"/>
      <c r="C73" s="75" t="str">
        <f>"   Subtotal "&amp;C60</f>
        <v xml:space="preserve">   Subtotal Payroll Research and Development Staff</v>
      </c>
      <c r="D73" s="8" t="str">
        <f>Currency_Label</f>
        <v>USD</v>
      </c>
      <c r="E73" s="36"/>
      <c r="F73" s="36"/>
      <c r="G73" s="36"/>
      <c r="H73" s="36"/>
      <c r="I73" s="71">
        <f>SUM(J73:AG73)</f>
        <v>245534.37896263812</v>
      </c>
      <c r="J73" s="690">
        <f>SUM(J60:J72)*J$6</f>
        <v>5625</v>
      </c>
      <c r="K73" s="690">
        <f t="shared" ref="K73:AG73" si="41">SUM(K60:K72)*K$6</f>
        <v>5340</v>
      </c>
      <c r="L73" s="690">
        <f t="shared" si="41"/>
        <v>5355.15</v>
      </c>
      <c r="M73" s="690">
        <f t="shared" si="41"/>
        <v>5370.4515000000001</v>
      </c>
      <c r="N73" s="690">
        <f t="shared" si="41"/>
        <v>5385.9060150000005</v>
      </c>
      <c r="O73" s="690">
        <f t="shared" si="41"/>
        <v>5401.5150751500005</v>
      </c>
      <c r="P73" s="690">
        <f t="shared" si="41"/>
        <v>5417.2802259015007</v>
      </c>
      <c r="Q73" s="690">
        <f t="shared" si="41"/>
        <v>13158.203028160513</v>
      </c>
      <c r="R73" s="690">
        <f t="shared" si="41"/>
        <v>12574.285058442118</v>
      </c>
      <c r="S73" s="690">
        <f t="shared" si="41"/>
        <v>12590.527909026539</v>
      </c>
      <c r="T73" s="690">
        <f t="shared" si="41"/>
        <v>12606.933188116805</v>
      </c>
      <c r="U73" s="690">
        <f t="shared" si="41"/>
        <v>12728.502519997977</v>
      </c>
      <c r="V73" s="690">
        <f t="shared" si="41"/>
        <v>12745.237545197957</v>
      </c>
      <c r="W73" s="690">
        <f t="shared" si="41"/>
        <v>12762.139920649937</v>
      </c>
      <c r="X73" s="690">
        <f t="shared" si="41"/>
        <v>12779.211319856437</v>
      </c>
      <c r="Y73" s="690">
        <f t="shared" si="41"/>
        <v>12796.453433055</v>
      </c>
      <c r="Z73" s="690">
        <f t="shared" si="41"/>
        <v>12813.867967385549</v>
      </c>
      <c r="AA73" s="690">
        <f t="shared" si="41"/>
        <v>12831.456647059405</v>
      </c>
      <c r="AB73" s="690">
        <f t="shared" si="41"/>
        <v>17010.971213529996</v>
      </c>
      <c r="AC73" s="690">
        <f t="shared" si="41"/>
        <v>16728.913425665298</v>
      </c>
      <c r="AD73" s="690">
        <f t="shared" si="41"/>
        <v>16747.035059921949</v>
      </c>
      <c r="AE73" s="690">
        <f t="shared" si="41"/>
        <v>16765.337910521172</v>
      </c>
      <c r="AF73" s="690">
        <f t="shared" si="41"/>
        <v>0</v>
      </c>
      <c r="AG73" s="690">
        <f t="shared" si="41"/>
        <v>0</v>
      </c>
    </row>
    <row r="74" spans="1:33" ht="17.25" customHeight="1" outlineLevel="2">
      <c r="A74" s="861"/>
      <c r="B74" s="861"/>
      <c r="C74" s="861"/>
      <c r="D74" s="861"/>
      <c r="E74" s="861"/>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row>
    <row r="75" spans="1:33" ht="26.25" customHeight="1" outlineLevel="1">
      <c r="A75" s="861"/>
      <c r="B75" s="274">
        <v>3</v>
      </c>
      <c r="C75" s="274" t="s">
        <v>874</v>
      </c>
      <c r="D75" s="282"/>
      <c r="E75" s="282"/>
      <c r="F75" s="671" t="s">
        <v>212</v>
      </c>
      <c r="G75" s="28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row>
    <row r="76" spans="1:33" s="878" customFormat="1" ht="17.25" customHeight="1" outlineLevel="2">
      <c r="A76" s="861"/>
      <c r="B76" s="274"/>
      <c r="C76" s="40" t="str">
        <f>"Payroll "&amp;Inputs!$C$126</f>
        <v>Payroll General and Administration Staff</v>
      </c>
      <c r="D76" s="8" t="str">
        <f>Currency_Label</f>
        <v>USD</v>
      </c>
      <c r="E76" s="861"/>
      <c r="F76" s="270" t="s">
        <v>250</v>
      </c>
      <c r="G76" s="861"/>
      <c r="H76" s="861"/>
      <c r="I76" s="71">
        <f t="shared" ref="I76:I88" si="42">SUMPRODUCT((J$6:AG$6),(J76:AG76))</f>
        <v>208189.50000000003</v>
      </c>
      <c r="J76" s="70">
        <f>'Human Resources'!J78+'Human Resources'!J114+'Human Resources'!J153</f>
        <v>4454.166666666667</v>
      </c>
      <c r="K76" s="70">
        <f>'Human Resources'!K78+'Human Resources'!K114+'Human Resources'!K153</f>
        <v>4204.166666666667</v>
      </c>
      <c r="L76" s="70">
        <f>'Human Resources'!L78+'Human Resources'!L114+'Human Resources'!L153</f>
        <v>4204.166666666667</v>
      </c>
      <c r="M76" s="70">
        <f>'Human Resources'!M78+'Human Resources'!M114+'Human Resources'!M153</f>
        <v>4204.166666666667</v>
      </c>
      <c r="N76" s="70">
        <f>'Human Resources'!N78+'Human Resources'!N114+'Human Resources'!N153</f>
        <v>4204.166666666667</v>
      </c>
      <c r="O76" s="70">
        <f>'Human Resources'!O78+'Human Resources'!O114+'Human Resources'!O153</f>
        <v>8658.3333333333339</v>
      </c>
      <c r="P76" s="70">
        <f>'Human Resources'!P78+'Human Resources'!P114+'Human Resources'!P153</f>
        <v>8408.3333333333339</v>
      </c>
      <c r="Q76" s="70">
        <f>'Human Resources'!Q78+'Human Resources'!Q114+'Human Resources'!Q153</f>
        <v>8408.3333333333339</v>
      </c>
      <c r="R76" s="70">
        <f>'Human Resources'!R78+'Human Resources'!R114+'Human Resources'!R153</f>
        <v>8408.3333333333339</v>
      </c>
      <c r="S76" s="70">
        <f>'Human Resources'!S78+'Human Resources'!S114+'Human Resources'!S153</f>
        <v>8408.3333333333339</v>
      </c>
      <c r="T76" s="70">
        <f>'Human Resources'!T78+'Human Resources'!T114+'Human Resources'!T153</f>
        <v>8408.3333333333339</v>
      </c>
      <c r="U76" s="70">
        <f>'Human Resources'!U78+'Human Resources'!U114+'Human Resources'!U153</f>
        <v>8482.4166666666661</v>
      </c>
      <c r="V76" s="70">
        <f>'Human Resources'!V78+'Human Resources'!V114+'Human Resources'!V153</f>
        <v>8482.4166666666661</v>
      </c>
      <c r="W76" s="70">
        <f>'Human Resources'!W78+'Human Resources'!W114+'Human Resources'!W153</f>
        <v>12973.625</v>
      </c>
      <c r="X76" s="70">
        <f>'Human Resources'!X78+'Human Resources'!X114+'Human Resources'!X153</f>
        <v>12723.625</v>
      </c>
      <c r="Y76" s="70">
        <f>'Human Resources'!Y78+'Human Resources'!Y114+'Human Resources'!Y153</f>
        <v>12723.625</v>
      </c>
      <c r="Z76" s="70">
        <f>'Human Resources'!Z78+'Human Resources'!Z114+'Human Resources'!Z153</f>
        <v>12723.625</v>
      </c>
      <c r="AA76" s="70">
        <f>'Human Resources'!AA78+'Human Resources'!AA114+'Human Resources'!AA153</f>
        <v>12723.625</v>
      </c>
      <c r="AB76" s="70">
        <f>'Human Resources'!AB78+'Human Resources'!AB114+'Human Resources'!AB153</f>
        <v>12723.625</v>
      </c>
      <c r="AC76" s="70">
        <f>'Human Resources'!AC78+'Human Resources'!AC114+'Human Resources'!AC153</f>
        <v>12723.625</v>
      </c>
      <c r="AD76" s="70">
        <f>'Human Resources'!AD78+'Human Resources'!AD114+'Human Resources'!AD153</f>
        <v>12723.625</v>
      </c>
      <c r="AE76" s="70">
        <f>'Human Resources'!AE78+'Human Resources'!AE114+'Human Resources'!AE153</f>
        <v>17214.833333333332</v>
      </c>
      <c r="AF76" s="70">
        <f>'Human Resources'!AF78+'Human Resources'!AF114+'Human Resources'!AF153</f>
        <v>0</v>
      </c>
      <c r="AG76" s="70">
        <f>'Human Resources'!AG78+'Human Resources'!AG114+'Human Resources'!AG153</f>
        <v>0</v>
      </c>
    </row>
    <row r="77" spans="1:33" ht="17.25" customHeight="1" outlineLevel="2">
      <c r="A77" s="861"/>
      <c r="B77" s="861"/>
      <c r="C77" s="625" t="s">
        <v>255</v>
      </c>
      <c r="D77" s="8" t="str">
        <f t="shared" ref="D77:D88" si="43">Currency_Label</f>
        <v>USD</v>
      </c>
      <c r="E77" s="282"/>
      <c r="F77" s="1063">
        <v>1</v>
      </c>
      <c r="G77" s="282"/>
      <c r="H77" s="282"/>
      <c r="I77" s="71">
        <f t="shared" si="42"/>
        <v>72000</v>
      </c>
      <c r="J77" s="263">
        <v>3000</v>
      </c>
      <c r="K77" s="263">
        <v>3000</v>
      </c>
      <c r="L77" s="263">
        <v>3000</v>
      </c>
      <c r="M77" s="263">
        <v>3000</v>
      </c>
      <c r="N77" s="263">
        <v>3000</v>
      </c>
      <c r="O77" s="263">
        <v>3000</v>
      </c>
      <c r="P77" s="263">
        <v>3000</v>
      </c>
      <c r="Q77" s="263">
        <v>3000</v>
      </c>
      <c r="R77" s="263">
        <v>3000</v>
      </c>
      <c r="S77" s="263">
        <v>3000</v>
      </c>
      <c r="T77" s="263">
        <v>3000</v>
      </c>
      <c r="U77" s="263">
        <v>3000</v>
      </c>
      <c r="V77" s="263">
        <v>3000</v>
      </c>
      <c r="W77" s="263">
        <v>3000</v>
      </c>
      <c r="X77" s="263">
        <v>3000</v>
      </c>
      <c r="Y77" s="263">
        <v>3000</v>
      </c>
      <c r="Z77" s="263">
        <v>4000</v>
      </c>
      <c r="AA77" s="263">
        <v>4000</v>
      </c>
      <c r="AB77" s="263">
        <v>4000</v>
      </c>
      <c r="AC77" s="263">
        <v>4000</v>
      </c>
      <c r="AD77" s="263">
        <v>4000</v>
      </c>
      <c r="AE77" s="263">
        <v>4000</v>
      </c>
      <c r="AF77" s="263">
        <v>4000</v>
      </c>
      <c r="AG77" s="263">
        <v>4000</v>
      </c>
    </row>
    <row r="78" spans="1:33" ht="17.25" customHeight="1" outlineLevel="2">
      <c r="A78" s="861"/>
      <c r="B78" s="861"/>
      <c r="C78" s="625" t="s">
        <v>886</v>
      </c>
      <c r="D78" s="8" t="str">
        <f t="shared" si="43"/>
        <v>USD</v>
      </c>
      <c r="E78" s="282"/>
      <c r="F78" s="1063">
        <v>1</v>
      </c>
      <c r="G78" s="282"/>
      <c r="H78" s="282"/>
      <c r="I78" s="71">
        <f t="shared" si="42"/>
        <v>21600</v>
      </c>
      <c r="J78" s="263">
        <f>J77*0.3</f>
        <v>900</v>
      </c>
      <c r="K78" s="263">
        <f t="shared" ref="K78:AG78" si="44">K77*0.3</f>
        <v>900</v>
      </c>
      <c r="L78" s="263">
        <f t="shared" si="44"/>
        <v>900</v>
      </c>
      <c r="M78" s="263">
        <f t="shared" si="44"/>
        <v>900</v>
      </c>
      <c r="N78" s="263">
        <f t="shared" si="44"/>
        <v>900</v>
      </c>
      <c r="O78" s="263">
        <f t="shared" si="44"/>
        <v>900</v>
      </c>
      <c r="P78" s="263">
        <f t="shared" si="44"/>
        <v>900</v>
      </c>
      <c r="Q78" s="263">
        <f t="shared" si="44"/>
        <v>900</v>
      </c>
      <c r="R78" s="263">
        <f t="shared" si="44"/>
        <v>900</v>
      </c>
      <c r="S78" s="263">
        <f t="shared" si="44"/>
        <v>900</v>
      </c>
      <c r="T78" s="263">
        <f t="shared" si="44"/>
        <v>900</v>
      </c>
      <c r="U78" s="263">
        <f t="shared" si="44"/>
        <v>900</v>
      </c>
      <c r="V78" s="263">
        <f t="shared" si="44"/>
        <v>900</v>
      </c>
      <c r="W78" s="263">
        <f t="shared" si="44"/>
        <v>900</v>
      </c>
      <c r="X78" s="263">
        <f t="shared" si="44"/>
        <v>900</v>
      </c>
      <c r="Y78" s="263">
        <f t="shared" si="44"/>
        <v>900</v>
      </c>
      <c r="Z78" s="263">
        <f t="shared" si="44"/>
        <v>1200</v>
      </c>
      <c r="AA78" s="263">
        <f t="shared" si="44"/>
        <v>1200</v>
      </c>
      <c r="AB78" s="263">
        <f t="shared" si="44"/>
        <v>1200</v>
      </c>
      <c r="AC78" s="263">
        <f t="shared" si="44"/>
        <v>1200</v>
      </c>
      <c r="AD78" s="263">
        <f t="shared" si="44"/>
        <v>1200</v>
      </c>
      <c r="AE78" s="263">
        <f t="shared" si="44"/>
        <v>1200</v>
      </c>
      <c r="AF78" s="263">
        <f t="shared" si="44"/>
        <v>1200</v>
      </c>
      <c r="AG78" s="263">
        <f t="shared" si="44"/>
        <v>1200</v>
      </c>
    </row>
    <row r="79" spans="1:33" ht="17.25" customHeight="1" outlineLevel="2">
      <c r="A79" s="861"/>
      <c r="B79" s="861"/>
      <c r="C79" s="625" t="s">
        <v>256</v>
      </c>
      <c r="D79" s="8" t="str">
        <f t="shared" si="43"/>
        <v>USD</v>
      </c>
      <c r="E79" s="282"/>
      <c r="F79" s="1063">
        <v>2</v>
      </c>
      <c r="G79" s="282"/>
      <c r="H79" s="282"/>
      <c r="I79" s="71">
        <f t="shared" si="42"/>
        <v>6000</v>
      </c>
      <c r="J79" s="263"/>
      <c r="K79" s="263"/>
      <c r="L79" s="263"/>
      <c r="M79" s="263"/>
      <c r="N79" s="263">
        <v>1500</v>
      </c>
      <c r="O79" s="263"/>
      <c r="P79" s="263"/>
      <c r="Q79" s="263"/>
      <c r="R79" s="263"/>
      <c r="S79" s="263">
        <v>1500</v>
      </c>
      <c r="T79" s="263"/>
      <c r="U79" s="263"/>
      <c r="V79" s="263"/>
      <c r="W79" s="263"/>
      <c r="X79" s="263">
        <v>1500</v>
      </c>
      <c r="Y79" s="263"/>
      <c r="Z79" s="263"/>
      <c r="AA79" s="263"/>
      <c r="AB79" s="263"/>
      <c r="AC79" s="263">
        <v>1500</v>
      </c>
      <c r="AD79" s="263"/>
      <c r="AE79" s="263"/>
      <c r="AF79" s="263"/>
      <c r="AG79" s="263"/>
    </row>
    <row r="80" spans="1:33" ht="17.25" customHeight="1" outlineLevel="2">
      <c r="A80" s="861"/>
      <c r="B80" s="861"/>
      <c r="C80" s="625" t="s">
        <v>257</v>
      </c>
      <c r="D80" s="8" t="str">
        <f t="shared" si="43"/>
        <v>USD</v>
      </c>
      <c r="E80" s="282"/>
      <c r="F80" s="1063"/>
      <c r="G80" s="282"/>
      <c r="H80" s="282"/>
      <c r="I80" s="71">
        <f t="shared" si="42"/>
        <v>0</v>
      </c>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row>
    <row r="81" spans="1:33" ht="17.25" customHeight="1" outlineLevel="2">
      <c r="A81" s="861"/>
      <c r="B81" s="861"/>
      <c r="C81" s="625" t="s">
        <v>887</v>
      </c>
      <c r="D81" s="8" t="str">
        <f t="shared" si="43"/>
        <v>USD</v>
      </c>
      <c r="E81" s="282"/>
      <c r="F81" s="1063"/>
      <c r="G81" s="282"/>
      <c r="H81" s="282"/>
      <c r="I81" s="71">
        <f t="shared" si="42"/>
        <v>0</v>
      </c>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row>
    <row r="82" spans="1:33" ht="17.25" customHeight="1" outlineLevel="2">
      <c r="A82" s="861"/>
      <c r="B82" s="861"/>
      <c r="C82" s="625" t="s">
        <v>251</v>
      </c>
      <c r="D82" s="8" t="str">
        <f t="shared" si="43"/>
        <v>USD</v>
      </c>
      <c r="E82" s="282"/>
      <c r="F82" s="1063"/>
      <c r="G82" s="282"/>
      <c r="H82" s="282"/>
      <c r="I82" s="71">
        <f t="shared" si="42"/>
        <v>0</v>
      </c>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row>
    <row r="83" spans="1:33" ht="17.25" customHeight="1" outlineLevel="2">
      <c r="A83" s="861"/>
      <c r="B83" s="861"/>
      <c r="C83" s="625" t="s">
        <v>259</v>
      </c>
      <c r="D83" s="8" t="str">
        <f t="shared" si="43"/>
        <v>USD</v>
      </c>
      <c r="E83" s="282"/>
      <c r="F83" s="1063"/>
      <c r="G83" s="282"/>
      <c r="H83" s="282"/>
      <c r="I83" s="71">
        <f t="shared" si="42"/>
        <v>0</v>
      </c>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row>
    <row r="84" spans="1:33" ht="17.25" customHeight="1" outlineLevel="2">
      <c r="A84" s="861"/>
      <c r="B84" s="861"/>
      <c r="C84" s="625" t="s">
        <v>880</v>
      </c>
      <c r="D84" s="8" t="str">
        <f t="shared" si="43"/>
        <v>USD</v>
      </c>
      <c r="E84" s="282"/>
      <c r="F84" s="1063"/>
      <c r="G84" s="282"/>
      <c r="H84" s="282"/>
      <c r="I84" s="71">
        <f t="shared" si="42"/>
        <v>0</v>
      </c>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row>
    <row r="85" spans="1:33" ht="17.25" customHeight="1" outlineLevel="2">
      <c r="A85" s="861"/>
      <c r="B85" s="861"/>
      <c r="C85" s="625" t="s">
        <v>258</v>
      </c>
      <c r="D85" s="8" t="str">
        <f t="shared" si="43"/>
        <v>USD</v>
      </c>
      <c r="E85" s="282"/>
      <c r="F85" s="1063"/>
      <c r="G85" s="282"/>
      <c r="H85" s="282"/>
      <c r="I85" s="71">
        <f t="shared" si="42"/>
        <v>0</v>
      </c>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row>
    <row r="86" spans="1:33" s="878" customFormat="1" ht="17.25" customHeight="1" outlineLevel="2">
      <c r="A86" s="861"/>
      <c r="B86" s="861"/>
      <c r="C86" s="905" t="s">
        <v>881</v>
      </c>
      <c r="D86" s="8" t="str">
        <f t="shared" si="43"/>
        <v>USD</v>
      </c>
      <c r="E86" s="861"/>
      <c r="F86" s="1063"/>
      <c r="G86" s="861"/>
      <c r="H86" s="861"/>
      <c r="I86" s="71">
        <f t="shared" si="42"/>
        <v>0</v>
      </c>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row>
    <row r="87" spans="1:33" s="878" customFormat="1" ht="17.25" customHeight="1" outlineLevel="2">
      <c r="A87" s="861"/>
      <c r="B87" s="861"/>
      <c r="C87" s="625" t="s">
        <v>260</v>
      </c>
      <c r="D87" s="8" t="str">
        <f t="shared" si="43"/>
        <v>USD</v>
      </c>
      <c r="E87" s="861"/>
      <c r="F87" s="1063"/>
      <c r="G87" s="861"/>
      <c r="H87" s="861"/>
      <c r="I87" s="71">
        <f t="shared" si="42"/>
        <v>0</v>
      </c>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row>
    <row r="88" spans="1:33" ht="17.25" customHeight="1" outlineLevel="2">
      <c r="A88" s="861"/>
      <c r="B88" s="861"/>
      <c r="C88" s="625" t="s">
        <v>252</v>
      </c>
      <c r="D88" s="8" t="str">
        <f t="shared" si="43"/>
        <v>USD</v>
      </c>
      <c r="E88" s="861"/>
      <c r="F88" s="1063"/>
      <c r="G88" s="861"/>
      <c r="H88" s="861"/>
      <c r="I88" s="71">
        <f t="shared" si="42"/>
        <v>0</v>
      </c>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row>
    <row r="89" spans="1:33" ht="17.25" customHeight="1" outlineLevel="2">
      <c r="A89" s="861"/>
      <c r="B89" s="861"/>
      <c r="C89" s="75" t="str">
        <f>"   Subtotal "&amp;C75</f>
        <v xml:space="preserve">   Subtotal General and Administration Costs</v>
      </c>
      <c r="D89" s="8" t="str">
        <f>Currency_Label</f>
        <v>USD</v>
      </c>
      <c r="E89" s="36"/>
      <c r="F89" s="36"/>
      <c r="G89" s="36"/>
      <c r="H89" s="36"/>
      <c r="I89" s="71">
        <f>SUM(J89:AG89)</f>
        <v>307789.49999999994</v>
      </c>
      <c r="J89" s="690">
        <f>SUM(J76:J88)*J$6</f>
        <v>8354.1666666666679</v>
      </c>
      <c r="K89" s="690">
        <f t="shared" ref="K89:AG89" si="45">SUM(K76:K88)*K$6</f>
        <v>8104.166666666667</v>
      </c>
      <c r="L89" s="690">
        <f t="shared" si="45"/>
        <v>8104.166666666667</v>
      </c>
      <c r="M89" s="690">
        <f t="shared" si="45"/>
        <v>8104.166666666667</v>
      </c>
      <c r="N89" s="690">
        <f t="shared" si="45"/>
        <v>9604.1666666666679</v>
      </c>
      <c r="O89" s="690">
        <f t="shared" si="45"/>
        <v>12558.333333333334</v>
      </c>
      <c r="P89" s="690">
        <f t="shared" si="45"/>
        <v>12308.333333333334</v>
      </c>
      <c r="Q89" s="690">
        <f t="shared" si="45"/>
        <v>12308.333333333334</v>
      </c>
      <c r="R89" s="690">
        <f t="shared" si="45"/>
        <v>12308.333333333334</v>
      </c>
      <c r="S89" s="690">
        <f t="shared" si="45"/>
        <v>13808.333333333334</v>
      </c>
      <c r="T89" s="690">
        <f t="shared" si="45"/>
        <v>12308.333333333334</v>
      </c>
      <c r="U89" s="690">
        <f t="shared" si="45"/>
        <v>12382.416666666666</v>
      </c>
      <c r="V89" s="690">
        <f t="shared" si="45"/>
        <v>12382.416666666666</v>
      </c>
      <c r="W89" s="690">
        <f t="shared" si="45"/>
        <v>16873.625</v>
      </c>
      <c r="X89" s="690">
        <f t="shared" si="45"/>
        <v>18123.625</v>
      </c>
      <c r="Y89" s="690">
        <f t="shared" si="45"/>
        <v>16623.625</v>
      </c>
      <c r="Z89" s="690">
        <f t="shared" si="45"/>
        <v>17923.625</v>
      </c>
      <c r="AA89" s="690">
        <f t="shared" si="45"/>
        <v>17923.625</v>
      </c>
      <c r="AB89" s="690">
        <f t="shared" si="45"/>
        <v>17923.625</v>
      </c>
      <c r="AC89" s="690">
        <f t="shared" si="45"/>
        <v>19423.625</v>
      </c>
      <c r="AD89" s="690">
        <f t="shared" si="45"/>
        <v>17923.625</v>
      </c>
      <c r="AE89" s="690">
        <f t="shared" si="45"/>
        <v>22414.833333333332</v>
      </c>
      <c r="AF89" s="690">
        <f t="shared" si="45"/>
        <v>0</v>
      </c>
      <c r="AG89" s="690">
        <f t="shared" si="45"/>
        <v>0</v>
      </c>
    </row>
    <row r="90" spans="1:33" ht="17.25" customHeight="1" outlineLevel="2">
      <c r="A90" s="861"/>
      <c r="B90" s="861"/>
      <c r="C90" s="861"/>
      <c r="D90" s="861"/>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row>
    <row r="91" spans="1:33" ht="17.25" customHeight="1" outlineLevel="2" thickBot="1">
      <c r="A91" s="861"/>
      <c r="B91" s="861"/>
      <c r="C91" s="262" t="str">
        <f>CHOOSE(language,"Total Overheads","Total Overhead Expenses")</f>
        <v>Total Overhead Expenses</v>
      </c>
      <c r="D91" s="398" t="str">
        <f>Currency_Label</f>
        <v>USD</v>
      </c>
      <c r="E91" s="36"/>
      <c r="F91" s="36"/>
      <c r="G91" s="36"/>
      <c r="H91" s="36"/>
      <c r="I91" s="71">
        <f ca="1">SUM(J91:AG91)</f>
        <v>978964.75367187057</v>
      </c>
      <c r="J91" s="686">
        <f t="shared" ref="J91:AG91" ca="1" si="46">J25+J73+J89</f>
        <v>18928.628888888888</v>
      </c>
      <c r="K91" s="686">
        <f t="shared" ca="1" si="46"/>
        <v>21695.317777777778</v>
      </c>
      <c r="L91" s="686">
        <f t="shared" ca="1" si="46"/>
        <v>29220.745555555553</v>
      </c>
      <c r="M91" s="686">
        <f t="shared" ca="1" si="46"/>
        <v>25767.590611111111</v>
      </c>
      <c r="N91" s="686">
        <f t="shared" ca="1" si="46"/>
        <v>25945.016903888893</v>
      </c>
      <c r="O91" s="686">
        <f t="shared" ca="1" si="46"/>
        <v>30211.048879594447</v>
      </c>
      <c r="P91" s="686">
        <f t="shared" ca="1" si="46"/>
        <v>30089.744129190396</v>
      </c>
      <c r="Q91" s="686">
        <f t="shared" ca="1" si="46"/>
        <v>39091.572390247631</v>
      </c>
      <c r="R91" s="686">
        <f t="shared" ca="1" si="46"/>
        <v>39807.411417679381</v>
      </c>
      <c r="S91" s="686">
        <f t="shared" ca="1" si="46"/>
        <v>42355.749725299967</v>
      </c>
      <c r="T91" s="686">
        <f t="shared" ca="1" si="46"/>
        <v>42121.478387507836</v>
      </c>
      <c r="U91" s="686">
        <f t="shared" ca="1" si="46"/>
        <v>45811.590666783675</v>
      </c>
      <c r="V91" s="686">
        <f t="shared" ca="1" si="46"/>
        <v>44848.019834714425</v>
      </c>
      <c r="W91" s="686">
        <f t="shared" ca="1" si="46"/>
        <v>50606.705871554368</v>
      </c>
      <c r="X91" s="686">
        <f t="shared" ca="1" si="46"/>
        <v>53136.690186288877</v>
      </c>
      <c r="Y91" s="686">
        <f t="shared" ca="1" si="46"/>
        <v>55277.650288977326</v>
      </c>
      <c r="Z91" s="686">
        <f t="shared" ca="1" si="46"/>
        <v>61371.502615691672</v>
      </c>
      <c r="AA91" s="686">
        <f t="shared" ca="1" si="46"/>
        <v>57687.757622748599</v>
      </c>
      <c r="AB91" s="686">
        <f t="shared" ca="1" si="46"/>
        <v>64121.293607104693</v>
      </c>
      <c r="AC91" s="686">
        <f t="shared" ca="1" si="46"/>
        <v>65626.003197346668</v>
      </c>
      <c r="AD91" s="686">
        <f t="shared" ca="1" si="46"/>
        <v>64712.274232002368</v>
      </c>
      <c r="AE91" s="686">
        <f t="shared" ca="1" si="46"/>
        <v>70530.960881916093</v>
      </c>
      <c r="AF91" s="686">
        <f t="shared" ca="1" si="46"/>
        <v>0</v>
      </c>
      <c r="AG91" s="686">
        <f t="shared" ca="1" si="46"/>
        <v>0</v>
      </c>
    </row>
    <row r="92" spans="1:33" ht="17.25" customHeight="1" outlineLevel="2" thickTop="1">
      <c r="A92" s="861"/>
      <c r="B92" s="861"/>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row>
    <row r="93" spans="1:33" ht="17.25" customHeight="1" outlineLevel="2">
      <c r="A93" s="861"/>
      <c r="B93" s="861"/>
      <c r="C93" s="274" t="str">
        <f>CHOOSE(language,Name_VAT &amp;" on Overheads",Name_VAT &amp;" on Overhead Expenses")</f>
        <v>VAT on Overhead Expenses</v>
      </c>
      <c r="D93" s="282"/>
      <c r="E93" s="282"/>
      <c r="F93" s="282"/>
      <c r="G93" s="517"/>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row>
    <row r="94" spans="1:33" ht="17.25" customHeight="1" outlineLevel="2">
      <c r="A94" s="861"/>
      <c r="B94" s="861"/>
      <c r="C94" s="24" t="str">
        <f>CHOOSE(language,"Total Overheads (w/o payroll expenses)","Total Overhead Expenses (w/o payroll expenses)")</f>
        <v>Total Overhead Expenses (w/o payroll expenses)</v>
      </c>
      <c r="D94" s="398" t="str">
        <f>Currency_Label</f>
        <v>USD</v>
      </c>
      <c r="E94" s="282" t="s">
        <v>213</v>
      </c>
      <c r="F94" s="282"/>
      <c r="G94" s="517" t="str">
        <f>Name_VAT &amp; " Rate"</f>
        <v>VAT Rate</v>
      </c>
      <c r="H94" s="282"/>
      <c r="I94" s="71">
        <f ca="1">SUM(J94:AG94)</f>
        <v>217558.81343166128</v>
      </c>
      <c r="J94" s="674">
        <f t="shared" ref="J94:AG94" ca="1" si="47">J91-J12-J60-J76</f>
        <v>7529.9999999999991</v>
      </c>
      <c r="K94" s="674">
        <f t="shared" ca="1" si="47"/>
        <v>9125</v>
      </c>
      <c r="L94" s="674">
        <f t="shared" ca="1" si="47"/>
        <v>15205.149999999998</v>
      </c>
      <c r="M94" s="674">
        <f t="shared" ca="1" si="47"/>
        <v>10763.451499999999</v>
      </c>
      <c r="N94" s="674">
        <f t="shared" ca="1" si="47"/>
        <v>9823.6260150000016</v>
      </c>
      <c r="O94" s="674">
        <f t="shared" ca="1" si="47"/>
        <v>8485.7438751500031</v>
      </c>
      <c r="P94" s="674">
        <f t="shared" ca="1" si="47"/>
        <v>7499.8781779015062</v>
      </c>
      <c r="Q94" s="674">
        <f t="shared" ca="1" si="47"/>
        <v>7566.1048982405155</v>
      </c>
      <c r="R94" s="674">
        <f t="shared" ca="1" si="47"/>
        <v>7634.503003325317</v>
      </c>
      <c r="S94" s="674">
        <f t="shared" ca="1" si="47"/>
        <v>9205.1545717050703</v>
      </c>
      <c r="T94" s="674">
        <f t="shared" ca="1" si="47"/>
        <v>7778.1449173024776</v>
      </c>
      <c r="U94" s="674">
        <f t="shared" ca="1" si="47"/>
        <v>9903.5627183510715</v>
      </c>
      <c r="V94" s="674">
        <f t="shared" ca="1" si="47"/>
        <v>7931.500151485181</v>
      </c>
      <c r="W94" s="674">
        <f t="shared" ca="1" si="47"/>
        <v>8012.0530311886469</v>
      </c>
      <c r="X94" s="674">
        <f t="shared" ca="1" si="47"/>
        <v>9595.3209548166924</v>
      </c>
      <c r="Y94" s="674">
        <f t="shared" ca="1" si="47"/>
        <v>10681.407453413667</v>
      </c>
      <c r="Z94" s="674">
        <f t="shared" ca="1" si="47"/>
        <v>15570.420148558565</v>
      </c>
      <c r="AA94" s="674">
        <f t="shared" ca="1" si="47"/>
        <v>10662.470915479338</v>
      </c>
      <c r="AB94" s="674">
        <f t="shared" ca="1" si="47"/>
        <v>11807.676052686729</v>
      </c>
      <c r="AC94" s="674">
        <f t="shared" ca="1" si="47"/>
        <v>12356.156458388301</v>
      </c>
      <c r="AD94" s="674">
        <f t="shared" ca="1" si="47"/>
        <v>10158.037813953866</v>
      </c>
      <c r="AE94" s="674">
        <f t="shared" ca="1" si="47"/>
        <v>10263.450774714362</v>
      </c>
      <c r="AF94" s="674">
        <f t="shared" ca="1" si="47"/>
        <v>0</v>
      </c>
      <c r="AG94" s="674">
        <f t="shared" ca="1" si="47"/>
        <v>0</v>
      </c>
    </row>
    <row r="95" spans="1:33" ht="17.25" customHeight="1" outlineLevel="2">
      <c r="A95" s="861"/>
      <c r="B95" s="861"/>
      <c r="C95" s="24" t="str">
        <f>CHOOSE(language,Name_VAT &amp;" on Overheads",Name_VAT &amp;" on Overhead Expenses")</f>
        <v>VAT on Overhead Expenses</v>
      </c>
      <c r="D95" s="8" t="str">
        <f t="shared" ref="D95" si="48">Currency_Label</f>
        <v>USD</v>
      </c>
      <c r="E95" s="84">
        <f>Inputs!F220</f>
        <v>1</v>
      </c>
      <c r="F95" s="333"/>
      <c r="G95" s="84">
        <f>Inputs!I220</f>
        <v>0.2</v>
      </c>
      <c r="H95" s="333"/>
      <c r="I95" s="71">
        <f ca="1">SUM(J95:AG95)</f>
        <v>43511.762686332258</v>
      </c>
      <c r="J95" s="690">
        <f ca="1">$E95*$G95*J94</f>
        <v>1506</v>
      </c>
      <c r="K95" s="690">
        <f t="shared" ref="K95:AG95" ca="1" si="49">$E95*$G95*K94</f>
        <v>1825</v>
      </c>
      <c r="L95" s="690">
        <f t="shared" ca="1" si="49"/>
        <v>3041.0299999999997</v>
      </c>
      <c r="M95" s="690">
        <f t="shared" ca="1" si="49"/>
        <v>2152.6902999999998</v>
      </c>
      <c r="N95" s="690">
        <f t="shared" ca="1" si="49"/>
        <v>1964.7252030000004</v>
      </c>
      <c r="O95" s="690">
        <f t="shared" ca="1" si="49"/>
        <v>1697.1487750300007</v>
      </c>
      <c r="P95" s="690">
        <f t="shared" ca="1" si="49"/>
        <v>1499.9756355803013</v>
      </c>
      <c r="Q95" s="690">
        <f t="shared" ca="1" si="49"/>
        <v>1513.2209796481031</v>
      </c>
      <c r="R95" s="690">
        <f t="shared" ca="1" si="49"/>
        <v>1526.9006006650634</v>
      </c>
      <c r="S95" s="690">
        <f t="shared" ca="1" si="49"/>
        <v>1841.0309143410141</v>
      </c>
      <c r="T95" s="690">
        <f t="shared" ca="1" si="49"/>
        <v>1555.6289834604956</v>
      </c>
      <c r="U95" s="690">
        <f t="shared" ca="1" si="49"/>
        <v>1980.7125436702145</v>
      </c>
      <c r="V95" s="690">
        <f t="shared" ca="1" si="49"/>
        <v>1586.3000302970363</v>
      </c>
      <c r="W95" s="690">
        <f t="shared" ca="1" si="49"/>
        <v>1602.4106062377296</v>
      </c>
      <c r="X95" s="690">
        <f t="shared" ca="1" si="49"/>
        <v>1919.0641909633387</v>
      </c>
      <c r="Y95" s="690">
        <f t="shared" ca="1" si="49"/>
        <v>2136.2814906827334</v>
      </c>
      <c r="Z95" s="690">
        <f t="shared" ca="1" si="49"/>
        <v>3114.0840297117134</v>
      </c>
      <c r="AA95" s="690">
        <f t="shared" ca="1" si="49"/>
        <v>2132.4941830958678</v>
      </c>
      <c r="AB95" s="690">
        <f t="shared" ca="1" si="49"/>
        <v>2361.5352105373458</v>
      </c>
      <c r="AC95" s="690">
        <f t="shared" ca="1" si="49"/>
        <v>2471.2312916776605</v>
      </c>
      <c r="AD95" s="690">
        <f t="shared" ca="1" si="49"/>
        <v>2031.6075627907733</v>
      </c>
      <c r="AE95" s="690">
        <f t="shared" ca="1" si="49"/>
        <v>2052.6901549428726</v>
      </c>
      <c r="AF95" s="690">
        <f t="shared" ca="1" si="49"/>
        <v>0</v>
      </c>
      <c r="AG95" s="690">
        <f t="shared" ca="1" si="49"/>
        <v>0</v>
      </c>
    </row>
    <row r="96" spans="1:33" ht="17.25" customHeight="1" outlineLevel="1">
      <c r="A96" s="861"/>
      <c r="B96" s="861"/>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row>
    <row r="97" spans="1:33" ht="17.25" customHeight="1">
      <c r="A97" s="861"/>
      <c r="B97" s="861"/>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row>
    <row r="98" spans="1:33" ht="17.25" customHeight="1">
      <c r="A98" s="861"/>
      <c r="B98" s="861"/>
      <c r="C98" s="861"/>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row>
    <row r="99" spans="1:33" s="878" customFormat="1" ht="17.25" customHeight="1">
      <c r="A99" s="861"/>
      <c r="B99" s="861"/>
      <c r="C99" s="861"/>
      <c r="D99" s="861"/>
      <c r="E99" s="861"/>
      <c r="F99" s="861"/>
      <c r="G99" s="861"/>
      <c r="H99" s="861"/>
      <c r="I99" s="861"/>
      <c r="J99" s="861"/>
      <c r="K99" s="861"/>
      <c r="L99" s="861"/>
      <c r="M99" s="861"/>
      <c r="N99" s="861"/>
      <c r="O99" s="861"/>
      <c r="P99" s="861"/>
      <c r="Q99" s="861"/>
      <c r="R99" s="861"/>
      <c r="S99" s="861"/>
      <c r="T99" s="861"/>
      <c r="U99" s="861"/>
      <c r="V99" s="861"/>
      <c r="W99" s="861"/>
      <c r="X99" s="861"/>
      <c r="Y99" s="861"/>
      <c r="Z99" s="861"/>
      <c r="AA99" s="861"/>
      <c r="AB99" s="861"/>
      <c r="AC99" s="861"/>
      <c r="AD99" s="861"/>
      <c r="AE99" s="861"/>
      <c r="AF99" s="861"/>
      <c r="AG99" s="861"/>
    </row>
    <row r="100" spans="1:33" s="878" customFormat="1" ht="17.25" customHeight="1">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c r="Z100" s="861"/>
      <c r="AA100" s="861"/>
      <c r="AB100" s="861"/>
      <c r="AC100" s="861"/>
      <c r="AD100" s="861"/>
      <c r="AE100" s="861"/>
      <c r="AF100" s="861"/>
      <c r="AG100" s="861"/>
    </row>
    <row r="101" spans="1:33" s="878" customFormat="1" ht="17.25" customHeight="1">
      <c r="A101" s="861"/>
      <c r="B101" s="861"/>
      <c r="C101" s="861"/>
      <c r="D101" s="861"/>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row>
    <row r="102" spans="1:33" s="878" customFormat="1" ht="17.25" customHeight="1">
      <c r="A102" s="861"/>
      <c r="B102" s="861"/>
      <c r="C102" s="861"/>
      <c r="D102" s="861"/>
      <c r="E102" s="861"/>
      <c r="F102" s="861"/>
      <c r="G102" s="861"/>
      <c r="H102" s="861"/>
      <c r="I102" s="861"/>
      <c r="J102" s="861"/>
      <c r="K102" s="861"/>
      <c r="L102" s="861"/>
      <c r="M102" s="861"/>
      <c r="N102" s="861"/>
      <c r="O102" s="861"/>
      <c r="P102" s="861"/>
      <c r="Q102" s="861"/>
      <c r="R102" s="861"/>
      <c r="S102" s="861"/>
      <c r="T102" s="861"/>
      <c r="U102" s="861"/>
      <c r="V102" s="861"/>
      <c r="W102" s="861"/>
      <c r="X102" s="861"/>
      <c r="Y102" s="861"/>
      <c r="Z102" s="861"/>
      <c r="AA102" s="861"/>
      <c r="AB102" s="861"/>
      <c r="AC102" s="861"/>
      <c r="AD102" s="861"/>
      <c r="AE102" s="861"/>
      <c r="AF102" s="861"/>
      <c r="AG102" s="861"/>
    </row>
    <row r="103" spans="1:33" s="878" customFormat="1" ht="17.25" customHeight="1">
      <c r="A103" s="861"/>
      <c r="B103" s="861"/>
      <c r="C103" s="861"/>
      <c r="D103" s="861"/>
      <c r="E103" s="861"/>
      <c r="F103" s="861"/>
      <c r="G103" s="861"/>
      <c r="H103" s="861"/>
      <c r="I103" s="861"/>
      <c r="J103" s="861"/>
      <c r="K103" s="861"/>
      <c r="L103" s="861"/>
      <c r="M103" s="861"/>
      <c r="N103" s="861"/>
      <c r="O103" s="861"/>
      <c r="P103" s="861"/>
      <c r="Q103" s="861"/>
      <c r="R103" s="861"/>
      <c r="S103" s="861"/>
      <c r="T103" s="861"/>
      <c r="U103" s="861"/>
      <c r="V103" s="861"/>
      <c r="W103" s="861"/>
      <c r="X103" s="861"/>
      <c r="Y103" s="861"/>
      <c r="Z103" s="861"/>
      <c r="AA103" s="861"/>
      <c r="AB103" s="861"/>
      <c r="AC103" s="861"/>
      <c r="AD103" s="861"/>
      <c r="AE103" s="861"/>
      <c r="AF103" s="861"/>
      <c r="AG103" s="861"/>
    </row>
    <row r="104" spans="1:33" s="878" customFormat="1" ht="17.25" customHeight="1">
      <c r="A104" s="861"/>
      <c r="B104" s="861"/>
      <c r="C104" s="861"/>
      <c r="D104" s="861"/>
      <c r="E104" s="861"/>
      <c r="F104" s="861"/>
      <c r="G104" s="861"/>
      <c r="H104" s="861"/>
      <c r="I104" s="861"/>
      <c r="J104" s="861"/>
      <c r="K104" s="861"/>
      <c r="L104" s="861"/>
      <c r="M104" s="861"/>
      <c r="N104" s="861"/>
      <c r="O104" s="861"/>
      <c r="P104" s="861"/>
      <c r="Q104" s="861"/>
      <c r="R104" s="861"/>
      <c r="S104" s="861"/>
      <c r="T104" s="861"/>
      <c r="U104" s="861"/>
      <c r="V104" s="861"/>
      <c r="W104" s="861"/>
      <c r="X104" s="861"/>
      <c r="Y104" s="861"/>
      <c r="Z104" s="861"/>
      <c r="AA104" s="861"/>
      <c r="AB104" s="861"/>
      <c r="AC104" s="861"/>
      <c r="AD104" s="861"/>
      <c r="AE104" s="861"/>
      <c r="AF104" s="861"/>
      <c r="AG104" s="861"/>
    </row>
    <row r="105" spans="1:33" s="878" customFormat="1" ht="17.25" customHeight="1">
      <c r="A105" s="861"/>
      <c r="B105" s="861"/>
      <c r="C105" s="861"/>
      <c r="D105" s="861"/>
      <c r="E105" s="861"/>
      <c r="F105" s="861"/>
      <c r="G105" s="861"/>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row>
    <row r="106" spans="1:33" s="878" customFormat="1" ht="17.25" customHeight="1">
      <c r="A106" s="861"/>
      <c r="B106" s="861"/>
      <c r="C106" s="861"/>
      <c r="D106" s="861"/>
      <c r="E106" s="861"/>
      <c r="F106" s="861"/>
      <c r="G106" s="861"/>
      <c r="H106" s="861"/>
      <c r="I106" s="861"/>
      <c r="J106" s="861"/>
      <c r="K106" s="861"/>
      <c r="L106" s="861"/>
      <c r="M106" s="861"/>
      <c r="N106" s="861"/>
      <c r="O106" s="861"/>
      <c r="P106" s="861"/>
      <c r="Q106" s="861"/>
      <c r="R106" s="861"/>
      <c r="S106" s="861"/>
      <c r="T106" s="861"/>
      <c r="U106" s="861"/>
      <c r="V106" s="861"/>
      <c r="W106" s="861"/>
      <c r="X106" s="861"/>
      <c r="Y106" s="861"/>
      <c r="Z106" s="861"/>
      <c r="AA106" s="861"/>
      <c r="AB106" s="861"/>
      <c r="AC106" s="861"/>
      <c r="AD106" s="861"/>
      <c r="AE106" s="861"/>
      <c r="AF106" s="861"/>
      <c r="AG106" s="861"/>
    </row>
    <row r="107" spans="1:33" s="878" customFormat="1" ht="17.25" customHeight="1">
      <c r="A107" s="861"/>
      <c r="B107" s="861"/>
      <c r="C107" s="861"/>
      <c r="D107" s="861"/>
      <c r="E107" s="861"/>
      <c r="F107" s="861"/>
      <c r="G107" s="861"/>
      <c r="H107" s="861"/>
      <c r="I107" s="861"/>
      <c r="J107" s="861"/>
      <c r="K107" s="861"/>
      <c r="L107" s="861"/>
      <c r="M107" s="861"/>
      <c r="N107" s="861"/>
      <c r="O107" s="861"/>
      <c r="P107" s="861"/>
      <c r="Q107" s="861"/>
      <c r="R107" s="861"/>
      <c r="S107" s="861"/>
      <c r="T107" s="861"/>
      <c r="U107" s="861"/>
      <c r="V107" s="861"/>
      <c r="W107" s="861"/>
      <c r="X107" s="861"/>
      <c r="Y107" s="861"/>
      <c r="Z107" s="861"/>
      <c r="AA107" s="861"/>
      <c r="AB107" s="861"/>
      <c r="AC107" s="861"/>
      <c r="AD107" s="861"/>
      <c r="AE107" s="861"/>
      <c r="AF107" s="861"/>
      <c r="AG107" s="861"/>
    </row>
    <row r="108" spans="1:33" s="878" customFormat="1" ht="17.25" customHeight="1">
      <c r="A108" s="861"/>
      <c r="B108" s="861"/>
      <c r="C108" s="861"/>
      <c r="D108" s="861"/>
      <c r="E108" s="861"/>
      <c r="F108" s="861"/>
      <c r="G108" s="861"/>
      <c r="H108" s="861"/>
      <c r="I108" s="861"/>
      <c r="J108" s="861"/>
      <c r="K108" s="861"/>
      <c r="L108" s="861"/>
      <c r="M108" s="861"/>
      <c r="N108" s="861"/>
      <c r="O108" s="861"/>
      <c r="P108" s="861"/>
      <c r="Q108" s="861"/>
      <c r="R108" s="861"/>
      <c r="S108" s="861"/>
      <c r="T108" s="861"/>
      <c r="U108" s="861"/>
      <c r="V108" s="861"/>
      <c r="W108" s="861"/>
      <c r="X108" s="861"/>
      <c r="Y108" s="861"/>
      <c r="Z108" s="861"/>
      <c r="AA108" s="861"/>
      <c r="AB108" s="861"/>
      <c r="AC108" s="861"/>
      <c r="AD108" s="861"/>
      <c r="AE108" s="861"/>
      <c r="AF108" s="861"/>
      <c r="AG108" s="861"/>
    </row>
    <row r="109" spans="1:33" s="878" customFormat="1" ht="17.25" customHeight="1">
      <c r="A109" s="861"/>
      <c r="B109" s="861"/>
      <c r="C109" s="861"/>
      <c r="D109" s="861"/>
      <c r="E109" s="861"/>
      <c r="F109" s="861"/>
      <c r="G109" s="861"/>
      <c r="H109" s="861"/>
      <c r="I109" s="861"/>
      <c r="J109" s="861"/>
      <c r="K109" s="861"/>
      <c r="L109" s="861"/>
      <c r="M109" s="861"/>
      <c r="N109" s="861"/>
      <c r="O109" s="861"/>
      <c r="P109" s="861"/>
      <c r="Q109" s="861"/>
      <c r="R109" s="861"/>
      <c r="S109" s="861"/>
      <c r="T109" s="861"/>
      <c r="U109" s="861"/>
      <c r="V109" s="861"/>
      <c r="W109" s="861"/>
      <c r="X109" s="861"/>
      <c r="Y109" s="861"/>
      <c r="Z109" s="861"/>
      <c r="AA109" s="861"/>
      <c r="AB109" s="861"/>
      <c r="AC109" s="861"/>
      <c r="AD109" s="861"/>
      <c r="AE109" s="861"/>
      <c r="AF109" s="861"/>
      <c r="AG109" s="861"/>
    </row>
    <row r="110" spans="1:33" s="878" customFormat="1" ht="17.25" customHeight="1">
      <c r="A110" s="861"/>
      <c r="B110" s="861"/>
      <c r="C110" s="861"/>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row>
    <row r="111" spans="1:33" s="878" customFormat="1" ht="17.25" customHeight="1">
      <c r="A111" s="861"/>
      <c r="B111" s="861"/>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c r="Z111" s="861"/>
      <c r="AA111" s="861"/>
      <c r="AB111" s="861"/>
      <c r="AC111" s="861"/>
      <c r="AD111" s="861"/>
      <c r="AE111" s="861"/>
      <c r="AF111" s="861"/>
      <c r="AG111" s="861"/>
    </row>
    <row r="112" spans="1:33" s="878" customFormat="1" ht="17.25" customHeight="1">
      <c r="A112" s="861"/>
      <c r="B112" s="861"/>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row>
    <row r="113" spans="1:33" s="878" customFormat="1" ht="17.25" customHeight="1">
      <c r="A113" s="861"/>
      <c r="B113" s="861"/>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row>
    <row r="114" spans="1:33" s="878" customFormat="1" ht="17.25" customHeight="1">
      <c r="A114" s="861"/>
      <c r="B114" s="861"/>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c r="Z114" s="861"/>
      <c r="AA114" s="861"/>
      <c r="AB114" s="861"/>
      <c r="AC114" s="861"/>
      <c r="AD114" s="861"/>
      <c r="AE114" s="861"/>
      <c r="AF114" s="861"/>
      <c r="AG114" s="861"/>
    </row>
    <row r="115" spans="1:33" s="878" customFormat="1" ht="17.25" customHeight="1">
      <c r="A115" s="861"/>
      <c r="B115" s="861"/>
      <c r="C115" s="861"/>
      <c r="D115" s="861"/>
      <c r="E115" s="861"/>
      <c r="F115" s="861"/>
      <c r="G115" s="861"/>
      <c r="H115" s="861"/>
      <c r="I115" s="861"/>
      <c r="J115" s="861"/>
      <c r="K115" s="861"/>
      <c r="L115" s="861"/>
      <c r="M115" s="861"/>
      <c r="N115" s="861"/>
      <c r="O115" s="861"/>
      <c r="P115" s="861"/>
      <c r="Q115" s="861"/>
      <c r="R115" s="861"/>
      <c r="S115" s="861"/>
      <c r="T115" s="861"/>
      <c r="U115" s="861"/>
      <c r="V115" s="861"/>
      <c r="W115" s="861"/>
      <c r="X115" s="861"/>
      <c r="Y115" s="861"/>
      <c r="Z115" s="861"/>
      <c r="AA115" s="861"/>
      <c r="AB115" s="861"/>
      <c r="AC115" s="861"/>
      <c r="AD115" s="861"/>
      <c r="AE115" s="861"/>
      <c r="AF115" s="861"/>
      <c r="AG115" s="861"/>
    </row>
    <row r="116" spans="1:33" s="878" customFormat="1" ht="17.25" customHeight="1">
      <c r="A116" s="861"/>
      <c r="B116" s="861"/>
      <c r="C116" s="861"/>
      <c r="D116" s="861"/>
      <c r="E116" s="861"/>
      <c r="F116" s="861"/>
      <c r="G116" s="861"/>
      <c r="H116" s="861"/>
      <c r="I116" s="861"/>
      <c r="J116" s="861"/>
      <c r="K116" s="861"/>
      <c r="L116" s="861"/>
      <c r="M116" s="861"/>
      <c r="N116" s="861"/>
      <c r="O116" s="861"/>
      <c r="P116" s="861"/>
      <c r="Q116" s="861"/>
      <c r="R116" s="861"/>
      <c r="S116" s="861"/>
      <c r="T116" s="861"/>
      <c r="U116" s="861"/>
      <c r="V116" s="861"/>
      <c r="W116" s="861"/>
      <c r="X116" s="861"/>
      <c r="Y116" s="861"/>
      <c r="Z116" s="861"/>
      <c r="AA116" s="861"/>
      <c r="AB116" s="861"/>
      <c r="AC116" s="861"/>
      <c r="AD116" s="861"/>
      <c r="AE116" s="861"/>
      <c r="AF116" s="861"/>
      <c r="AG116" s="861"/>
    </row>
    <row r="117" spans="1:33" s="878" customFormat="1" ht="17.25" customHeight="1">
      <c r="A117" s="861"/>
      <c r="B117" s="861"/>
      <c r="C117" s="861"/>
      <c r="D117" s="861"/>
      <c r="E117" s="861"/>
      <c r="F117" s="861"/>
      <c r="G117" s="861"/>
      <c r="H117" s="861"/>
      <c r="I117" s="861"/>
      <c r="J117" s="861"/>
      <c r="K117" s="861"/>
      <c r="L117" s="861"/>
      <c r="M117" s="861"/>
      <c r="N117" s="861"/>
      <c r="O117" s="861"/>
      <c r="P117" s="861"/>
      <c r="Q117" s="861"/>
      <c r="R117" s="861"/>
      <c r="S117" s="861"/>
      <c r="T117" s="861"/>
      <c r="U117" s="861"/>
      <c r="V117" s="861"/>
      <c r="W117" s="861"/>
      <c r="X117" s="861"/>
      <c r="Y117" s="861"/>
      <c r="Z117" s="861"/>
      <c r="AA117" s="861"/>
      <c r="AB117" s="861"/>
      <c r="AC117" s="861"/>
      <c r="AD117" s="861"/>
      <c r="AE117" s="861"/>
      <c r="AF117" s="861"/>
      <c r="AG117" s="861"/>
    </row>
    <row r="118" spans="1:33" s="878" customFormat="1" ht="17.25" customHeight="1">
      <c r="A118" s="861"/>
      <c r="B118" s="861"/>
      <c r="C118" s="861"/>
      <c r="D118" s="861"/>
      <c r="E118" s="861"/>
      <c r="F118" s="861"/>
      <c r="G118" s="861"/>
      <c r="H118" s="861"/>
      <c r="I118" s="861"/>
      <c r="J118" s="861"/>
      <c r="K118" s="861"/>
      <c r="L118" s="861"/>
      <c r="M118" s="861"/>
      <c r="N118" s="861"/>
      <c r="O118" s="861"/>
      <c r="P118" s="861"/>
      <c r="Q118" s="861"/>
      <c r="R118" s="861"/>
      <c r="S118" s="861"/>
      <c r="T118" s="861"/>
      <c r="U118" s="861"/>
      <c r="V118" s="861"/>
      <c r="W118" s="861"/>
      <c r="X118" s="861"/>
      <c r="Y118" s="861"/>
      <c r="Z118" s="861"/>
      <c r="AA118" s="861"/>
      <c r="AB118" s="861"/>
      <c r="AC118" s="861"/>
      <c r="AD118" s="861"/>
      <c r="AE118" s="861"/>
      <c r="AF118" s="861"/>
      <c r="AG118" s="861"/>
    </row>
    <row r="119" spans="1:33" s="878" customFormat="1" ht="17.25" customHeight="1">
      <c r="A119" s="861"/>
      <c r="B119" s="861"/>
      <c r="C119" s="861"/>
      <c r="D119" s="861"/>
      <c r="E119" s="861"/>
      <c r="F119" s="861"/>
      <c r="G119" s="861"/>
      <c r="H119" s="861"/>
      <c r="I119" s="861"/>
      <c r="J119" s="861"/>
      <c r="K119" s="861"/>
      <c r="L119" s="861"/>
      <c r="M119" s="861"/>
      <c r="N119" s="861"/>
      <c r="O119" s="861"/>
      <c r="P119" s="861"/>
      <c r="Q119" s="861"/>
      <c r="R119" s="861"/>
      <c r="S119" s="861"/>
      <c r="T119" s="861"/>
      <c r="U119" s="861"/>
      <c r="V119" s="861"/>
      <c r="W119" s="861"/>
      <c r="X119" s="861"/>
      <c r="Y119" s="861"/>
      <c r="Z119" s="861"/>
      <c r="AA119" s="861"/>
      <c r="AB119" s="861"/>
      <c r="AC119" s="861"/>
      <c r="AD119" s="861"/>
      <c r="AE119" s="861"/>
      <c r="AF119" s="861"/>
      <c r="AG119" s="861"/>
    </row>
    <row r="120" spans="1:33" s="878" customFormat="1" ht="17.25" customHeight="1">
      <c r="A120" s="861"/>
      <c r="B120" s="861"/>
      <c r="C120" s="861"/>
      <c r="D120" s="861"/>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row>
    <row r="121" spans="1:33" s="878" customFormat="1" ht="17.25" customHeight="1">
      <c r="A121" s="861"/>
      <c r="B121" s="861"/>
      <c r="C121" s="861"/>
      <c r="D121" s="861"/>
      <c r="E121" s="861"/>
      <c r="F121" s="861"/>
      <c r="G121" s="861"/>
      <c r="H121" s="861"/>
      <c r="I121" s="861"/>
      <c r="J121" s="861"/>
      <c r="K121" s="861"/>
      <c r="L121" s="861"/>
      <c r="M121" s="861"/>
      <c r="N121" s="861"/>
      <c r="O121" s="861"/>
      <c r="P121" s="861"/>
      <c r="Q121" s="861"/>
      <c r="R121" s="861"/>
      <c r="S121" s="861"/>
      <c r="T121" s="861"/>
      <c r="U121" s="861"/>
      <c r="V121" s="861"/>
      <c r="W121" s="861"/>
      <c r="X121" s="861"/>
      <c r="Y121" s="861"/>
      <c r="Z121" s="861"/>
      <c r="AA121" s="861"/>
      <c r="AB121" s="861"/>
      <c r="AC121" s="861"/>
      <c r="AD121" s="861"/>
      <c r="AE121" s="861"/>
      <c r="AF121" s="861"/>
      <c r="AG121" s="861"/>
    </row>
    <row r="122" spans="1:33" s="878" customFormat="1" ht="17.25" customHeight="1">
      <c r="A122" s="861"/>
      <c r="B122" s="861"/>
      <c r="C122" s="861"/>
      <c r="D122" s="861"/>
      <c r="E122" s="861"/>
      <c r="F122" s="861"/>
      <c r="G122" s="861"/>
      <c r="H122" s="861"/>
      <c r="I122" s="861"/>
      <c r="J122" s="861"/>
      <c r="K122" s="861"/>
      <c r="L122" s="861"/>
      <c r="M122" s="861"/>
      <c r="N122" s="861"/>
      <c r="O122" s="861"/>
      <c r="P122" s="861"/>
      <c r="Q122" s="861"/>
      <c r="R122" s="861"/>
      <c r="S122" s="861"/>
      <c r="T122" s="861"/>
      <c r="U122" s="861"/>
      <c r="V122" s="861"/>
      <c r="W122" s="861"/>
      <c r="X122" s="861"/>
      <c r="Y122" s="861"/>
      <c r="Z122" s="861"/>
      <c r="AA122" s="861"/>
      <c r="AB122" s="861"/>
      <c r="AC122" s="861"/>
      <c r="AD122" s="861"/>
      <c r="AE122" s="861"/>
      <c r="AF122" s="861"/>
      <c r="AG122" s="861"/>
    </row>
    <row r="123" spans="1:33" ht="17.25" customHeight="1">
      <c r="A123" s="861"/>
      <c r="B123" s="861"/>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row>
    <row r="124" spans="1:33" ht="17.25" customHeight="1">
      <c r="A124" s="861"/>
      <c r="B124" s="861"/>
      <c r="C124" s="282"/>
      <c r="D124" s="282"/>
      <c r="E124" s="282"/>
      <c r="F124" s="282"/>
      <c r="G124" s="282"/>
      <c r="H124" s="282"/>
      <c r="I124" s="282"/>
      <c r="J124" s="282"/>
      <c r="K124" s="282"/>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row>
    <row r="125" spans="1:33" ht="17.25" customHeight="1">
      <c r="A125" s="861"/>
      <c r="B125" s="861"/>
      <c r="C125" s="235"/>
      <c r="D125" s="235"/>
      <c r="E125" s="235"/>
      <c r="F125" s="282"/>
      <c r="G125" s="282"/>
      <c r="H125" s="282"/>
      <c r="I125" s="282"/>
      <c r="J125" s="282"/>
      <c r="K125" s="282"/>
      <c r="L125" s="282"/>
      <c r="M125" s="282"/>
      <c r="N125" s="282"/>
      <c r="O125" s="282"/>
      <c r="P125" s="235"/>
      <c r="Q125" s="235"/>
      <c r="R125" s="235"/>
      <c r="S125" s="235"/>
      <c r="T125" s="235"/>
      <c r="U125" s="235"/>
      <c r="V125" s="235"/>
      <c r="W125" s="235"/>
      <c r="X125" s="235"/>
      <c r="Y125" s="235"/>
      <c r="Z125" s="235"/>
      <c r="AA125" s="235"/>
      <c r="AB125" s="235"/>
      <c r="AC125" s="235"/>
      <c r="AD125" s="235"/>
      <c r="AE125" s="235"/>
      <c r="AF125" s="235"/>
      <c r="AG125" s="235"/>
    </row>
    <row r="126" spans="1:33" ht="17.25" customHeight="1">
      <c r="A126" s="861"/>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row>
    <row r="127" spans="1:33" ht="17.25" customHeight="1">
      <c r="A127" s="861"/>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row>
    <row r="128" spans="1:33" ht="17.2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row>
    <row r="129" spans="1:33" ht="17.2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row>
    <row r="130" spans="1:33" ht="17.2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row>
    <row r="131" spans="1:33" ht="17.25" customHeight="1"/>
    <row r="132" spans="1:33" ht="17.25" customHeight="1"/>
    <row r="133" spans="1:33" ht="17.25" customHeight="1"/>
    <row r="134" spans="1:33" ht="17.25" customHeight="1"/>
    <row r="135" spans="1:33" ht="17.25" customHeight="1"/>
    <row r="136" spans="1:33" ht="17.25" customHeight="1"/>
    <row r="137" spans="1:33" ht="17.25" customHeight="1"/>
    <row r="138" spans="1:33" ht="17.25" customHeight="1"/>
    <row r="139" spans="1:33" ht="17.25" customHeight="1"/>
    <row r="140" spans="1:33" ht="17.25" customHeight="1"/>
    <row r="141" spans="1:33" ht="17.25" customHeight="1"/>
    <row r="142" spans="1:33" ht="17.25" customHeight="1"/>
    <row r="143" spans="1:33" ht="17.25" customHeight="1"/>
    <row r="144" spans="1:33"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ht="17.25" customHeight="1"/>
    <row r="162" ht="17.25"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17.25" customHeight="1"/>
    <row r="176" ht="17.25" customHeight="1"/>
    <row r="177" ht="17.25" customHeight="1"/>
    <row r="178" ht="17.25" customHeight="1"/>
    <row r="179" ht="17.25" customHeight="1"/>
    <row r="180" ht="17.25" customHeight="1"/>
    <row r="181" ht="17.25" customHeight="1"/>
    <row r="182" ht="17.25" customHeight="1"/>
    <row r="183" ht="17.25" customHeight="1"/>
    <row r="184" ht="17.25" customHeight="1"/>
    <row r="185" ht="17.25" customHeight="1"/>
    <row r="186" ht="17.25" customHeight="1"/>
    <row r="187" ht="17.25" customHeight="1"/>
    <row r="188" ht="17.25" customHeight="1"/>
    <row r="189" ht="17.25" customHeight="1"/>
    <row r="190" ht="17.25" customHeight="1"/>
    <row r="191" ht="17.25" customHeight="1"/>
    <row r="192"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ht="17.25" customHeight="1"/>
    <row r="210" ht="17.25" customHeight="1"/>
    <row r="211" ht="17.25" customHeight="1"/>
    <row r="212" ht="17.25" customHeight="1"/>
    <row r="213" ht="17.25" customHeight="1"/>
    <row r="214" ht="17.25" customHeight="1"/>
    <row r="215" ht="17.25" customHeight="1"/>
    <row r="216" ht="17.25" customHeight="1"/>
    <row r="217" ht="17.25" customHeight="1"/>
    <row r="218" ht="17.25" customHeight="1"/>
    <row r="219" ht="17.25" customHeight="1"/>
    <row r="220" ht="17.25" customHeight="1"/>
    <row r="221" ht="17.25" customHeight="1"/>
    <row r="222" ht="17.25" customHeight="1"/>
    <row r="223" ht="17.25" customHeight="1"/>
    <row r="224" ht="17.25" customHeight="1"/>
  </sheetData>
  <sheetProtection password="F66A" sheet="1"/>
  <conditionalFormatting sqref="D3 J37:AG37 J51:AG51">
    <cfRule type="cellIs" dxfId="261" priority="131" operator="notEqual">
      <formula>0</formula>
    </cfRule>
  </conditionalFormatting>
  <conditionalFormatting sqref="J77:AG85 K86:AG88 J61:AG66 J15:AG24 K67:AG72 P33:AG36 N47:AG50">
    <cfRule type="expression" dxfId="260" priority="113" stopIfTrue="1">
      <formula>J$6=0</formula>
    </cfRule>
  </conditionalFormatting>
  <conditionalFormatting sqref="K37">
    <cfRule type="cellIs" dxfId="259" priority="67" operator="notEqual">
      <formula>0</formula>
    </cfRule>
  </conditionalFormatting>
  <conditionalFormatting sqref="I37">
    <cfRule type="cellIs" dxfId="258" priority="66" operator="notEqual">
      <formula>0</formula>
    </cfRule>
  </conditionalFormatting>
  <conditionalFormatting sqref="J67:J72">
    <cfRule type="expression" dxfId="257" priority="57" stopIfTrue="1">
      <formula>J$6=0</formula>
    </cfRule>
  </conditionalFormatting>
  <conditionalFormatting sqref="J86">
    <cfRule type="expression" dxfId="256" priority="56" stopIfTrue="1">
      <formula>J$6=0</formula>
    </cfRule>
  </conditionalFormatting>
  <conditionalFormatting sqref="J87">
    <cfRule type="expression" dxfId="255" priority="55" stopIfTrue="1">
      <formula>J$6=0</formula>
    </cfRule>
  </conditionalFormatting>
  <conditionalFormatting sqref="J88">
    <cfRule type="expression" dxfId="254" priority="54" stopIfTrue="1">
      <formula>J$6=0</formula>
    </cfRule>
  </conditionalFormatting>
  <conditionalFormatting sqref="K51">
    <cfRule type="cellIs" dxfId="253" priority="42" operator="notEqual">
      <formula>0</formula>
    </cfRule>
  </conditionalFormatting>
  <conditionalFormatting sqref="I51">
    <cfRule type="cellIs" dxfId="252" priority="41" operator="notEqual">
      <formula>0</formula>
    </cfRule>
  </conditionalFormatting>
  <conditionalFormatting sqref="H43">
    <cfRule type="cellIs" dxfId="251" priority="28" operator="notEqual">
      <formula>0</formula>
    </cfRule>
  </conditionalFormatting>
  <conditionalFormatting sqref="H57">
    <cfRule type="cellIs" dxfId="250" priority="27" operator="notEqual">
      <formula>0</formula>
    </cfRule>
  </conditionalFormatting>
  <conditionalFormatting sqref="J33:O33">
    <cfRule type="expression" dxfId="249" priority="21" stopIfTrue="1">
      <formula>J$6=0</formula>
    </cfRule>
  </conditionalFormatting>
  <conditionalFormatting sqref="J34:O34">
    <cfRule type="expression" dxfId="248" priority="20" stopIfTrue="1">
      <formula>J$6=0</formula>
    </cfRule>
  </conditionalFormatting>
  <conditionalFormatting sqref="J35:O35">
    <cfRule type="expression" dxfId="247" priority="19" stopIfTrue="1">
      <formula>J$6=0</formula>
    </cfRule>
  </conditionalFormatting>
  <conditionalFormatting sqref="J36:O36">
    <cfRule type="expression" dxfId="246" priority="18" stopIfTrue="1">
      <formula>J$6=0</formula>
    </cfRule>
  </conditionalFormatting>
  <conditionalFormatting sqref="J33:O33">
    <cfRule type="expression" dxfId="245" priority="17" stopIfTrue="1">
      <formula>J$6=0</formula>
    </cfRule>
  </conditionalFormatting>
  <conditionalFormatting sqref="J34:O34">
    <cfRule type="expression" dxfId="244" priority="16" stopIfTrue="1">
      <formula>J$6=0</formula>
    </cfRule>
  </conditionalFormatting>
  <conditionalFormatting sqref="J35:O35">
    <cfRule type="expression" dxfId="243" priority="15" stopIfTrue="1">
      <formula>J$6=0</formula>
    </cfRule>
  </conditionalFormatting>
  <conditionalFormatting sqref="J36:O36">
    <cfRule type="expression" dxfId="242" priority="14" stopIfTrue="1">
      <formula>J$6=0</formula>
    </cfRule>
  </conditionalFormatting>
  <conditionalFormatting sqref="J34:O36">
    <cfRule type="expression" dxfId="241" priority="13" stopIfTrue="1">
      <formula>J$6=0</formula>
    </cfRule>
  </conditionalFormatting>
  <conditionalFormatting sqref="J34:O36">
    <cfRule type="expression" dxfId="240" priority="12" stopIfTrue="1">
      <formula>J$6=0</formula>
    </cfRule>
  </conditionalFormatting>
  <conditionalFormatting sqref="J47:M47">
    <cfRule type="expression" dxfId="239" priority="11" stopIfTrue="1">
      <formula>J$6=0</formula>
    </cfRule>
  </conditionalFormatting>
  <conditionalFormatting sqref="J48:M48">
    <cfRule type="expression" dxfId="238" priority="10" stopIfTrue="1">
      <formula>J$6=0</formula>
    </cfRule>
  </conditionalFormatting>
  <conditionalFormatting sqref="J49:M49">
    <cfRule type="expression" dxfId="237" priority="9" stopIfTrue="1">
      <formula>J$6=0</formula>
    </cfRule>
  </conditionalFormatting>
  <conditionalFormatting sqref="J50:M50">
    <cfRule type="expression" dxfId="236" priority="8" stopIfTrue="1">
      <formula>J$6=0</formula>
    </cfRule>
  </conditionalFormatting>
  <conditionalFormatting sqref="J47:M47">
    <cfRule type="expression" dxfId="235" priority="7" stopIfTrue="1">
      <formula>J$6=0</formula>
    </cfRule>
  </conditionalFormatting>
  <conditionalFormatting sqref="J48:M50">
    <cfRule type="expression" dxfId="234" priority="6" stopIfTrue="1">
      <formula>J$6=0</formula>
    </cfRule>
  </conditionalFormatting>
  <conditionalFormatting sqref="K6:L6 R6:AG6">
    <cfRule type="cellIs" dxfId="233" priority="5" stopIfTrue="1" operator="equal">
      <formula>1</formula>
    </cfRule>
  </conditionalFormatting>
  <conditionalFormatting sqref="J4 K4:AG5">
    <cfRule type="expression" dxfId="232" priority="4" stopIfTrue="1">
      <formula>J$6=1</formula>
    </cfRule>
  </conditionalFormatting>
  <conditionalFormatting sqref="M6:Q6">
    <cfRule type="cellIs" dxfId="231" priority="3" stopIfTrue="1" operator="equal">
      <formula>1</formula>
    </cfRule>
  </conditionalFormatting>
  <conditionalFormatting sqref="J5">
    <cfRule type="expression" dxfId="230" priority="2" stopIfTrue="1">
      <formula>J$6=1</formula>
    </cfRule>
  </conditionalFormatting>
  <conditionalFormatting sqref="J6:AG6">
    <cfRule type="cellIs" dxfId="229" priority="1" stopIfTrue="1" operator="equal">
      <formula>1</formula>
    </cfRule>
  </conditionalFormatting>
  <dataValidations count="2">
    <dataValidation type="whole" allowBlank="1" showInputMessage="1" showErrorMessage="1" errorTitle="Error" error="0 for immediate cash payment or_x000a_Integers from 1 to 4 (credit periods)_x000a_=&gt; Maximum 4 months!" sqref="F61:F72 F13:F24 F77:F88">
      <formula1>0</formula1>
      <formula2>4</formula2>
    </dataValidation>
    <dataValidation type="list" allowBlank="1" showInputMessage="1" showErrorMessage="1" sqref="E15:E24">
      <formula1>"0,1"</formula1>
    </dataValidation>
  </dataValidations>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vest_Afa">
    <tabColor rgb="FFFFFF00"/>
    <pageSetUpPr autoPageBreaks="0"/>
  </sheetPr>
  <dimension ref="A1:NE244"/>
  <sheetViews>
    <sheetView showGridLines="0" zoomScaleNormal="100"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outlineLevelRow="2"/>
  <cols>
    <col min="1" max="2" width="4.140625" style="116" customWidth="1"/>
    <col min="3" max="3" width="50.7109375" style="116" customWidth="1"/>
    <col min="4" max="4" width="13" style="116" customWidth="1"/>
    <col min="5" max="5" width="13.28515625" style="116" customWidth="1"/>
    <col min="6" max="6" width="13.140625" style="116" customWidth="1"/>
    <col min="7" max="7" width="10.28515625" style="116" customWidth="1"/>
    <col min="8" max="8" width="11.5703125" style="116" customWidth="1"/>
    <col min="9" max="33" width="11.42578125" style="116" customWidth="1"/>
    <col min="34" max="369" width="0" style="116" hidden="1" customWidth="1"/>
    <col min="370" max="16384" width="11.42578125" style="116" hidden="1"/>
  </cols>
  <sheetData>
    <row r="1" spans="1:33" ht="20.25">
      <c r="A1" s="41" t="s">
        <v>355</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
      <c r="A2" s="127"/>
      <c r="B2" s="127"/>
      <c r="C2" s="268" t="str">
        <f>Timing!C2</f>
        <v>Model: Fictitious 5 Year Forecast</v>
      </c>
      <c r="D2" s="268"/>
      <c r="E2" s="429" t="s">
        <v>148</v>
      </c>
      <c r="F2" s="127"/>
      <c r="G2" s="127"/>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row>
    <row r="3" spans="1:33" ht="20.25">
      <c r="A3" s="127"/>
      <c r="B3" s="127"/>
      <c r="C3" s="268" t="str">
        <f>Timing!C3</f>
        <v>Model Integrity:</v>
      </c>
      <c r="D3" s="668">
        <f ca="1">Timing!D3</f>
        <v>0</v>
      </c>
      <c r="E3" s="429" t="s">
        <v>149</v>
      </c>
      <c r="F3" s="127"/>
      <c r="G3" s="280"/>
      <c r="H3" s="280"/>
      <c r="I3" s="277"/>
      <c r="J3" s="281"/>
      <c r="K3" s="235"/>
      <c r="L3" s="281"/>
      <c r="M3" s="235"/>
      <c r="N3" s="281"/>
      <c r="O3" s="235"/>
      <c r="P3" s="281"/>
      <c r="Q3" s="235"/>
      <c r="R3" s="281"/>
      <c r="S3" s="235"/>
      <c r="T3" s="281"/>
      <c r="U3" s="235"/>
      <c r="V3" s="281"/>
      <c r="W3" s="235"/>
      <c r="X3" s="281"/>
      <c r="Y3" s="235"/>
      <c r="Z3" s="281"/>
      <c r="AA3" s="235"/>
      <c r="AB3" s="281"/>
      <c r="AC3" s="235"/>
      <c r="AD3" s="281"/>
      <c r="AE3" s="235"/>
      <c r="AF3" s="281"/>
      <c r="AG3" s="235"/>
    </row>
    <row r="4" spans="1:33">
      <c r="A4" s="127"/>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c r="A7" s="861"/>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row>
    <row r="8" spans="1:33" s="128" customFormat="1" ht="24" thickBot="1">
      <c r="A8" s="427"/>
      <c r="B8" s="427"/>
      <c r="C8" s="427" t="s">
        <v>370</v>
      </c>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row>
    <row r="9" spans="1:33" ht="22.5" customHeight="1">
      <c r="A9" s="274"/>
      <c r="B9" s="274" t="s">
        <v>41</v>
      </c>
      <c r="C9" s="274" t="s">
        <v>316</v>
      </c>
      <c r="D9" s="428"/>
      <c r="E9" s="420"/>
      <c r="F9" s="420"/>
      <c r="G9" s="420"/>
      <c r="H9" s="420"/>
      <c r="I9" s="420"/>
      <c r="J9" s="420"/>
      <c r="K9" s="420"/>
      <c r="L9" s="420"/>
      <c r="M9" s="420"/>
      <c r="N9" s="418"/>
      <c r="O9" s="418"/>
      <c r="P9" s="418"/>
      <c r="Q9" s="418"/>
      <c r="R9" s="418"/>
      <c r="S9" s="418"/>
      <c r="T9" s="418"/>
      <c r="U9" s="418"/>
      <c r="V9" s="418"/>
      <c r="W9" s="418"/>
      <c r="X9" s="418"/>
      <c r="Y9" s="418"/>
      <c r="Z9" s="418"/>
      <c r="AA9" s="418"/>
      <c r="AB9" s="418"/>
      <c r="AC9" s="418"/>
      <c r="AD9" s="418"/>
      <c r="AE9" s="418"/>
      <c r="AF9" s="418"/>
      <c r="AG9" s="418"/>
    </row>
    <row r="10" spans="1:33" s="632" customFormat="1" ht="16.5" customHeight="1" outlineLevel="1">
      <c r="A10" s="420"/>
      <c r="B10" s="709" t="s">
        <v>40</v>
      </c>
      <c r="C10" s="706" t="str">
        <f>"Purchases: "&amp;C9</f>
        <v>Purchases: Intangible Assets</v>
      </c>
      <c r="D10" s="710"/>
      <c r="E10" s="513" t="s">
        <v>374</v>
      </c>
      <c r="F10" s="1022">
        <v>1</v>
      </c>
      <c r="G10" s="625" t="s">
        <v>130</v>
      </c>
      <c r="H10" s="84">
        <f>VLOOKUP(G10,Inputs!$C$211:$F$214,4,FALSE)</f>
        <v>0.2</v>
      </c>
      <c r="I10" s="435"/>
      <c r="J10" s="708"/>
      <c r="K10" s="431"/>
      <c r="L10" s="418"/>
      <c r="M10" s="418"/>
      <c r="N10" s="418"/>
      <c r="O10" s="418"/>
      <c r="P10" s="418"/>
      <c r="Q10" s="418"/>
      <c r="R10" s="418"/>
      <c r="S10" s="418"/>
      <c r="T10" s="418"/>
      <c r="U10" s="418"/>
      <c r="V10" s="418"/>
      <c r="W10" s="418"/>
      <c r="X10" s="418"/>
      <c r="Y10" s="418"/>
      <c r="Z10" s="418"/>
      <c r="AA10" s="418"/>
      <c r="AB10" s="418"/>
      <c r="AC10" s="418"/>
      <c r="AD10" s="418"/>
      <c r="AE10" s="418"/>
      <c r="AF10" s="418"/>
      <c r="AG10" s="418"/>
    </row>
    <row r="11" spans="1:33" s="632" customFormat="1" ht="16.5" customHeight="1" outlineLevel="1">
      <c r="A11" s="420"/>
      <c r="B11" s="420"/>
      <c r="C11" s="625" t="s">
        <v>356</v>
      </c>
      <c r="D11" s="422" t="str">
        <f t="shared" ref="D11:D16" si="0">Currency_Label</f>
        <v>USD</v>
      </c>
      <c r="E11" s="664"/>
      <c r="F11" s="664"/>
      <c r="G11" s="664"/>
      <c r="H11" s="664"/>
      <c r="I11" s="71">
        <f t="shared" ref="I11:I16" si="1">SUMPRODUCT((J$6:AG$6),(J11:AG11))</f>
        <v>118950</v>
      </c>
      <c r="J11" s="263"/>
      <c r="K11" s="263"/>
      <c r="L11" s="263">
        <v>30000</v>
      </c>
      <c r="M11" s="263"/>
      <c r="N11" s="263"/>
      <c r="O11" s="263"/>
      <c r="P11" s="263"/>
      <c r="Q11" s="263">
        <v>88950</v>
      </c>
      <c r="R11" s="263"/>
      <c r="S11" s="263"/>
      <c r="T11" s="263"/>
      <c r="U11" s="263"/>
      <c r="V11" s="263"/>
      <c r="W11" s="263"/>
      <c r="X11" s="263"/>
      <c r="Y11" s="263"/>
      <c r="Z11" s="263"/>
      <c r="AA11" s="263"/>
      <c r="AB11" s="263"/>
      <c r="AC11" s="263"/>
      <c r="AD11" s="263"/>
      <c r="AE11" s="263"/>
      <c r="AF11" s="263"/>
      <c r="AG11" s="263"/>
    </row>
    <row r="12" spans="1:33" s="632" customFormat="1" ht="16.5" customHeight="1" outlineLevel="1">
      <c r="A12" s="420"/>
      <c r="B12" s="420"/>
      <c r="C12" s="625" t="s">
        <v>357</v>
      </c>
      <c r="D12" s="422" t="str">
        <f t="shared" si="0"/>
        <v>USD</v>
      </c>
      <c r="E12" s="664"/>
      <c r="F12" s="664"/>
      <c r="G12" s="664"/>
      <c r="H12" s="664"/>
      <c r="I12" s="71">
        <f t="shared" si="1"/>
        <v>0</v>
      </c>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row>
    <row r="13" spans="1:33" s="632" customFormat="1" ht="16.5" customHeight="1" outlineLevel="1">
      <c r="A13" s="420"/>
      <c r="B13" s="420"/>
      <c r="C13" s="625" t="s">
        <v>358</v>
      </c>
      <c r="D13" s="422" t="str">
        <f t="shared" si="0"/>
        <v>USD</v>
      </c>
      <c r="E13" s="664"/>
      <c r="F13" s="664"/>
      <c r="G13" s="664"/>
      <c r="H13" s="664"/>
      <c r="I13" s="71">
        <f t="shared" si="1"/>
        <v>0</v>
      </c>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row>
    <row r="14" spans="1:33" s="632" customFormat="1" ht="16.5" customHeight="1" outlineLevel="1">
      <c r="A14" s="420"/>
      <c r="B14" s="420"/>
      <c r="C14" s="625" t="s">
        <v>359</v>
      </c>
      <c r="D14" s="422" t="str">
        <f t="shared" si="0"/>
        <v>USD</v>
      </c>
      <c r="E14" s="664"/>
      <c r="F14" s="664"/>
      <c r="G14" s="664"/>
      <c r="H14" s="664"/>
      <c r="I14" s="71">
        <f t="shared" si="1"/>
        <v>0</v>
      </c>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row>
    <row r="15" spans="1:33" s="632" customFormat="1" ht="16.5" customHeight="1" outlineLevel="1">
      <c r="A15" s="420"/>
      <c r="B15" s="420"/>
      <c r="C15" s="625" t="s">
        <v>360</v>
      </c>
      <c r="D15" s="422" t="str">
        <f t="shared" si="0"/>
        <v>USD</v>
      </c>
      <c r="E15" s="664"/>
      <c r="F15" s="664"/>
      <c r="G15" s="664"/>
      <c r="H15" s="664"/>
      <c r="I15" s="71">
        <f t="shared" si="1"/>
        <v>0</v>
      </c>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row>
    <row r="16" spans="1:33" s="632" customFormat="1" ht="16.5" customHeight="1" outlineLevel="1">
      <c r="A16" s="420"/>
      <c r="B16" s="420"/>
      <c r="C16" s="421" t="s">
        <v>361</v>
      </c>
      <c r="D16" s="422" t="str">
        <f t="shared" si="0"/>
        <v>USD</v>
      </c>
      <c r="E16" s="664"/>
      <c r="F16" s="664"/>
      <c r="G16" s="664"/>
      <c r="H16" s="664"/>
      <c r="I16" s="71">
        <f t="shared" si="1"/>
        <v>118950</v>
      </c>
      <c r="J16" s="715">
        <f>SUM(J11:J15)*J$6</f>
        <v>0</v>
      </c>
      <c r="K16" s="715">
        <f t="shared" ref="K16:M16" si="2">SUM(K11:K15)*K$6</f>
        <v>0</v>
      </c>
      <c r="L16" s="715">
        <f t="shared" si="2"/>
        <v>30000</v>
      </c>
      <c r="M16" s="715">
        <f t="shared" si="2"/>
        <v>0</v>
      </c>
      <c r="N16" s="715">
        <f t="shared" ref="N16" si="3">SUM(N11:N15)*N$6</f>
        <v>0</v>
      </c>
      <c r="O16" s="715">
        <f t="shared" ref="O16" si="4">SUM(O11:O15)*O$6</f>
        <v>0</v>
      </c>
      <c r="P16" s="715">
        <f t="shared" ref="P16" si="5">SUM(P11:P15)*P$6</f>
        <v>0</v>
      </c>
      <c r="Q16" s="715">
        <f t="shared" ref="Q16" si="6">SUM(Q11:Q15)*Q$6</f>
        <v>88950</v>
      </c>
      <c r="R16" s="715">
        <f t="shared" ref="R16" si="7">SUM(R11:R15)*R$6</f>
        <v>0</v>
      </c>
      <c r="S16" s="715">
        <f t="shared" ref="S16" si="8">SUM(S11:S15)*S$6</f>
        <v>0</v>
      </c>
      <c r="T16" s="715">
        <f t="shared" ref="T16" si="9">SUM(T11:T15)*T$6</f>
        <v>0</v>
      </c>
      <c r="U16" s="715">
        <f t="shared" ref="U16" si="10">SUM(U11:U15)*U$6</f>
        <v>0</v>
      </c>
      <c r="V16" s="715">
        <f t="shared" ref="V16" si="11">SUM(V11:V15)*V$6</f>
        <v>0</v>
      </c>
      <c r="W16" s="715">
        <f t="shared" ref="W16" si="12">SUM(W11:W15)*W$6</f>
        <v>0</v>
      </c>
      <c r="X16" s="715">
        <f t="shared" ref="X16" si="13">SUM(X11:X15)*X$6</f>
        <v>0</v>
      </c>
      <c r="Y16" s="715">
        <f t="shared" ref="Y16" si="14">SUM(Y11:Y15)*Y$6</f>
        <v>0</v>
      </c>
      <c r="Z16" s="715">
        <f t="shared" ref="Z16" si="15">SUM(Z11:Z15)*Z$6</f>
        <v>0</v>
      </c>
      <c r="AA16" s="715">
        <f t="shared" ref="AA16" si="16">SUM(AA11:AA15)*AA$6</f>
        <v>0</v>
      </c>
      <c r="AB16" s="715">
        <f t="shared" ref="AB16" si="17">SUM(AB11:AB15)*AB$6</f>
        <v>0</v>
      </c>
      <c r="AC16" s="715">
        <f t="shared" ref="AC16" si="18">SUM(AC11:AC15)*AC$6</f>
        <v>0</v>
      </c>
      <c r="AD16" s="715">
        <f t="shared" ref="AD16" si="19">SUM(AD11:AD15)*AD$6</f>
        <v>0</v>
      </c>
      <c r="AE16" s="715">
        <f t="shared" ref="AE16" si="20">SUM(AE11:AE15)*AE$6</f>
        <v>0</v>
      </c>
      <c r="AF16" s="715">
        <f t="shared" ref="AF16" si="21">SUM(AF11:AF15)*AF$6</f>
        <v>0</v>
      </c>
      <c r="AG16" s="715">
        <f t="shared" ref="AG16" si="22">SUM(AG11:AG15)*AG$6</f>
        <v>0</v>
      </c>
    </row>
    <row r="17" spans="1:33" s="632" customFormat="1" ht="16.5" customHeight="1" outlineLevel="2">
      <c r="A17" s="420"/>
      <c r="B17" s="709" t="s">
        <v>42</v>
      </c>
      <c r="C17" s="706" t="str">
        <f>CHOOSE(language,"Amortisation: "&amp;C9,"Amortization: "&amp;C9)</f>
        <v>Amortization: Intangible Assets</v>
      </c>
      <c r="D17" s="664"/>
      <c r="E17" s="664"/>
      <c r="F17" s="664"/>
      <c r="G17" s="664"/>
      <c r="H17" s="431"/>
      <c r="I17" s="431"/>
      <c r="J17" s="431"/>
      <c r="K17" s="431"/>
      <c r="L17" s="418"/>
      <c r="M17" s="418"/>
      <c r="N17" s="418"/>
      <c r="O17" s="418"/>
      <c r="P17" s="418"/>
      <c r="Q17" s="418"/>
      <c r="R17" s="418"/>
      <c r="S17" s="418"/>
      <c r="T17" s="418"/>
      <c r="U17" s="418"/>
      <c r="V17" s="418"/>
      <c r="W17" s="418"/>
      <c r="X17" s="418"/>
      <c r="Y17" s="418"/>
      <c r="Z17" s="418"/>
      <c r="AA17" s="418"/>
      <c r="AB17" s="418"/>
      <c r="AC17" s="418"/>
      <c r="AD17" s="418"/>
      <c r="AE17" s="418"/>
      <c r="AF17" s="418"/>
      <c r="AG17" s="418"/>
    </row>
    <row r="18" spans="1:33" s="632" customFormat="1" ht="16.5" customHeight="1" outlineLevel="2">
      <c r="A18" s="420"/>
      <c r="B18" s="420"/>
      <c r="C18" s="421" t="s">
        <v>362</v>
      </c>
      <c r="D18" s="422" t="str">
        <f>Currency_Label</f>
        <v>USD</v>
      </c>
      <c r="E18" s="664"/>
      <c r="F18" s="671" t="s">
        <v>363</v>
      </c>
      <c r="G18" s="671" t="s">
        <v>30</v>
      </c>
      <c r="H18" s="513"/>
      <c r="I18" s="144">
        <f>Inputs!F259</f>
        <v>0</v>
      </c>
      <c r="J18" s="344">
        <f t="shared" ref="J18:M18" si="23">(I18+J16+J22+J24-J29)*J$6</f>
        <v>0</v>
      </c>
      <c r="K18" s="344">
        <f t="shared" si="23"/>
        <v>0</v>
      </c>
      <c r="L18" s="344">
        <f t="shared" si="23"/>
        <v>30000</v>
      </c>
      <c r="M18" s="344">
        <f t="shared" si="23"/>
        <v>30000</v>
      </c>
      <c r="N18" s="344">
        <f t="shared" ref="N18:AG18" si="24">(M18+N16+N22+N24-N29)*N$6</f>
        <v>30000</v>
      </c>
      <c r="O18" s="344">
        <f t="shared" si="24"/>
        <v>30000</v>
      </c>
      <c r="P18" s="344">
        <f t="shared" si="24"/>
        <v>30000</v>
      </c>
      <c r="Q18" s="344">
        <f t="shared" si="24"/>
        <v>118950</v>
      </c>
      <c r="R18" s="344">
        <f t="shared" si="24"/>
        <v>118950</v>
      </c>
      <c r="S18" s="344">
        <f t="shared" si="24"/>
        <v>118950</v>
      </c>
      <c r="T18" s="344">
        <f t="shared" si="24"/>
        <v>118950</v>
      </c>
      <c r="U18" s="344">
        <f t="shared" si="24"/>
        <v>118950</v>
      </c>
      <c r="V18" s="344">
        <f t="shared" si="24"/>
        <v>118950</v>
      </c>
      <c r="W18" s="344">
        <f t="shared" si="24"/>
        <v>118950</v>
      </c>
      <c r="X18" s="344">
        <f t="shared" si="24"/>
        <v>118950</v>
      </c>
      <c r="Y18" s="344">
        <f t="shared" si="24"/>
        <v>118950</v>
      </c>
      <c r="Z18" s="344">
        <f t="shared" si="24"/>
        <v>118950</v>
      </c>
      <c r="AA18" s="344">
        <f t="shared" si="24"/>
        <v>118950</v>
      </c>
      <c r="AB18" s="344">
        <f t="shared" si="24"/>
        <v>118950</v>
      </c>
      <c r="AC18" s="344">
        <f t="shared" si="24"/>
        <v>118950</v>
      </c>
      <c r="AD18" s="344">
        <f t="shared" si="24"/>
        <v>118950</v>
      </c>
      <c r="AE18" s="344">
        <f t="shared" si="24"/>
        <v>118950</v>
      </c>
      <c r="AF18" s="344">
        <f t="shared" si="24"/>
        <v>0</v>
      </c>
      <c r="AG18" s="344">
        <f t="shared" si="24"/>
        <v>0</v>
      </c>
    </row>
    <row r="19" spans="1:33" s="632" customFormat="1" ht="16.5" customHeight="1" outlineLevel="2">
      <c r="A19" s="420"/>
      <c r="B19" s="420"/>
      <c r="C19" s="421" t="str">
        <f>CHOOSE(language,"Amortisation per period","Amortization per period")</f>
        <v>Amortization per period</v>
      </c>
      <c r="D19" s="422" t="str">
        <f>Currency_Label</f>
        <v>USD</v>
      </c>
      <c r="E19" s="664"/>
      <c r="F19" s="718">
        <v>120</v>
      </c>
      <c r="G19" s="719">
        <f>IF(F19=0,0,1/F19)</f>
        <v>8.3333333333333332E-3</v>
      </c>
      <c r="H19" s="668">
        <f>IF(ABS(MIN($J19:$AG19))&gt;0.01,1,0)</f>
        <v>0</v>
      </c>
      <c r="I19" s="71">
        <f>SUM(J19:AG19)</f>
        <v>15127.5</v>
      </c>
      <c r="J19" s="716">
        <f t="shared" ref="J19" si="25">IF(I18-I20&lt;IF($F20=1,$G19*I18,(I18-I20)*2*$G19),I18-I20,IF($F20=1,$G19*I18,(I18-I20)*2*$G19))*J$6</f>
        <v>0</v>
      </c>
      <c r="K19" s="716">
        <f t="shared" ref="K19" si="26">IF(J18-J20&lt;IF($F20=1,$G19*J18,(J18-J20)*2*$G19),J18-J20,IF($F20=1,$G19*J18,(J18-J20)*2*$G19))*K$6</f>
        <v>0</v>
      </c>
      <c r="L19" s="716">
        <f t="shared" ref="L19" si="27">IF(K18-K20&lt;IF($F20=1,$G19*K18,(K18-K20)*2*$G19),K18-K20,IF($F20=1,$G19*K18,(K18-K20)*2*$G19))*L$6</f>
        <v>0</v>
      </c>
      <c r="M19" s="716">
        <f t="shared" ref="M19" si="28">IF(L18-L20&lt;IF($F20=1,$G19*L18,(L18-L20)*2*$G19),L18-L20,IF($F20=1,$G19*L18,(L18-L20)*2*$G19))*M$6</f>
        <v>250</v>
      </c>
      <c r="N19" s="716">
        <f t="shared" ref="N19" si="29">IF(M18-M20&lt;IF($F20=1,$G19*M18,(M18-M20)*2*$G19),M18-M20,IF($F20=1,$G19*M18,(M18-M20)*2*$G19))*N$6</f>
        <v>250</v>
      </c>
      <c r="O19" s="716">
        <f t="shared" ref="O19" si="30">IF(N18-N20&lt;IF($F20=1,$G19*N18,(N18-N20)*2*$G19),N18-N20,IF($F20=1,$G19*N18,(N18-N20)*2*$G19))*O$6</f>
        <v>250</v>
      </c>
      <c r="P19" s="716">
        <f t="shared" ref="P19" si="31">IF(O18-O20&lt;IF($F20=1,$G19*O18,(O18-O20)*2*$G19),O18-O20,IF($F20=1,$G19*O18,(O18-O20)*2*$G19))*P$6</f>
        <v>250</v>
      </c>
      <c r="Q19" s="716">
        <f t="shared" ref="Q19" si="32">IF(P18-P20&lt;IF($F20=1,$G19*P18,(P18-P20)*2*$G19),P18-P20,IF($F20=1,$G19*P18,(P18-P20)*2*$G19))*Q$6</f>
        <v>250</v>
      </c>
      <c r="R19" s="716">
        <f t="shared" ref="R19" si="33">IF(Q18-Q20&lt;IF($F20=1,$G19*Q18,(Q18-Q20)*2*$G19),Q18-Q20,IF($F20=1,$G19*Q18,(Q18-Q20)*2*$G19))*R$6</f>
        <v>991.25</v>
      </c>
      <c r="S19" s="716">
        <f t="shared" ref="S19" si="34">IF(R18-R20&lt;IF($F20=1,$G19*R18,(R18-R20)*2*$G19),R18-R20,IF($F20=1,$G19*R18,(R18-R20)*2*$G19))*S$6</f>
        <v>991.25</v>
      </c>
      <c r="T19" s="716">
        <f t="shared" ref="T19" si="35">IF(S18-S20&lt;IF($F20=1,$G19*S18,(S18-S20)*2*$G19),S18-S20,IF($F20=1,$G19*S18,(S18-S20)*2*$G19))*T$6</f>
        <v>991.25</v>
      </c>
      <c r="U19" s="716">
        <f t="shared" ref="U19" si="36">IF(T18-T20&lt;IF($F20=1,$G19*T18,(T18-T20)*2*$G19),T18-T20,IF($F20=1,$G19*T18,(T18-T20)*2*$G19))*U$6</f>
        <v>991.25</v>
      </c>
      <c r="V19" s="716">
        <f t="shared" ref="V19" si="37">IF(U18-U20&lt;IF($F20=1,$G19*U18,(U18-U20)*2*$G19),U18-U20,IF($F20=1,$G19*U18,(U18-U20)*2*$G19))*V$6</f>
        <v>991.25</v>
      </c>
      <c r="W19" s="716">
        <f t="shared" ref="W19" si="38">IF(V18-V20&lt;IF($F20=1,$G19*V18,(V18-V20)*2*$G19),V18-V20,IF($F20=1,$G19*V18,(V18-V20)*2*$G19))*W$6</f>
        <v>991.25</v>
      </c>
      <c r="X19" s="716">
        <f t="shared" ref="X19" si="39">IF(W18-W20&lt;IF($F20=1,$G19*W18,(W18-W20)*2*$G19),W18-W20,IF($F20=1,$G19*W18,(W18-W20)*2*$G19))*X$6</f>
        <v>991.25</v>
      </c>
      <c r="Y19" s="716">
        <f t="shared" ref="Y19" si="40">IF(X18-X20&lt;IF($F20=1,$G19*X18,(X18-X20)*2*$G19),X18-X20,IF($F20=1,$G19*X18,(X18-X20)*2*$G19))*Y$6</f>
        <v>991.25</v>
      </c>
      <c r="Z19" s="716">
        <f t="shared" ref="Z19" si="41">IF(Y18-Y20&lt;IF($F20=1,$G19*Y18,(Y18-Y20)*2*$G19),Y18-Y20,IF($F20=1,$G19*Y18,(Y18-Y20)*2*$G19))*Z$6</f>
        <v>991.25</v>
      </c>
      <c r="AA19" s="716">
        <f t="shared" ref="AA19" si="42">IF(Z18-Z20&lt;IF($F20=1,$G19*Z18,(Z18-Z20)*2*$G19),Z18-Z20,IF($F20=1,$G19*Z18,(Z18-Z20)*2*$G19))*AA$6</f>
        <v>991.25</v>
      </c>
      <c r="AB19" s="716">
        <f t="shared" ref="AB19" si="43">IF(AA18-AA20&lt;IF($F20=1,$G19*AA18,(AA18-AA20)*2*$G19),AA18-AA20,IF($F20=1,$G19*AA18,(AA18-AA20)*2*$G19))*AB$6</f>
        <v>991.25</v>
      </c>
      <c r="AC19" s="716">
        <f t="shared" ref="AC19" si="44">IF(AB18-AB20&lt;IF($F20=1,$G19*AB18,(AB18-AB20)*2*$G19),AB18-AB20,IF($F20=1,$G19*AB18,(AB18-AB20)*2*$G19))*AC$6</f>
        <v>991.25</v>
      </c>
      <c r="AD19" s="716">
        <f t="shared" ref="AD19" si="45">IF(AC18-AC20&lt;IF($F20=1,$G19*AC18,(AC18-AC20)*2*$G19),AC18-AC20,IF($F20=1,$G19*AC18,(AC18-AC20)*2*$G19))*AD$6</f>
        <v>991.25</v>
      </c>
      <c r="AE19" s="716">
        <f t="shared" ref="AE19" si="46">IF(AD18-AD20&lt;IF($F20=1,$G19*AD18,(AD18-AD20)*2*$G19),AD18-AD20,IF($F20=1,$G19*AD18,(AD18-AD20)*2*$G19))*AE$6</f>
        <v>991.25</v>
      </c>
      <c r="AF19" s="716">
        <f t="shared" ref="AF19" si="47">IF(AE18-AE20&lt;IF($F20=1,$G19*AE18,(AE18-AE20)*2*$G19),AE18-AE20,IF($F20=1,$G19*AE18,(AE18-AE20)*2*$G19))*AF$6</f>
        <v>0</v>
      </c>
      <c r="AG19" s="716">
        <f t="shared" ref="AG19" si="48">IF(AF18-AF20&lt;IF($F20=1,$G19*AF18,(AF18-AF20)*2*$G19),AF18-AF20,IF($F20=1,$G19*AF18,(AF18-AF20)*2*$G19))*AG$6</f>
        <v>0</v>
      </c>
    </row>
    <row r="20" spans="1:33" s="632" customFormat="1" ht="16.5" customHeight="1" outlineLevel="2">
      <c r="A20" s="420"/>
      <c r="B20" s="420"/>
      <c r="C20" s="421" t="str">
        <f>CHOOSE(language,"Accumulated amortisation","Accumulated amortization")</f>
        <v>Accumulated amortization</v>
      </c>
      <c r="D20" s="422" t="str">
        <f>Currency_Label</f>
        <v>USD</v>
      </c>
      <c r="E20" s="269" t="s">
        <v>364</v>
      </c>
      <c r="F20" s="899">
        <v>1</v>
      </c>
      <c r="G20" s="712" t="str">
        <f>IF(F20=1," straight-line"," double declining balance")</f>
        <v xml:space="preserve"> straight-line</v>
      </c>
      <c r="H20" s="513"/>
      <c r="I20" s="714"/>
      <c r="J20" s="717">
        <f t="shared" ref="J20" si="49">(I20+J19-J30)*J$6</f>
        <v>0</v>
      </c>
      <c r="K20" s="717">
        <f t="shared" ref="K20" si="50">(J20+K19-K30)*K$6</f>
        <v>0</v>
      </c>
      <c r="L20" s="717">
        <f t="shared" ref="L20" si="51">(K20+L19-L30)*L$6</f>
        <v>0</v>
      </c>
      <c r="M20" s="717">
        <f t="shared" ref="M20" si="52">(L20+M19-M30)*M$6</f>
        <v>250</v>
      </c>
      <c r="N20" s="717">
        <f t="shared" ref="N20" si="53">(M20+N19-N30)*N$6</f>
        <v>500</v>
      </c>
      <c r="O20" s="717">
        <f t="shared" ref="O20" si="54">(N20+O19-O30)*O$6</f>
        <v>750</v>
      </c>
      <c r="P20" s="717">
        <f t="shared" ref="P20" si="55">(O20+P19-P30)*P$6</f>
        <v>1000</v>
      </c>
      <c r="Q20" s="717">
        <f t="shared" ref="Q20" si="56">(P20+Q19-Q30)*Q$6</f>
        <v>1250</v>
      </c>
      <c r="R20" s="717">
        <f t="shared" ref="R20" si="57">(Q20+R19-R30)*R$6</f>
        <v>2241.25</v>
      </c>
      <c r="S20" s="717">
        <f t="shared" ref="S20" si="58">(R20+S19-S30)*S$6</f>
        <v>3232.5</v>
      </c>
      <c r="T20" s="717">
        <f t="shared" ref="T20" si="59">(S20+T19-T30)*T$6</f>
        <v>4223.75</v>
      </c>
      <c r="U20" s="717">
        <f t="shared" ref="U20" si="60">(T20+U19-U30)*U$6</f>
        <v>5215</v>
      </c>
      <c r="V20" s="717">
        <f t="shared" ref="V20" si="61">(U20+V19-V30)*V$6</f>
        <v>6206.25</v>
      </c>
      <c r="W20" s="717">
        <f t="shared" ref="W20" si="62">(V20+W19-W30)*W$6</f>
        <v>7197.5</v>
      </c>
      <c r="X20" s="717">
        <f t="shared" ref="X20" si="63">(W20+X19-X30)*X$6</f>
        <v>8188.75</v>
      </c>
      <c r="Y20" s="717">
        <f t="shared" ref="Y20" si="64">(X20+Y19-Y30)*Y$6</f>
        <v>9180</v>
      </c>
      <c r="Z20" s="717">
        <f t="shared" ref="Z20" si="65">(Y20+Z19-Z30)*Z$6</f>
        <v>10171.25</v>
      </c>
      <c r="AA20" s="717">
        <f t="shared" ref="AA20" si="66">(Z20+AA19-AA30)*AA$6</f>
        <v>11162.5</v>
      </c>
      <c r="AB20" s="717">
        <f t="shared" ref="AB20" si="67">(AA20+AB19-AB30)*AB$6</f>
        <v>12153.75</v>
      </c>
      <c r="AC20" s="717">
        <f t="shared" ref="AC20" si="68">(AB20+AC19-AC30)*AC$6</f>
        <v>13145</v>
      </c>
      <c r="AD20" s="717">
        <f t="shared" ref="AD20" si="69">(AC20+AD19-AD30)*AD$6</f>
        <v>14136.25</v>
      </c>
      <c r="AE20" s="717">
        <f t="shared" ref="AE20" si="70">(AD20+AE19-AE30)*AE$6</f>
        <v>15127.5</v>
      </c>
      <c r="AF20" s="717">
        <f t="shared" ref="AF20" si="71">(AE20+AF19-AF30)*AF$6</f>
        <v>0</v>
      </c>
      <c r="AG20" s="717">
        <f t="shared" ref="AG20" si="72">(AF20+AG19-AG30)*AG$6</f>
        <v>0</v>
      </c>
    </row>
    <row r="21" spans="1:33" s="632" customFormat="1" ht="16.5" customHeight="1" outlineLevel="2">
      <c r="A21" s="420"/>
      <c r="B21" s="709" t="s">
        <v>43</v>
      </c>
      <c r="C21" s="706" t="str">
        <f>"Company produced additions: "&amp;C9</f>
        <v>Company produced additions: Intangible Assets</v>
      </c>
      <c r="D21" s="435"/>
      <c r="E21" s="435"/>
      <c r="F21" s="435"/>
      <c r="G21" s="435"/>
      <c r="H21" s="435"/>
      <c r="I21" s="435"/>
      <c r="J21" s="431"/>
      <c r="K21" s="431"/>
      <c r="L21" s="418"/>
      <c r="M21" s="418"/>
      <c r="N21" s="418"/>
      <c r="O21" s="418"/>
      <c r="P21" s="418"/>
      <c r="Q21" s="418"/>
      <c r="R21" s="418"/>
      <c r="S21" s="418"/>
      <c r="T21" s="418"/>
      <c r="U21" s="418"/>
      <c r="V21" s="418"/>
      <c r="W21" s="418"/>
      <c r="X21" s="418"/>
      <c r="Y21" s="418"/>
      <c r="Z21" s="418"/>
      <c r="AA21" s="418"/>
      <c r="AB21" s="418"/>
      <c r="AC21" s="418"/>
      <c r="AD21" s="418"/>
      <c r="AE21" s="418"/>
      <c r="AF21" s="418"/>
      <c r="AG21" s="418"/>
    </row>
    <row r="22" spans="1:33" s="632" customFormat="1" ht="16.5" customHeight="1" outlineLevel="2">
      <c r="A22" s="420"/>
      <c r="B22" s="420"/>
      <c r="C22" s="421" t="str">
        <f>CHOOSE(language,"2. Capitalised assets","2. Capitalized assets")</f>
        <v>2. Capitalized assets</v>
      </c>
      <c r="D22" s="711"/>
      <c r="E22" s="435"/>
      <c r="F22" s="435"/>
      <c r="G22" s="436"/>
      <c r="H22" s="435"/>
      <c r="I22" s="71">
        <f>SUMPRODUCT((J$6:AG$6),(J22:AG22))</f>
        <v>0</v>
      </c>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row>
    <row r="23" spans="1:33" s="632" customFormat="1" ht="16.5" customHeight="1" outlineLevel="2">
      <c r="A23" s="420"/>
      <c r="B23" s="709" t="s">
        <v>352</v>
      </c>
      <c r="C23" s="706" t="str">
        <f>"Finance Lease: "&amp;C9</f>
        <v>Finance Lease: Intangible Assets</v>
      </c>
      <c r="D23" s="428"/>
      <c r="E23" s="435"/>
      <c r="F23" s="435"/>
      <c r="G23" s="436"/>
      <c r="H23" s="435"/>
      <c r="I23" s="435"/>
      <c r="J23" s="431"/>
      <c r="K23" s="431"/>
      <c r="L23" s="418"/>
      <c r="M23" s="418"/>
      <c r="N23" s="418"/>
      <c r="O23" s="418"/>
      <c r="P23" s="418"/>
      <c r="Q23" s="418"/>
      <c r="R23" s="418"/>
      <c r="S23" s="418"/>
      <c r="T23" s="418"/>
      <c r="U23" s="418"/>
      <c r="V23" s="418"/>
      <c r="W23" s="418"/>
      <c r="X23" s="418"/>
      <c r="Y23" s="418"/>
      <c r="Z23" s="418"/>
      <c r="AA23" s="418"/>
      <c r="AB23" s="418"/>
      <c r="AC23" s="418"/>
      <c r="AD23" s="418"/>
      <c r="AE23" s="418"/>
      <c r="AF23" s="418"/>
      <c r="AG23" s="418"/>
    </row>
    <row r="24" spans="1:33" s="632" customFormat="1" ht="16.5" customHeight="1" outlineLevel="2">
      <c r="A24" s="420"/>
      <c r="B24" s="420"/>
      <c r="C24" s="421" t="s">
        <v>365</v>
      </c>
      <c r="D24" s="422" t="str">
        <f>Currency_Label</f>
        <v>USD</v>
      </c>
      <c r="E24" s="435"/>
      <c r="F24" s="664"/>
      <c r="G24" s="664"/>
      <c r="H24" s="435"/>
      <c r="I24" s="71">
        <f>SUMPRODUCT((J$6:AG$6),(J24:AG24))</f>
        <v>0</v>
      </c>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row>
    <row r="25" spans="1:33" s="632" customFormat="1" ht="16.5" customHeight="1" outlineLevel="2">
      <c r="A25" s="420"/>
      <c r="B25" s="420"/>
      <c r="C25" s="421" t="s">
        <v>366</v>
      </c>
      <c r="D25" s="422" t="str">
        <f>Currency_Label</f>
        <v>USD</v>
      </c>
      <c r="E25" s="435"/>
      <c r="F25" s="435"/>
      <c r="G25" s="436"/>
      <c r="H25" s="435"/>
      <c r="I25" s="71">
        <f>SUMPRODUCT((J$6:AG$6),(J25:AG25))</f>
        <v>0</v>
      </c>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row>
    <row r="26" spans="1:33" s="632" customFormat="1" ht="16.5" customHeight="1" outlineLevel="2">
      <c r="A26" s="420"/>
      <c r="B26" s="420"/>
      <c r="C26" s="421" t="s">
        <v>367</v>
      </c>
      <c r="D26" s="422" t="str">
        <f>Currency_Label</f>
        <v>USD</v>
      </c>
      <c r="E26" s="435"/>
      <c r="F26" s="435"/>
      <c r="G26" s="436"/>
      <c r="H26" s="435"/>
      <c r="I26" s="71">
        <f>SUMPRODUCT((J$6:AG$6),(J26:AG26))</f>
        <v>0</v>
      </c>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row>
    <row r="27" spans="1:33" s="632" customFormat="1" ht="16.5" customHeight="1" outlineLevel="2">
      <c r="A27" s="420"/>
      <c r="B27" s="709" t="s">
        <v>353</v>
      </c>
      <c r="C27" s="706" t="str">
        <f>CHOOSE(language,"Sale of "&amp;C9,"Disposal of "&amp;C9)</f>
        <v>Disposal of Intangible Assets</v>
      </c>
      <c r="D27" s="428"/>
      <c r="E27" s="435"/>
      <c r="F27" s="435"/>
      <c r="G27" s="436"/>
      <c r="H27" s="435"/>
      <c r="I27" s="435"/>
      <c r="J27" s="431"/>
      <c r="K27" s="431"/>
      <c r="L27" s="418"/>
      <c r="M27" s="418"/>
      <c r="N27" s="418"/>
      <c r="O27" s="418"/>
      <c r="P27" s="418"/>
      <c r="Q27" s="418"/>
      <c r="R27" s="418"/>
      <c r="S27" s="418"/>
      <c r="T27" s="418"/>
      <c r="U27" s="418"/>
      <c r="V27" s="418"/>
      <c r="W27" s="418"/>
      <c r="X27" s="418"/>
      <c r="Y27" s="418"/>
      <c r="Z27" s="418"/>
      <c r="AA27" s="418"/>
      <c r="AB27" s="418"/>
      <c r="AC27" s="418"/>
      <c r="AD27" s="418"/>
      <c r="AE27" s="418"/>
      <c r="AF27" s="418"/>
      <c r="AG27" s="418"/>
    </row>
    <row r="28" spans="1:33" s="632" customFormat="1" ht="16.5" customHeight="1" outlineLevel="2">
      <c r="A28" s="420"/>
      <c r="B28" s="420"/>
      <c r="C28" s="421" t="s">
        <v>368</v>
      </c>
      <c r="D28" s="422" t="str">
        <f>Currency_Label</f>
        <v>USD</v>
      </c>
      <c r="E28" s="435"/>
      <c r="F28" s="435"/>
      <c r="G28" s="436"/>
      <c r="H28" s="713"/>
      <c r="I28" s="71">
        <f>SUMPRODUCT((J$6:AG$6),(J28:AG28))</f>
        <v>0</v>
      </c>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row>
    <row r="29" spans="1:33" s="632" customFormat="1" ht="16.5" customHeight="1" outlineLevel="2">
      <c r="A29" s="420"/>
      <c r="B29" s="420"/>
      <c r="C29" s="421" t="s">
        <v>369</v>
      </c>
      <c r="D29" s="422" t="str">
        <f>Currency_Label</f>
        <v>USD</v>
      </c>
      <c r="E29" s="273" t="str">
        <f>IF(H19=0,"","Error: Please check inputs for sale of assets")</f>
        <v/>
      </c>
      <c r="F29" s="435"/>
      <c r="G29" s="436"/>
      <c r="H29" s="713"/>
      <c r="I29" s="71">
        <f>SUMPRODUCT((J$6:AG$6),(J29:AG29))</f>
        <v>0</v>
      </c>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row>
    <row r="30" spans="1:33" s="632" customFormat="1" ht="16.5" customHeight="1" outlineLevel="2">
      <c r="A30" s="420"/>
      <c r="B30" s="420"/>
      <c r="C30" s="421" t="str">
        <f>CHOOSE(language,"Accumulated amortisation (of assets sold)","Accumulated amortization (of assets sold)")</f>
        <v>Accumulated amortization (of assets sold)</v>
      </c>
      <c r="D30" s="422" t="str">
        <f>Currency_Label</f>
        <v>USD</v>
      </c>
      <c r="E30" s="273" t="str">
        <f>IF(H19=0,"","Error: Please check inputs for sale of assets")</f>
        <v/>
      </c>
      <c r="F30" s="435"/>
      <c r="G30" s="436"/>
      <c r="H30" s="713"/>
      <c r="I30" s="71">
        <f>SUMPRODUCT((J$6:AG$6),(J30:AG30))</f>
        <v>0</v>
      </c>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row>
    <row r="31" spans="1:33" s="632" customFormat="1" ht="16.5" customHeight="1" outlineLevel="2">
      <c r="A31" s="420"/>
      <c r="B31" s="709" t="s">
        <v>354</v>
      </c>
      <c r="C31" s="706" t="str">
        <f>Name_VAT</f>
        <v>VAT</v>
      </c>
      <c r="D31" s="428"/>
      <c r="E31" s="435"/>
      <c r="F31" s="430"/>
      <c r="G31" s="430"/>
      <c r="H31" s="420"/>
      <c r="I31" s="420"/>
      <c r="J31" s="431"/>
      <c r="K31" s="431"/>
      <c r="L31" s="441"/>
      <c r="M31" s="418"/>
      <c r="N31" s="418"/>
      <c r="O31" s="418"/>
      <c r="P31" s="418"/>
      <c r="Q31" s="418"/>
      <c r="R31" s="418"/>
      <c r="S31" s="418"/>
      <c r="T31" s="418"/>
      <c r="U31" s="418"/>
      <c r="V31" s="418"/>
      <c r="W31" s="418"/>
      <c r="X31" s="418"/>
      <c r="Y31" s="418"/>
      <c r="Z31" s="418"/>
      <c r="AA31" s="418"/>
      <c r="AB31" s="418"/>
      <c r="AC31" s="418"/>
      <c r="AD31" s="418"/>
      <c r="AE31" s="418"/>
      <c r="AF31" s="418"/>
      <c r="AG31" s="418"/>
    </row>
    <row r="32" spans="1:33" s="632" customFormat="1" ht="16.5" customHeight="1" outlineLevel="2">
      <c r="A32" s="420"/>
      <c r="B32" s="420"/>
      <c r="C32" s="24" t="str">
        <f>Name_VAT &amp;" on "&amp;C9 &amp;" purchased &amp; leased"</f>
        <v>VAT on Intangible Assets purchased &amp; leased</v>
      </c>
      <c r="D32" s="8" t="str">
        <f t="shared" ref="D32" si="73">Currency_Label</f>
        <v>USD</v>
      </c>
      <c r="E32" s="84">
        <f>F10</f>
        <v>1</v>
      </c>
      <c r="F32" s="721" t="s">
        <v>375</v>
      </c>
      <c r="G32" s="84">
        <f>H10</f>
        <v>0.2</v>
      </c>
      <c r="H32" s="333"/>
      <c r="I32" s="71">
        <f>SUM(J32:AG32)</f>
        <v>23790</v>
      </c>
      <c r="J32" s="690">
        <f t="shared" ref="J32:AG32" si="74">(J16+J24)*$E32*$G32*J$6</f>
        <v>0</v>
      </c>
      <c r="K32" s="690">
        <f t="shared" si="74"/>
        <v>0</v>
      </c>
      <c r="L32" s="690">
        <f t="shared" si="74"/>
        <v>6000</v>
      </c>
      <c r="M32" s="690">
        <f t="shared" si="74"/>
        <v>0</v>
      </c>
      <c r="N32" s="690">
        <f t="shared" si="74"/>
        <v>0</v>
      </c>
      <c r="O32" s="690">
        <f t="shared" si="74"/>
        <v>0</v>
      </c>
      <c r="P32" s="690">
        <f t="shared" si="74"/>
        <v>0</v>
      </c>
      <c r="Q32" s="690">
        <f t="shared" si="74"/>
        <v>17790</v>
      </c>
      <c r="R32" s="690">
        <f t="shared" si="74"/>
        <v>0</v>
      </c>
      <c r="S32" s="690">
        <f t="shared" si="74"/>
        <v>0</v>
      </c>
      <c r="T32" s="690">
        <f t="shared" si="74"/>
        <v>0</v>
      </c>
      <c r="U32" s="690">
        <f t="shared" si="74"/>
        <v>0</v>
      </c>
      <c r="V32" s="690">
        <f t="shared" si="74"/>
        <v>0</v>
      </c>
      <c r="W32" s="690">
        <f t="shared" si="74"/>
        <v>0</v>
      </c>
      <c r="X32" s="690">
        <f t="shared" si="74"/>
        <v>0</v>
      </c>
      <c r="Y32" s="690">
        <f t="shared" si="74"/>
        <v>0</v>
      </c>
      <c r="Z32" s="690">
        <f t="shared" si="74"/>
        <v>0</v>
      </c>
      <c r="AA32" s="690">
        <f t="shared" si="74"/>
        <v>0</v>
      </c>
      <c r="AB32" s="690">
        <f t="shared" si="74"/>
        <v>0</v>
      </c>
      <c r="AC32" s="690">
        <f t="shared" si="74"/>
        <v>0</v>
      </c>
      <c r="AD32" s="690">
        <f t="shared" si="74"/>
        <v>0</v>
      </c>
      <c r="AE32" s="690">
        <f t="shared" si="74"/>
        <v>0</v>
      </c>
      <c r="AF32" s="690">
        <f t="shared" si="74"/>
        <v>0</v>
      </c>
      <c r="AG32" s="690">
        <f t="shared" si="74"/>
        <v>0</v>
      </c>
    </row>
    <row r="33" spans="1:33" s="632" customFormat="1" ht="16.5" customHeight="1" outlineLevel="2">
      <c r="A33" s="420"/>
      <c r="B33" s="709"/>
      <c r="C33" s="706"/>
      <c r="D33" s="428"/>
      <c r="E33" s="435"/>
      <c r="F33" s="430"/>
      <c r="G33" s="430"/>
      <c r="H33" s="420"/>
      <c r="I33" s="420"/>
      <c r="J33" s="431"/>
      <c r="K33" s="431"/>
      <c r="L33" s="418"/>
      <c r="M33" s="418"/>
      <c r="N33" s="418"/>
      <c r="O33" s="418"/>
      <c r="P33" s="418"/>
      <c r="Q33" s="418"/>
      <c r="R33" s="418"/>
      <c r="S33" s="418"/>
      <c r="T33" s="418"/>
      <c r="U33" s="418"/>
      <c r="V33" s="418"/>
      <c r="W33" s="418"/>
      <c r="X33" s="418"/>
      <c r="Y33" s="418"/>
      <c r="Z33" s="418"/>
      <c r="AA33" s="418"/>
      <c r="AB33" s="418"/>
      <c r="AC33" s="418"/>
      <c r="AD33" s="418"/>
      <c r="AE33" s="418"/>
      <c r="AF33" s="418"/>
      <c r="AG33" s="418"/>
    </row>
    <row r="34" spans="1:33" s="680" customFormat="1" ht="16.5" customHeight="1" outlineLevel="2">
      <c r="A34" s="420"/>
      <c r="B34" s="709"/>
      <c r="C34" s="706" t="str">
        <f>"BS Account: "&amp;C9</f>
        <v>BS Account: Intangible Assets</v>
      </c>
      <c r="D34" s="428"/>
      <c r="E34" s="435"/>
      <c r="F34" s="430"/>
      <c r="G34" s="430"/>
      <c r="H34" s="420"/>
      <c r="I34" s="420"/>
      <c r="J34" s="431"/>
      <c r="K34" s="431"/>
      <c r="L34" s="441"/>
      <c r="M34" s="710"/>
      <c r="N34" s="710"/>
      <c r="O34" s="710"/>
      <c r="P34" s="710"/>
      <c r="Q34" s="710"/>
      <c r="R34" s="710"/>
      <c r="S34" s="710"/>
      <c r="T34" s="710"/>
      <c r="U34" s="710"/>
      <c r="V34" s="710"/>
      <c r="W34" s="710"/>
      <c r="X34" s="710"/>
      <c r="Y34" s="710"/>
      <c r="Z34" s="710"/>
      <c r="AA34" s="710"/>
      <c r="AB34" s="710"/>
      <c r="AC34" s="710"/>
      <c r="AD34" s="710"/>
      <c r="AE34" s="710"/>
      <c r="AF34" s="710"/>
      <c r="AG34" s="710"/>
    </row>
    <row r="35" spans="1:33" s="632" customFormat="1" ht="16.5" customHeight="1" outlineLevel="2">
      <c r="A35" s="420"/>
      <c r="B35" s="420"/>
      <c r="C35" s="632" t="s">
        <v>140</v>
      </c>
      <c r="D35" s="422" t="str">
        <f>Currency_Label</f>
        <v>USD</v>
      </c>
      <c r="E35" s="418"/>
      <c r="F35" s="418"/>
      <c r="G35" s="418"/>
      <c r="H35" s="418"/>
      <c r="I35" s="418"/>
      <c r="J35" s="720">
        <f t="shared" ref="J35:M35" si="75">I38*J$6</f>
        <v>0</v>
      </c>
      <c r="K35" s="720">
        <f t="shared" si="75"/>
        <v>0</v>
      </c>
      <c r="L35" s="720">
        <f t="shared" si="75"/>
        <v>0</v>
      </c>
      <c r="M35" s="720">
        <f t="shared" si="75"/>
        <v>30000</v>
      </c>
      <c r="N35" s="720">
        <f t="shared" ref="N35" si="76">M38*N$6</f>
        <v>29750</v>
      </c>
      <c r="O35" s="720">
        <f t="shared" ref="O35" si="77">N38*O$6</f>
        <v>29500</v>
      </c>
      <c r="P35" s="720">
        <f t="shared" ref="P35" si="78">O38*P$6</f>
        <v>29250</v>
      </c>
      <c r="Q35" s="720">
        <f t="shared" ref="Q35" si="79">P38*Q$6</f>
        <v>29000</v>
      </c>
      <c r="R35" s="720">
        <f t="shared" ref="R35" si="80">Q38*R$6</f>
        <v>117700</v>
      </c>
      <c r="S35" s="720">
        <f t="shared" ref="S35" si="81">R38*S$6</f>
        <v>116708.75</v>
      </c>
      <c r="T35" s="720">
        <f t="shared" ref="T35" si="82">S38*T$6</f>
        <v>115717.5</v>
      </c>
      <c r="U35" s="720">
        <f t="shared" ref="U35" si="83">T38*U$6</f>
        <v>114726.25</v>
      </c>
      <c r="V35" s="720">
        <f t="shared" ref="V35" si="84">U38*V$6</f>
        <v>113735</v>
      </c>
      <c r="W35" s="720">
        <f t="shared" ref="W35" si="85">V38*W$6</f>
        <v>112743.75</v>
      </c>
      <c r="X35" s="720">
        <f t="shared" ref="X35" si="86">W38*X$6</f>
        <v>111752.5</v>
      </c>
      <c r="Y35" s="720">
        <f t="shared" ref="Y35" si="87">X38*Y$6</f>
        <v>110761.25</v>
      </c>
      <c r="Z35" s="720">
        <f t="shared" ref="Z35" si="88">Y38*Z$6</f>
        <v>109770</v>
      </c>
      <c r="AA35" s="720">
        <f t="shared" ref="AA35" si="89">Z38*AA$6</f>
        <v>108778.75</v>
      </c>
      <c r="AB35" s="720">
        <f t="shared" ref="AB35" si="90">AA38*AB$6</f>
        <v>107787.5</v>
      </c>
      <c r="AC35" s="720">
        <f t="shared" ref="AC35" si="91">AB38*AC$6</f>
        <v>106796.25</v>
      </c>
      <c r="AD35" s="720">
        <f t="shared" ref="AD35" si="92">AC38*AD$6</f>
        <v>105805</v>
      </c>
      <c r="AE35" s="720">
        <f t="shared" ref="AE35" si="93">AD38*AE$6</f>
        <v>104813.75</v>
      </c>
      <c r="AF35" s="720">
        <f t="shared" ref="AF35" si="94">AE38*AF$6</f>
        <v>0</v>
      </c>
      <c r="AG35" s="720">
        <f t="shared" ref="AG35" si="95">AF38*AG$6</f>
        <v>0</v>
      </c>
    </row>
    <row r="36" spans="1:33" s="632" customFormat="1" ht="16.5" customHeight="1" outlineLevel="2">
      <c r="A36" s="420"/>
      <c r="B36" s="420"/>
      <c r="C36" s="421" t="s">
        <v>371</v>
      </c>
      <c r="D36" s="422" t="str">
        <f>Currency_Label</f>
        <v>USD</v>
      </c>
      <c r="E36" s="418"/>
      <c r="F36" s="418"/>
      <c r="G36" s="418"/>
      <c r="H36" s="418"/>
      <c r="I36" s="71">
        <f>SUM(J36:AG36)</f>
        <v>118950</v>
      </c>
      <c r="J36" s="344">
        <f t="shared" ref="J36:AG36" si="96">J16+J22+J24</f>
        <v>0</v>
      </c>
      <c r="K36" s="344">
        <f t="shared" si="96"/>
        <v>0</v>
      </c>
      <c r="L36" s="344">
        <f t="shared" si="96"/>
        <v>30000</v>
      </c>
      <c r="M36" s="344">
        <f t="shared" si="96"/>
        <v>0</v>
      </c>
      <c r="N36" s="344">
        <f t="shared" si="96"/>
        <v>0</v>
      </c>
      <c r="O36" s="344">
        <f t="shared" si="96"/>
        <v>0</v>
      </c>
      <c r="P36" s="344">
        <f t="shared" si="96"/>
        <v>0</v>
      </c>
      <c r="Q36" s="344">
        <f t="shared" si="96"/>
        <v>88950</v>
      </c>
      <c r="R36" s="344">
        <f t="shared" si="96"/>
        <v>0</v>
      </c>
      <c r="S36" s="344">
        <f t="shared" si="96"/>
        <v>0</v>
      </c>
      <c r="T36" s="344">
        <f t="shared" si="96"/>
        <v>0</v>
      </c>
      <c r="U36" s="344">
        <f t="shared" si="96"/>
        <v>0</v>
      </c>
      <c r="V36" s="344">
        <f t="shared" si="96"/>
        <v>0</v>
      </c>
      <c r="W36" s="344">
        <f t="shared" si="96"/>
        <v>0</v>
      </c>
      <c r="X36" s="344">
        <f t="shared" si="96"/>
        <v>0</v>
      </c>
      <c r="Y36" s="344">
        <f t="shared" si="96"/>
        <v>0</v>
      </c>
      <c r="Z36" s="344">
        <f t="shared" si="96"/>
        <v>0</v>
      </c>
      <c r="AA36" s="344">
        <f t="shared" si="96"/>
        <v>0</v>
      </c>
      <c r="AB36" s="344">
        <f t="shared" si="96"/>
        <v>0</v>
      </c>
      <c r="AC36" s="344">
        <f t="shared" si="96"/>
        <v>0</v>
      </c>
      <c r="AD36" s="344">
        <f t="shared" si="96"/>
        <v>0</v>
      </c>
      <c r="AE36" s="344">
        <f t="shared" si="96"/>
        <v>0</v>
      </c>
      <c r="AF36" s="344">
        <f t="shared" si="96"/>
        <v>0</v>
      </c>
      <c r="AG36" s="344">
        <f t="shared" si="96"/>
        <v>0</v>
      </c>
    </row>
    <row r="37" spans="1:33" s="632" customFormat="1" ht="16.5" customHeight="1" outlineLevel="2">
      <c r="A37" s="420"/>
      <c r="B37" s="420"/>
      <c r="C37" s="421" t="str">
        <f>CHOOSE(language,"Decrease (amortisation + disposals)","Decrease (amortization + disposals)")</f>
        <v>Decrease (amortization + disposals)</v>
      </c>
      <c r="D37" s="422" t="str">
        <f>Currency_Label</f>
        <v>USD</v>
      </c>
      <c r="E37" s="418"/>
      <c r="F37" s="418"/>
      <c r="G37" s="418"/>
      <c r="H37" s="418"/>
      <c r="I37" s="71">
        <f>SUM(J37:AG37)</f>
        <v>-15127.5</v>
      </c>
      <c r="J37" s="344">
        <f t="shared" ref="J37:AG37" si="97">-(J19+J29-J30)</f>
        <v>0</v>
      </c>
      <c r="K37" s="344">
        <f t="shared" si="97"/>
        <v>0</v>
      </c>
      <c r="L37" s="344">
        <f t="shared" si="97"/>
        <v>0</v>
      </c>
      <c r="M37" s="344">
        <f t="shared" si="97"/>
        <v>-250</v>
      </c>
      <c r="N37" s="344">
        <f t="shared" si="97"/>
        <v>-250</v>
      </c>
      <c r="O37" s="344">
        <f t="shared" si="97"/>
        <v>-250</v>
      </c>
      <c r="P37" s="344">
        <f t="shared" si="97"/>
        <v>-250</v>
      </c>
      <c r="Q37" s="344">
        <f t="shared" si="97"/>
        <v>-250</v>
      </c>
      <c r="R37" s="344">
        <f t="shared" si="97"/>
        <v>-991.25</v>
      </c>
      <c r="S37" s="344">
        <f t="shared" si="97"/>
        <v>-991.25</v>
      </c>
      <c r="T37" s="344">
        <f t="shared" si="97"/>
        <v>-991.25</v>
      </c>
      <c r="U37" s="344">
        <f t="shared" si="97"/>
        <v>-991.25</v>
      </c>
      <c r="V37" s="344">
        <f t="shared" si="97"/>
        <v>-991.25</v>
      </c>
      <c r="W37" s="344">
        <f t="shared" si="97"/>
        <v>-991.25</v>
      </c>
      <c r="X37" s="344">
        <f t="shared" si="97"/>
        <v>-991.25</v>
      </c>
      <c r="Y37" s="344">
        <f t="shared" si="97"/>
        <v>-991.25</v>
      </c>
      <c r="Z37" s="344">
        <f t="shared" si="97"/>
        <v>-991.25</v>
      </c>
      <c r="AA37" s="344">
        <f t="shared" si="97"/>
        <v>-991.25</v>
      </c>
      <c r="AB37" s="344">
        <f t="shared" si="97"/>
        <v>-991.25</v>
      </c>
      <c r="AC37" s="344">
        <f t="shared" si="97"/>
        <v>-991.25</v>
      </c>
      <c r="AD37" s="344">
        <f t="shared" si="97"/>
        <v>-991.25</v>
      </c>
      <c r="AE37" s="344">
        <f t="shared" si="97"/>
        <v>-991.25</v>
      </c>
      <c r="AF37" s="344">
        <f t="shared" si="97"/>
        <v>0</v>
      </c>
      <c r="AG37" s="344">
        <f t="shared" si="97"/>
        <v>0</v>
      </c>
    </row>
    <row r="38" spans="1:33" s="632" customFormat="1" ht="16.5" customHeight="1" outlineLevel="2" thickBot="1">
      <c r="A38" s="420"/>
      <c r="B38" s="420"/>
      <c r="C38" s="632" t="s">
        <v>141</v>
      </c>
      <c r="D38" s="422" t="str">
        <f>Currency_Label</f>
        <v>USD</v>
      </c>
      <c r="E38" s="418"/>
      <c r="F38" s="435"/>
      <c r="G38" s="436"/>
      <c r="H38" s="435"/>
      <c r="I38" s="144">
        <f>Inputs!F259</f>
        <v>0</v>
      </c>
      <c r="J38" s="443">
        <f>IF(ABS(SUM(J35:J37))&lt;0.001,0,SUM(J35:J37))</f>
        <v>0</v>
      </c>
      <c r="K38" s="443">
        <f t="shared" ref="K38:M38" si="98">IF(ABS(SUM(K35:K37))&lt;0.001,0,SUM(K35:K37))</f>
        <v>0</v>
      </c>
      <c r="L38" s="443">
        <f t="shared" si="98"/>
        <v>30000</v>
      </c>
      <c r="M38" s="443">
        <f t="shared" si="98"/>
        <v>29750</v>
      </c>
      <c r="N38" s="443">
        <f t="shared" ref="N38" si="99">IF(ABS(SUM(N35:N37))&lt;0.001,0,SUM(N35:N37))</f>
        <v>29500</v>
      </c>
      <c r="O38" s="443">
        <f t="shared" ref="O38" si="100">IF(ABS(SUM(O35:O37))&lt;0.001,0,SUM(O35:O37))</f>
        <v>29250</v>
      </c>
      <c r="P38" s="443">
        <f t="shared" ref="P38" si="101">IF(ABS(SUM(P35:P37))&lt;0.001,0,SUM(P35:P37))</f>
        <v>29000</v>
      </c>
      <c r="Q38" s="443">
        <f t="shared" ref="Q38" si="102">IF(ABS(SUM(Q35:Q37))&lt;0.001,0,SUM(Q35:Q37))</f>
        <v>117700</v>
      </c>
      <c r="R38" s="443">
        <f t="shared" ref="R38" si="103">IF(ABS(SUM(R35:R37))&lt;0.001,0,SUM(R35:R37))</f>
        <v>116708.75</v>
      </c>
      <c r="S38" s="443">
        <f t="shared" ref="S38" si="104">IF(ABS(SUM(S35:S37))&lt;0.001,0,SUM(S35:S37))</f>
        <v>115717.5</v>
      </c>
      <c r="T38" s="443">
        <f t="shared" ref="T38" si="105">IF(ABS(SUM(T35:T37))&lt;0.001,0,SUM(T35:T37))</f>
        <v>114726.25</v>
      </c>
      <c r="U38" s="443">
        <f t="shared" ref="U38" si="106">IF(ABS(SUM(U35:U37))&lt;0.001,0,SUM(U35:U37))</f>
        <v>113735</v>
      </c>
      <c r="V38" s="443">
        <f t="shared" ref="V38" si="107">IF(ABS(SUM(V35:V37))&lt;0.001,0,SUM(V35:V37))</f>
        <v>112743.75</v>
      </c>
      <c r="W38" s="443">
        <f t="shared" ref="W38" si="108">IF(ABS(SUM(W35:W37))&lt;0.001,0,SUM(W35:W37))</f>
        <v>111752.5</v>
      </c>
      <c r="X38" s="443">
        <f t="shared" ref="X38" si="109">IF(ABS(SUM(X35:X37))&lt;0.001,0,SUM(X35:X37))</f>
        <v>110761.25</v>
      </c>
      <c r="Y38" s="443">
        <f t="shared" ref="Y38" si="110">IF(ABS(SUM(Y35:Y37))&lt;0.001,0,SUM(Y35:Y37))</f>
        <v>109770</v>
      </c>
      <c r="Z38" s="443">
        <f t="shared" ref="Z38" si="111">IF(ABS(SUM(Z35:Z37))&lt;0.001,0,SUM(Z35:Z37))</f>
        <v>108778.75</v>
      </c>
      <c r="AA38" s="443">
        <f t="shared" ref="AA38" si="112">IF(ABS(SUM(AA35:AA37))&lt;0.001,0,SUM(AA35:AA37))</f>
        <v>107787.5</v>
      </c>
      <c r="AB38" s="443">
        <f t="shared" ref="AB38" si="113">IF(ABS(SUM(AB35:AB37))&lt;0.001,0,SUM(AB35:AB37))</f>
        <v>106796.25</v>
      </c>
      <c r="AC38" s="443">
        <f t="shared" ref="AC38" si="114">IF(ABS(SUM(AC35:AC37))&lt;0.001,0,SUM(AC35:AC37))</f>
        <v>105805</v>
      </c>
      <c r="AD38" s="443">
        <f t="shared" ref="AD38" si="115">IF(ABS(SUM(AD35:AD37))&lt;0.001,0,SUM(AD35:AD37))</f>
        <v>104813.75</v>
      </c>
      <c r="AE38" s="443">
        <f t="shared" ref="AE38" si="116">IF(ABS(SUM(AE35:AE37))&lt;0.001,0,SUM(AE35:AE37))</f>
        <v>103822.5</v>
      </c>
      <c r="AF38" s="443">
        <f t="shared" ref="AF38" si="117">IF(ABS(SUM(AF35:AF37))&lt;0.001,0,SUM(AF35:AF37))</f>
        <v>0</v>
      </c>
      <c r="AG38" s="443">
        <f t="shared" ref="AG38" si="118">IF(ABS(SUM(AG35:AG37))&lt;0.001,0,SUM(AG35:AG37))</f>
        <v>0</v>
      </c>
    </row>
    <row r="39" spans="1:33" s="632" customFormat="1" ht="16.5" customHeight="1" outlineLevel="1" thickTop="1">
      <c r="A39" s="420"/>
      <c r="B39" s="420"/>
      <c r="C39" s="434"/>
      <c r="D39" s="428"/>
      <c r="E39" s="435"/>
      <c r="F39" s="430"/>
      <c r="G39" s="430"/>
      <c r="H39" s="420"/>
      <c r="I39" s="420"/>
      <c r="J39" s="431"/>
      <c r="K39" s="431"/>
      <c r="L39" s="418"/>
      <c r="M39" s="418"/>
      <c r="N39" s="418"/>
      <c r="O39" s="418"/>
      <c r="P39" s="418"/>
      <c r="Q39" s="418"/>
      <c r="R39" s="418"/>
      <c r="S39" s="418"/>
      <c r="T39" s="418"/>
      <c r="U39" s="418"/>
      <c r="V39" s="418"/>
      <c r="W39" s="418"/>
      <c r="X39" s="418"/>
      <c r="Y39" s="418"/>
      <c r="Z39" s="418"/>
      <c r="AA39" s="418"/>
      <c r="AB39" s="418"/>
      <c r="AC39" s="418"/>
      <c r="AD39" s="418"/>
      <c r="AE39" s="418"/>
      <c r="AF39" s="418"/>
      <c r="AG39" s="418"/>
    </row>
    <row r="40" spans="1:33" s="632" customFormat="1" ht="22.5" customHeight="1">
      <c r="A40" s="274"/>
      <c r="B40" s="274" t="s">
        <v>372</v>
      </c>
      <c r="C40" s="274" t="s">
        <v>317</v>
      </c>
      <c r="D40" s="428"/>
      <c r="E40" s="435"/>
      <c r="F40" s="430"/>
      <c r="G40" s="430"/>
      <c r="H40" s="420"/>
      <c r="I40" s="420"/>
      <c r="J40" s="431"/>
      <c r="K40" s="431"/>
      <c r="L40" s="441"/>
      <c r="M40" s="418"/>
      <c r="N40" s="418"/>
      <c r="O40" s="418"/>
      <c r="P40" s="418"/>
      <c r="Q40" s="418"/>
      <c r="R40" s="418"/>
      <c r="S40" s="418"/>
      <c r="T40" s="418"/>
      <c r="U40" s="418"/>
      <c r="V40" s="418"/>
      <c r="W40" s="418"/>
      <c r="X40" s="418"/>
      <c r="Y40" s="418"/>
      <c r="Z40" s="418"/>
      <c r="AA40" s="418"/>
      <c r="AB40" s="418"/>
      <c r="AC40" s="418"/>
      <c r="AD40" s="418"/>
      <c r="AE40" s="418"/>
      <c r="AF40" s="418"/>
      <c r="AG40" s="418"/>
    </row>
    <row r="41" spans="1:33" s="632" customFormat="1" ht="16.5" customHeight="1" outlineLevel="1">
      <c r="A41" s="420"/>
      <c r="B41" s="709">
        <v>1</v>
      </c>
      <c r="C41" s="706" t="s">
        <v>383</v>
      </c>
      <c r="D41" s="428"/>
      <c r="E41" s="435"/>
      <c r="F41" s="435"/>
      <c r="G41" s="436"/>
      <c r="H41" s="435"/>
      <c r="I41" s="435"/>
      <c r="J41" s="431"/>
      <c r="K41" s="431"/>
      <c r="L41" s="441"/>
      <c r="M41" s="418"/>
      <c r="N41" s="418"/>
      <c r="O41" s="418"/>
      <c r="P41" s="418"/>
      <c r="Q41" s="418"/>
      <c r="R41" s="418"/>
      <c r="S41" s="418"/>
      <c r="T41" s="418"/>
      <c r="U41" s="418"/>
      <c r="V41" s="418"/>
      <c r="W41" s="418"/>
      <c r="X41" s="418"/>
      <c r="Y41" s="418"/>
      <c r="Z41" s="418"/>
      <c r="AA41" s="418"/>
      <c r="AB41" s="418"/>
      <c r="AC41" s="418"/>
      <c r="AD41" s="418"/>
      <c r="AE41" s="418"/>
      <c r="AF41" s="418"/>
      <c r="AG41" s="418"/>
    </row>
    <row r="42" spans="1:33" s="632" customFormat="1" ht="16.5" customHeight="1" outlineLevel="1">
      <c r="A42" s="420"/>
      <c r="B42" s="430"/>
      <c r="C42" s="625" t="s">
        <v>373</v>
      </c>
      <c r="D42" s="707"/>
      <c r="E42" s="513" t="s">
        <v>374</v>
      </c>
      <c r="F42" s="1022">
        <v>1</v>
      </c>
      <c r="G42" s="625" t="s">
        <v>293</v>
      </c>
      <c r="H42" s="84">
        <f>VLOOKUP(G42,Inputs!$C$211:$F$214,4,FALSE)</f>
        <v>0</v>
      </c>
      <c r="I42" s="435"/>
      <c r="J42" s="708"/>
      <c r="K42" s="431"/>
      <c r="L42" s="418"/>
      <c r="M42" s="418"/>
      <c r="N42" s="418"/>
      <c r="O42" s="418"/>
      <c r="P42" s="418"/>
      <c r="Q42" s="418"/>
      <c r="R42" s="418"/>
      <c r="S42" s="418"/>
      <c r="T42" s="418"/>
      <c r="U42" s="418"/>
      <c r="V42" s="418"/>
      <c r="W42" s="418"/>
      <c r="X42" s="418"/>
      <c r="Y42" s="418"/>
      <c r="Z42" s="418"/>
      <c r="AA42" s="418"/>
      <c r="AB42" s="418"/>
      <c r="AC42" s="418"/>
      <c r="AD42" s="418"/>
      <c r="AE42" s="418"/>
      <c r="AF42" s="418"/>
      <c r="AG42" s="418"/>
    </row>
    <row r="43" spans="1:33" s="632" customFormat="1" ht="16.5" customHeight="1" outlineLevel="2">
      <c r="A43" s="420"/>
      <c r="B43" s="709" t="s">
        <v>40</v>
      </c>
      <c r="C43" s="706" t="str">
        <f>"Purchases: "&amp;C42</f>
        <v>Purchases: Land and Buildings</v>
      </c>
      <c r="D43" s="710"/>
      <c r="E43" s="664"/>
      <c r="F43" s="664"/>
      <c r="G43" s="664"/>
      <c r="H43" s="664"/>
      <c r="I43" s="435"/>
      <c r="J43" s="708"/>
      <c r="K43" s="431"/>
      <c r="L43" s="418"/>
      <c r="M43" s="418"/>
      <c r="N43" s="418"/>
      <c r="O43" s="418"/>
      <c r="P43" s="418"/>
      <c r="Q43" s="418"/>
      <c r="R43" s="418"/>
      <c r="S43" s="418"/>
      <c r="T43" s="418"/>
      <c r="U43" s="418"/>
      <c r="V43" s="418"/>
      <c r="W43" s="418"/>
      <c r="X43" s="418"/>
      <c r="Y43" s="418"/>
      <c r="Z43" s="418"/>
      <c r="AA43" s="418"/>
      <c r="AB43" s="418"/>
      <c r="AC43" s="418"/>
      <c r="AD43" s="418"/>
      <c r="AE43" s="418"/>
      <c r="AF43" s="418"/>
      <c r="AG43" s="418"/>
    </row>
    <row r="44" spans="1:33" s="632" customFormat="1" ht="16.5" customHeight="1" outlineLevel="2">
      <c r="A44" s="420"/>
      <c r="B44" s="420"/>
      <c r="C44" s="625" t="s">
        <v>356</v>
      </c>
      <c r="D44" s="422" t="str">
        <f t="shared" ref="D44:D49" si="119">Currency_Label</f>
        <v>USD</v>
      </c>
      <c r="E44" s="664"/>
      <c r="F44" s="664"/>
      <c r="G44" s="664"/>
      <c r="H44" s="664"/>
      <c r="I44" s="71">
        <f t="shared" ref="I44:I49" si="120">SUMPRODUCT((J$6:AG$6),(J44:AG44))</f>
        <v>0</v>
      </c>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row>
    <row r="45" spans="1:33" s="632" customFormat="1" ht="16.5" customHeight="1" outlineLevel="2">
      <c r="A45" s="420"/>
      <c r="B45" s="420"/>
      <c r="C45" s="625" t="s">
        <v>357</v>
      </c>
      <c r="D45" s="422" t="str">
        <f t="shared" si="119"/>
        <v>USD</v>
      </c>
      <c r="E45" s="664"/>
      <c r="F45" s="664"/>
      <c r="G45" s="664"/>
      <c r="H45" s="664"/>
      <c r="I45" s="71">
        <f t="shared" si="120"/>
        <v>0</v>
      </c>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row>
    <row r="46" spans="1:33" s="632" customFormat="1" ht="16.5" customHeight="1" outlineLevel="2">
      <c r="A46" s="420"/>
      <c r="B46" s="420"/>
      <c r="C46" s="625" t="s">
        <v>358</v>
      </c>
      <c r="D46" s="422" t="str">
        <f t="shared" si="119"/>
        <v>USD</v>
      </c>
      <c r="E46" s="664"/>
      <c r="F46" s="664"/>
      <c r="G46" s="664"/>
      <c r="H46" s="664"/>
      <c r="I46" s="71">
        <f t="shared" si="120"/>
        <v>0</v>
      </c>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row>
    <row r="47" spans="1:33" s="632" customFormat="1" ht="16.5" customHeight="1" outlineLevel="2">
      <c r="A47" s="420"/>
      <c r="B47" s="420"/>
      <c r="C47" s="625" t="s">
        <v>359</v>
      </c>
      <c r="D47" s="422" t="str">
        <f t="shared" si="119"/>
        <v>USD</v>
      </c>
      <c r="E47" s="664"/>
      <c r="F47" s="664"/>
      <c r="G47" s="664"/>
      <c r="H47" s="664"/>
      <c r="I47" s="71">
        <f t="shared" si="120"/>
        <v>0</v>
      </c>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row>
    <row r="48" spans="1:33" s="632" customFormat="1" ht="16.5" customHeight="1" outlineLevel="2">
      <c r="A48" s="420"/>
      <c r="B48" s="420"/>
      <c r="C48" s="625" t="s">
        <v>360</v>
      </c>
      <c r="D48" s="422" t="str">
        <f t="shared" si="119"/>
        <v>USD</v>
      </c>
      <c r="E48" s="664"/>
      <c r="F48" s="664"/>
      <c r="G48" s="664"/>
      <c r="H48" s="664"/>
      <c r="I48" s="71">
        <f t="shared" si="120"/>
        <v>0</v>
      </c>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row>
    <row r="49" spans="1:33" s="632" customFormat="1" ht="16.5" customHeight="1" outlineLevel="2">
      <c r="A49" s="420"/>
      <c r="B49" s="420"/>
      <c r="C49" s="421" t="s">
        <v>361</v>
      </c>
      <c r="D49" s="422" t="str">
        <f t="shared" si="119"/>
        <v>USD</v>
      </c>
      <c r="E49" s="664"/>
      <c r="F49" s="664"/>
      <c r="G49" s="664"/>
      <c r="H49" s="664"/>
      <c r="I49" s="71">
        <f t="shared" si="120"/>
        <v>0</v>
      </c>
      <c r="J49" s="715">
        <f>SUM(J44:J48)*J$6</f>
        <v>0</v>
      </c>
      <c r="K49" s="715">
        <f t="shared" ref="K49" si="121">SUM(K44:K48)*K$6</f>
        <v>0</v>
      </c>
      <c r="L49" s="715">
        <f t="shared" ref="L49" si="122">SUM(L44:L48)*L$6</f>
        <v>0</v>
      </c>
      <c r="M49" s="715">
        <f t="shared" ref="M49" si="123">SUM(M44:M48)*M$6</f>
        <v>0</v>
      </c>
      <c r="N49" s="715">
        <f t="shared" ref="N49" si="124">SUM(N44:N48)*N$6</f>
        <v>0</v>
      </c>
      <c r="O49" s="715">
        <f t="shared" ref="O49" si="125">SUM(O44:O48)*O$6</f>
        <v>0</v>
      </c>
      <c r="P49" s="715">
        <f t="shared" ref="P49" si="126">SUM(P44:P48)*P$6</f>
        <v>0</v>
      </c>
      <c r="Q49" s="715">
        <f t="shared" ref="Q49" si="127">SUM(Q44:Q48)*Q$6</f>
        <v>0</v>
      </c>
      <c r="R49" s="715">
        <f t="shared" ref="R49" si="128">SUM(R44:R48)*R$6</f>
        <v>0</v>
      </c>
      <c r="S49" s="715">
        <f t="shared" ref="S49" si="129">SUM(S44:S48)*S$6</f>
        <v>0</v>
      </c>
      <c r="T49" s="715">
        <f t="shared" ref="T49" si="130">SUM(T44:T48)*T$6</f>
        <v>0</v>
      </c>
      <c r="U49" s="715">
        <f t="shared" ref="U49" si="131">SUM(U44:U48)*U$6</f>
        <v>0</v>
      </c>
      <c r="V49" s="715">
        <f t="shared" ref="V49" si="132">SUM(V44:V48)*V$6</f>
        <v>0</v>
      </c>
      <c r="W49" s="715">
        <f t="shared" ref="W49" si="133">SUM(W44:W48)*W$6</f>
        <v>0</v>
      </c>
      <c r="X49" s="715">
        <f t="shared" ref="X49" si="134">SUM(X44:X48)*X$6</f>
        <v>0</v>
      </c>
      <c r="Y49" s="715">
        <f t="shared" ref="Y49" si="135">SUM(Y44:Y48)*Y$6</f>
        <v>0</v>
      </c>
      <c r="Z49" s="715">
        <f t="shared" ref="Z49" si="136">SUM(Z44:Z48)*Z$6</f>
        <v>0</v>
      </c>
      <c r="AA49" s="715">
        <f t="shared" ref="AA49" si="137">SUM(AA44:AA48)*AA$6</f>
        <v>0</v>
      </c>
      <c r="AB49" s="715">
        <f t="shared" ref="AB49" si="138">SUM(AB44:AB48)*AB$6</f>
        <v>0</v>
      </c>
      <c r="AC49" s="715">
        <f t="shared" ref="AC49" si="139">SUM(AC44:AC48)*AC$6</f>
        <v>0</v>
      </c>
      <c r="AD49" s="715">
        <f t="shared" ref="AD49" si="140">SUM(AD44:AD48)*AD$6</f>
        <v>0</v>
      </c>
      <c r="AE49" s="715">
        <f t="shared" ref="AE49" si="141">SUM(AE44:AE48)*AE$6</f>
        <v>0</v>
      </c>
      <c r="AF49" s="715">
        <f t="shared" ref="AF49" si="142">SUM(AF44:AF48)*AF$6</f>
        <v>0</v>
      </c>
      <c r="AG49" s="715">
        <f t="shared" ref="AG49" si="143">SUM(AG44:AG48)*AG$6</f>
        <v>0</v>
      </c>
    </row>
    <row r="50" spans="1:33" s="632" customFormat="1" ht="16.5" customHeight="1" outlineLevel="2">
      <c r="A50" s="420"/>
      <c r="B50" s="709" t="s">
        <v>42</v>
      </c>
      <c r="C50" s="706" t="str">
        <f>"Depreciation: "&amp;C42</f>
        <v>Depreciation: Land and Buildings</v>
      </c>
      <c r="D50" s="664"/>
      <c r="E50" s="664"/>
      <c r="F50" s="664"/>
      <c r="G50" s="664"/>
      <c r="H50" s="431"/>
      <c r="I50" s="431"/>
      <c r="J50" s="431"/>
      <c r="K50" s="431"/>
      <c r="L50" s="418"/>
      <c r="M50" s="418"/>
      <c r="N50" s="418"/>
      <c r="O50" s="418"/>
      <c r="P50" s="418"/>
      <c r="Q50" s="418"/>
      <c r="R50" s="418"/>
      <c r="S50" s="418"/>
      <c r="T50" s="418"/>
      <c r="U50" s="418"/>
      <c r="V50" s="418"/>
      <c r="W50" s="418"/>
      <c r="X50" s="418"/>
      <c r="Y50" s="418"/>
      <c r="Z50" s="418"/>
      <c r="AA50" s="418"/>
      <c r="AB50" s="418"/>
      <c r="AC50" s="418"/>
      <c r="AD50" s="418"/>
      <c r="AE50" s="418"/>
      <c r="AF50" s="418"/>
      <c r="AG50" s="418"/>
    </row>
    <row r="51" spans="1:33" s="632" customFormat="1" ht="16.5" customHeight="1" outlineLevel="2">
      <c r="A51" s="420"/>
      <c r="B51" s="420"/>
      <c r="C51" s="421" t="s">
        <v>362</v>
      </c>
      <c r="D51" s="422" t="str">
        <f>Currency_Label</f>
        <v>USD</v>
      </c>
      <c r="E51" s="664"/>
      <c r="F51" s="671" t="s">
        <v>363</v>
      </c>
      <c r="G51" s="671" t="s">
        <v>30</v>
      </c>
      <c r="H51" s="513"/>
      <c r="I51" s="144">
        <f>Inputs!F261</f>
        <v>0</v>
      </c>
      <c r="J51" s="344">
        <f t="shared" ref="J51:M51" si="144">(I51+J49+J55+J57-J62)*J$6</f>
        <v>0</v>
      </c>
      <c r="K51" s="344">
        <f t="shared" si="144"/>
        <v>0</v>
      </c>
      <c r="L51" s="344">
        <f t="shared" si="144"/>
        <v>0</v>
      </c>
      <c r="M51" s="344">
        <f t="shared" si="144"/>
        <v>0</v>
      </c>
      <c r="N51" s="344">
        <f t="shared" ref="N51:AG51" si="145">(M51+N49+N55+N57-N62)*N$6</f>
        <v>0</v>
      </c>
      <c r="O51" s="344">
        <f t="shared" si="145"/>
        <v>0</v>
      </c>
      <c r="P51" s="344">
        <f t="shared" si="145"/>
        <v>0</v>
      </c>
      <c r="Q51" s="344">
        <f t="shared" si="145"/>
        <v>0</v>
      </c>
      <c r="R51" s="344">
        <f t="shared" si="145"/>
        <v>0</v>
      </c>
      <c r="S51" s="344">
        <f t="shared" si="145"/>
        <v>0</v>
      </c>
      <c r="T51" s="344">
        <f t="shared" si="145"/>
        <v>0</v>
      </c>
      <c r="U51" s="344">
        <f t="shared" si="145"/>
        <v>0</v>
      </c>
      <c r="V51" s="344">
        <f t="shared" si="145"/>
        <v>0</v>
      </c>
      <c r="W51" s="344">
        <f t="shared" si="145"/>
        <v>0</v>
      </c>
      <c r="X51" s="344">
        <f t="shared" si="145"/>
        <v>0</v>
      </c>
      <c r="Y51" s="344">
        <f t="shared" si="145"/>
        <v>0</v>
      </c>
      <c r="Z51" s="344">
        <f t="shared" si="145"/>
        <v>0</v>
      </c>
      <c r="AA51" s="344">
        <f t="shared" si="145"/>
        <v>0</v>
      </c>
      <c r="AB51" s="344">
        <f t="shared" si="145"/>
        <v>0</v>
      </c>
      <c r="AC51" s="344">
        <f t="shared" si="145"/>
        <v>0</v>
      </c>
      <c r="AD51" s="344">
        <f t="shared" si="145"/>
        <v>0</v>
      </c>
      <c r="AE51" s="344">
        <f t="shared" si="145"/>
        <v>0</v>
      </c>
      <c r="AF51" s="344">
        <f t="shared" si="145"/>
        <v>0</v>
      </c>
      <c r="AG51" s="344">
        <f t="shared" si="145"/>
        <v>0</v>
      </c>
    </row>
    <row r="52" spans="1:33" s="632" customFormat="1" ht="16.5" customHeight="1" outlineLevel="2">
      <c r="A52" s="420"/>
      <c r="B52" s="420"/>
      <c r="C52" s="421" t="s">
        <v>376</v>
      </c>
      <c r="D52" s="422" t="str">
        <f>Currency_Label</f>
        <v>USD</v>
      </c>
      <c r="E52" s="664"/>
      <c r="F52" s="718">
        <v>50</v>
      </c>
      <c r="G52" s="719">
        <f>IF(F52=0,0,1/F52)</f>
        <v>0.02</v>
      </c>
      <c r="H52" s="668">
        <f>IF(ABS(MIN($J52:$AG52))&gt;0.01,1,0)</f>
        <v>0</v>
      </c>
      <c r="I52" s="71">
        <f>SUM(J52:AG52)</f>
        <v>0</v>
      </c>
      <c r="J52" s="716">
        <f t="shared" ref="J52" si="146">IF(I51-I53&lt;IF($F53=1,$G52*I51,(I51-I53)*2*$G52),I51-I53,IF($F53=1,$G52*I51,(I51-I53)*2*$G52))*J$6</f>
        <v>0</v>
      </c>
      <c r="K52" s="716">
        <f t="shared" ref="K52" si="147">IF(J51-J53&lt;IF($F53=1,$G52*J51,(J51-J53)*2*$G52),J51-J53,IF($F53=1,$G52*J51,(J51-J53)*2*$G52))*K$6</f>
        <v>0</v>
      </c>
      <c r="L52" s="716">
        <f t="shared" ref="L52" si="148">IF(K51-K53&lt;IF($F53=1,$G52*K51,(K51-K53)*2*$G52),K51-K53,IF($F53=1,$G52*K51,(K51-K53)*2*$G52))*L$6</f>
        <v>0</v>
      </c>
      <c r="M52" s="716">
        <f t="shared" ref="M52" si="149">IF(L51-L53&lt;IF($F53=1,$G52*L51,(L51-L53)*2*$G52),L51-L53,IF($F53=1,$G52*L51,(L51-L53)*2*$G52))*M$6</f>
        <v>0</v>
      </c>
      <c r="N52" s="716">
        <f t="shared" ref="N52" si="150">IF(M51-M53&lt;IF($F53=1,$G52*M51,(M51-M53)*2*$G52),M51-M53,IF($F53=1,$G52*M51,(M51-M53)*2*$G52))*N$6</f>
        <v>0</v>
      </c>
      <c r="O52" s="716">
        <f t="shared" ref="O52" si="151">IF(N51-N53&lt;IF($F53=1,$G52*N51,(N51-N53)*2*$G52),N51-N53,IF($F53=1,$G52*N51,(N51-N53)*2*$G52))*O$6</f>
        <v>0</v>
      </c>
      <c r="P52" s="716">
        <f t="shared" ref="P52" si="152">IF(O51-O53&lt;IF($F53=1,$G52*O51,(O51-O53)*2*$G52),O51-O53,IF($F53=1,$G52*O51,(O51-O53)*2*$G52))*P$6</f>
        <v>0</v>
      </c>
      <c r="Q52" s="716">
        <f t="shared" ref="Q52" si="153">IF(P51-P53&lt;IF($F53=1,$G52*P51,(P51-P53)*2*$G52),P51-P53,IF($F53=1,$G52*P51,(P51-P53)*2*$G52))*Q$6</f>
        <v>0</v>
      </c>
      <c r="R52" s="716">
        <f t="shared" ref="R52" si="154">IF(Q51-Q53&lt;IF($F53=1,$G52*Q51,(Q51-Q53)*2*$G52),Q51-Q53,IF($F53=1,$G52*Q51,(Q51-Q53)*2*$G52))*R$6</f>
        <v>0</v>
      </c>
      <c r="S52" s="716">
        <f t="shared" ref="S52" si="155">IF(R51-R53&lt;IF($F53=1,$G52*R51,(R51-R53)*2*$G52),R51-R53,IF($F53=1,$G52*R51,(R51-R53)*2*$G52))*S$6</f>
        <v>0</v>
      </c>
      <c r="T52" s="716">
        <f t="shared" ref="T52" si="156">IF(S51-S53&lt;IF($F53=1,$G52*S51,(S51-S53)*2*$G52),S51-S53,IF($F53=1,$G52*S51,(S51-S53)*2*$G52))*T$6</f>
        <v>0</v>
      </c>
      <c r="U52" s="716">
        <f t="shared" ref="U52" si="157">IF(T51-T53&lt;IF($F53=1,$G52*T51,(T51-T53)*2*$G52),T51-T53,IF($F53=1,$G52*T51,(T51-T53)*2*$G52))*U$6</f>
        <v>0</v>
      </c>
      <c r="V52" s="716">
        <f t="shared" ref="V52" si="158">IF(U51-U53&lt;IF($F53=1,$G52*U51,(U51-U53)*2*$G52),U51-U53,IF($F53=1,$G52*U51,(U51-U53)*2*$G52))*V$6</f>
        <v>0</v>
      </c>
      <c r="W52" s="716">
        <f t="shared" ref="W52" si="159">IF(V51-V53&lt;IF($F53=1,$G52*V51,(V51-V53)*2*$G52),V51-V53,IF($F53=1,$G52*V51,(V51-V53)*2*$G52))*W$6</f>
        <v>0</v>
      </c>
      <c r="X52" s="716">
        <f t="shared" ref="X52" si="160">IF(W51-W53&lt;IF($F53=1,$G52*W51,(W51-W53)*2*$G52),W51-W53,IF($F53=1,$G52*W51,(W51-W53)*2*$G52))*X$6</f>
        <v>0</v>
      </c>
      <c r="Y52" s="716">
        <f t="shared" ref="Y52" si="161">IF(X51-X53&lt;IF($F53=1,$G52*X51,(X51-X53)*2*$G52),X51-X53,IF($F53=1,$G52*X51,(X51-X53)*2*$G52))*Y$6</f>
        <v>0</v>
      </c>
      <c r="Z52" s="716">
        <f t="shared" ref="Z52" si="162">IF(Y51-Y53&lt;IF($F53=1,$G52*Y51,(Y51-Y53)*2*$G52),Y51-Y53,IF($F53=1,$G52*Y51,(Y51-Y53)*2*$G52))*Z$6</f>
        <v>0</v>
      </c>
      <c r="AA52" s="716">
        <f t="shared" ref="AA52" si="163">IF(Z51-Z53&lt;IF($F53=1,$G52*Z51,(Z51-Z53)*2*$G52),Z51-Z53,IF($F53=1,$G52*Z51,(Z51-Z53)*2*$G52))*AA$6</f>
        <v>0</v>
      </c>
      <c r="AB52" s="716">
        <f t="shared" ref="AB52" si="164">IF(AA51-AA53&lt;IF($F53=1,$G52*AA51,(AA51-AA53)*2*$G52),AA51-AA53,IF($F53=1,$G52*AA51,(AA51-AA53)*2*$G52))*AB$6</f>
        <v>0</v>
      </c>
      <c r="AC52" s="716">
        <f t="shared" ref="AC52" si="165">IF(AB51-AB53&lt;IF($F53=1,$G52*AB51,(AB51-AB53)*2*$G52),AB51-AB53,IF($F53=1,$G52*AB51,(AB51-AB53)*2*$G52))*AC$6</f>
        <v>0</v>
      </c>
      <c r="AD52" s="716">
        <f t="shared" ref="AD52" si="166">IF(AC51-AC53&lt;IF($F53=1,$G52*AC51,(AC51-AC53)*2*$G52),AC51-AC53,IF($F53=1,$G52*AC51,(AC51-AC53)*2*$G52))*AD$6</f>
        <v>0</v>
      </c>
      <c r="AE52" s="716">
        <f t="shared" ref="AE52" si="167">IF(AD51-AD53&lt;IF($F53=1,$G52*AD51,(AD51-AD53)*2*$G52),AD51-AD53,IF($F53=1,$G52*AD51,(AD51-AD53)*2*$G52))*AE$6</f>
        <v>0</v>
      </c>
      <c r="AF52" s="716">
        <f t="shared" ref="AF52" si="168">IF(AE51-AE53&lt;IF($F53=1,$G52*AE51,(AE51-AE53)*2*$G52),AE51-AE53,IF($F53=1,$G52*AE51,(AE51-AE53)*2*$G52))*AF$6</f>
        <v>0</v>
      </c>
      <c r="AG52" s="716">
        <f t="shared" ref="AG52" si="169">IF(AF51-AF53&lt;IF($F53=1,$G52*AF51,(AF51-AF53)*2*$G52),AF51-AF53,IF($F53=1,$G52*AF51,(AF51-AF53)*2*$G52))*AG$6</f>
        <v>0</v>
      </c>
    </row>
    <row r="53" spans="1:33" s="632" customFormat="1" ht="16.5" customHeight="1" outlineLevel="2">
      <c r="A53" s="420"/>
      <c r="B53" s="420"/>
      <c r="C53" s="421" t="s">
        <v>377</v>
      </c>
      <c r="D53" s="422" t="str">
        <f>Currency_Label</f>
        <v>USD</v>
      </c>
      <c r="E53" s="269" t="s">
        <v>364</v>
      </c>
      <c r="F53" s="899">
        <v>1</v>
      </c>
      <c r="G53" s="712" t="str">
        <f>IF(F53=1," straight-line"," double declining balance")</f>
        <v xml:space="preserve"> straight-line</v>
      </c>
      <c r="H53" s="513"/>
      <c r="I53" s="714"/>
      <c r="J53" s="717">
        <f t="shared" ref="J53" si="170">(I53+J52-J63)*J$6</f>
        <v>0</v>
      </c>
      <c r="K53" s="717">
        <f t="shared" ref="K53" si="171">(J53+K52-K63)*K$6</f>
        <v>0</v>
      </c>
      <c r="L53" s="717">
        <f t="shared" ref="L53" si="172">(K53+L52-L63)*L$6</f>
        <v>0</v>
      </c>
      <c r="M53" s="717">
        <f t="shared" ref="M53" si="173">(L53+M52-M63)*M$6</f>
        <v>0</v>
      </c>
      <c r="N53" s="717">
        <f t="shared" ref="N53" si="174">(M53+N52-N63)*N$6</f>
        <v>0</v>
      </c>
      <c r="O53" s="717">
        <f t="shared" ref="O53" si="175">(N53+O52-O63)*O$6</f>
        <v>0</v>
      </c>
      <c r="P53" s="717">
        <f t="shared" ref="P53" si="176">(O53+P52-P63)*P$6</f>
        <v>0</v>
      </c>
      <c r="Q53" s="717">
        <f t="shared" ref="Q53" si="177">(P53+Q52-Q63)*Q$6</f>
        <v>0</v>
      </c>
      <c r="R53" s="717">
        <f t="shared" ref="R53" si="178">(Q53+R52-R63)*R$6</f>
        <v>0</v>
      </c>
      <c r="S53" s="717">
        <f t="shared" ref="S53" si="179">(R53+S52-S63)*S$6</f>
        <v>0</v>
      </c>
      <c r="T53" s="717">
        <f t="shared" ref="T53" si="180">(S53+T52-T63)*T$6</f>
        <v>0</v>
      </c>
      <c r="U53" s="717">
        <f t="shared" ref="U53" si="181">(T53+U52-U63)*U$6</f>
        <v>0</v>
      </c>
      <c r="V53" s="717">
        <f t="shared" ref="V53" si="182">(U53+V52-V63)*V$6</f>
        <v>0</v>
      </c>
      <c r="W53" s="717">
        <f t="shared" ref="W53" si="183">(V53+W52-W63)*W$6</f>
        <v>0</v>
      </c>
      <c r="X53" s="717">
        <f t="shared" ref="X53" si="184">(W53+X52-X63)*X$6</f>
        <v>0</v>
      </c>
      <c r="Y53" s="717">
        <f t="shared" ref="Y53" si="185">(X53+Y52-Y63)*Y$6</f>
        <v>0</v>
      </c>
      <c r="Z53" s="717">
        <f t="shared" ref="Z53" si="186">(Y53+Z52-Z63)*Z$6</f>
        <v>0</v>
      </c>
      <c r="AA53" s="717">
        <f t="shared" ref="AA53" si="187">(Z53+AA52-AA63)*AA$6</f>
        <v>0</v>
      </c>
      <c r="AB53" s="717">
        <f t="shared" ref="AB53" si="188">(AA53+AB52-AB63)*AB$6</f>
        <v>0</v>
      </c>
      <c r="AC53" s="717">
        <f t="shared" ref="AC53" si="189">(AB53+AC52-AC63)*AC$6</f>
        <v>0</v>
      </c>
      <c r="AD53" s="717">
        <f t="shared" ref="AD53" si="190">(AC53+AD52-AD63)*AD$6</f>
        <v>0</v>
      </c>
      <c r="AE53" s="717">
        <f t="shared" ref="AE53" si="191">(AD53+AE52-AE63)*AE$6</f>
        <v>0</v>
      </c>
      <c r="AF53" s="717">
        <f t="shared" ref="AF53" si="192">(AE53+AF52-AF63)*AF$6</f>
        <v>0</v>
      </c>
      <c r="AG53" s="717">
        <f t="shared" ref="AG53" si="193">(AF53+AG52-AG63)*AG$6</f>
        <v>0</v>
      </c>
    </row>
    <row r="54" spans="1:33" s="632" customFormat="1" ht="16.5" customHeight="1" outlineLevel="2">
      <c r="A54" s="420"/>
      <c r="B54" s="709" t="s">
        <v>43</v>
      </c>
      <c r="C54" s="706" t="str">
        <f>"Company produced additions: "&amp;C42</f>
        <v>Company produced additions: Land and Buildings</v>
      </c>
      <c r="D54" s="435"/>
      <c r="E54" s="435"/>
      <c r="F54" s="435"/>
      <c r="G54" s="435"/>
      <c r="H54" s="435"/>
      <c r="I54" s="435"/>
      <c r="J54" s="431"/>
      <c r="K54" s="431"/>
      <c r="L54" s="418"/>
      <c r="M54" s="418"/>
      <c r="N54" s="418"/>
      <c r="O54" s="418"/>
      <c r="P54" s="418"/>
      <c r="Q54" s="418"/>
      <c r="R54" s="418"/>
      <c r="S54" s="418"/>
      <c r="T54" s="418"/>
      <c r="U54" s="418"/>
      <c r="V54" s="418"/>
      <c r="W54" s="418"/>
      <c r="X54" s="418"/>
      <c r="Y54" s="418"/>
      <c r="Z54" s="418"/>
      <c r="AA54" s="418"/>
      <c r="AB54" s="418"/>
      <c r="AC54" s="418"/>
      <c r="AD54" s="418"/>
      <c r="AE54" s="418"/>
      <c r="AF54" s="418"/>
      <c r="AG54" s="418"/>
    </row>
    <row r="55" spans="1:33" s="632" customFormat="1" ht="16.5" customHeight="1" outlineLevel="2">
      <c r="A55" s="420"/>
      <c r="B55" s="420"/>
      <c r="C55" s="421" t="str">
        <f>CHOOSE(language,"2. Capitalised assets","2. Capitalized assets")</f>
        <v>2. Capitalized assets</v>
      </c>
      <c r="D55" s="711"/>
      <c r="E55" s="435"/>
      <c r="F55" s="435"/>
      <c r="G55" s="436"/>
      <c r="H55" s="435"/>
      <c r="I55" s="71">
        <f>SUMPRODUCT((J$6:AG$6),(J55:AG55))</f>
        <v>0</v>
      </c>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row>
    <row r="56" spans="1:33" s="632" customFormat="1" ht="16.5" customHeight="1" outlineLevel="2">
      <c r="A56" s="420"/>
      <c r="B56" s="709" t="s">
        <v>352</v>
      </c>
      <c r="C56" s="706" t="str">
        <f>"Finance Lease: "&amp;C42</f>
        <v>Finance Lease: Land and Buildings</v>
      </c>
      <c r="D56" s="428"/>
      <c r="E56" s="435"/>
      <c r="F56" s="435"/>
      <c r="G56" s="436"/>
      <c r="H56" s="435"/>
      <c r="I56" s="435"/>
      <c r="J56" s="431"/>
      <c r="K56" s="431"/>
      <c r="L56" s="418"/>
      <c r="M56" s="418"/>
      <c r="N56" s="418"/>
      <c r="O56" s="418"/>
      <c r="P56" s="418"/>
      <c r="Q56" s="418"/>
      <c r="R56" s="418"/>
      <c r="S56" s="418"/>
      <c r="T56" s="418"/>
      <c r="U56" s="418"/>
      <c r="V56" s="418"/>
      <c r="W56" s="418"/>
      <c r="X56" s="418"/>
      <c r="Y56" s="418"/>
      <c r="Z56" s="418"/>
      <c r="AA56" s="418"/>
      <c r="AB56" s="418"/>
      <c r="AC56" s="418"/>
      <c r="AD56" s="418"/>
      <c r="AE56" s="418"/>
      <c r="AF56" s="418"/>
      <c r="AG56" s="418"/>
    </row>
    <row r="57" spans="1:33" s="632" customFormat="1" ht="16.5" customHeight="1" outlineLevel="2">
      <c r="A57" s="420"/>
      <c r="B57" s="420"/>
      <c r="C57" s="421" t="s">
        <v>365</v>
      </c>
      <c r="D57" s="422" t="str">
        <f>Currency_Label</f>
        <v>USD</v>
      </c>
      <c r="E57" s="435"/>
      <c r="F57" s="664"/>
      <c r="G57" s="664"/>
      <c r="H57" s="435"/>
      <c r="I57" s="71">
        <f>SUMPRODUCT((J$6:AG$6),(J57:AG57))</f>
        <v>0</v>
      </c>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row>
    <row r="58" spans="1:33" s="632" customFormat="1" ht="16.5" customHeight="1" outlineLevel="2">
      <c r="A58" s="420"/>
      <c r="B58" s="420"/>
      <c r="C58" s="421" t="s">
        <v>366</v>
      </c>
      <c r="D58" s="422" t="str">
        <f>Currency_Label</f>
        <v>USD</v>
      </c>
      <c r="E58" s="435"/>
      <c r="F58" s="435"/>
      <c r="G58" s="436"/>
      <c r="H58" s="435"/>
      <c r="I58" s="71">
        <f>SUMPRODUCT((J$6:AG$6),(J58:AG58))</f>
        <v>0</v>
      </c>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row>
    <row r="59" spans="1:33" s="632" customFormat="1" ht="16.5" customHeight="1" outlineLevel="2">
      <c r="A59" s="420"/>
      <c r="B59" s="420"/>
      <c r="C59" s="421" t="s">
        <v>367</v>
      </c>
      <c r="D59" s="422" t="str">
        <f>Currency_Label</f>
        <v>USD</v>
      </c>
      <c r="E59" s="435"/>
      <c r="F59" s="435"/>
      <c r="G59" s="436"/>
      <c r="H59" s="435"/>
      <c r="I59" s="71">
        <f>SUMPRODUCT((J$6:AG$6),(J59:AG59))</f>
        <v>0</v>
      </c>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row>
    <row r="60" spans="1:33" s="632" customFormat="1" ht="16.5" customHeight="1" outlineLevel="2">
      <c r="A60" s="420"/>
      <c r="B60" s="709" t="s">
        <v>353</v>
      </c>
      <c r="C60" s="706" t="str">
        <f>CHOOSE(language,"Sale of "&amp;C42,"Disposal of "&amp;C42)</f>
        <v>Disposal of Land and Buildings</v>
      </c>
      <c r="D60" s="428"/>
      <c r="E60" s="435"/>
      <c r="F60" s="435"/>
      <c r="G60" s="436"/>
      <c r="H60" s="435"/>
      <c r="I60" s="435"/>
      <c r="J60" s="431"/>
      <c r="K60" s="431"/>
      <c r="L60" s="418"/>
      <c r="M60" s="418"/>
      <c r="N60" s="418"/>
      <c r="O60" s="418"/>
      <c r="P60" s="418"/>
      <c r="Q60" s="418"/>
      <c r="R60" s="418"/>
      <c r="S60" s="418"/>
      <c r="T60" s="418"/>
      <c r="U60" s="418"/>
      <c r="V60" s="418"/>
      <c r="W60" s="418"/>
      <c r="X60" s="418"/>
      <c r="Y60" s="418"/>
      <c r="Z60" s="418"/>
      <c r="AA60" s="418"/>
      <c r="AB60" s="418"/>
      <c r="AC60" s="418"/>
      <c r="AD60" s="418"/>
      <c r="AE60" s="418"/>
      <c r="AF60" s="418"/>
      <c r="AG60" s="418"/>
    </row>
    <row r="61" spans="1:33" s="632" customFormat="1" ht="16.5" customHeight="1" outlineLevel="2">
      <c r="A61" s="420"/>
      <c r="B61" s="420"/>
      <c r="C61" s="421" t="s">
        <v>368</v>
      </c>
      <c r="D61" s="422" t="str">
        <f>Currency_Label</f>
        <v>USD</v>
      </c>
      <c r="E61" s="435"/>
      <c r="F61" s="435"/>
      <c r="G61" s="436"/>
      <c r="H61" s="713"/>
      <c r="I61" s="71">
        <f>SUMPRODUCT((J$6:AG$6),(J61:AG61))</f>
        <v>0</v>
      </c>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row>
    <row r="62" spans="1:33" s="632" customFormat="1" ht="16.5" customHeight="1" outlineLevel="2">
      <c r="A62" s="420"/>
      <c r="B62" s="420"/>
      <c r="C62" s="421" t="s">
        <v>369</v>
      </c>
      <c r="D62" s="422" t="str">
        <f>Currency_Label</f>
        <v>USD</v>
      </c>
      <c r="E62" s="273" t="str">
        <f>IF(H52=0,"","Error: Please check inputs for sale of assets")</f>
        <v/>
      </c>
      <c r="F62" s="435"/>
      <c r="G62" s="436"/>
      <c r="H62" s="713"/>
      <c r="I62" s="71">
        <f>SUMPRODUCT((J$6:AG$6),(J62:AG62))</f>
        <v>0</v>
      </c>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row>
    <row r="63" spans="1:33" s="632" customFormat="1" ht="16.5" customHeight="1" outlineLevel="2">
      <c r="A63" s="420"/>
      <c r="B63" s="420"/>
      <c r="C63" s="421" t="s">
        <v>378</v>
      </c>
      <c r="D63" s="422" t="str">
        <f>Currency_Label</f>
        <v>USD</v>
      </c>
      <c r="E63" s="273" t="str">
        <f>IF(H52=0,"","Error: Please check inputs for sale of assets")</f>
        <v/>
      </c>
      <c r="F63" s="435"/>
      <c r="G63" s="436"/>
      <c r="H63" s="713"/>
      <c r="I63" s="71">
        <f>SUMPRODUCT((J$6:AG$6),(J63:AG63))</f>
        <v>0</v>
      </c>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row>
    <row r="64" spans="1:33" s="632" customFormat="1" ht="16.5" customHeight="1" outlineLevel="2">
      <c r="A64" s="420"/>
      <c r="B64" s="709" t="s">
        <v>354</v>
      </c>
      <c r="C64" s="706" t="str">
        <f>Name_VAT</f>
        <v>VAT</v>
      </c>
      <c r="D64" s="428"/>
      <c r="E64" s="435"/>
      <c r="F64" s="430"/>
      <c r="G64" s="430"/>
      <c r="H64" s="420"/>
      <c r="I64" s="420"/>
      <c r="J64" s="431"/>
      <c r="K64" s="431"/>
      <c r="L64" s="418"/>
      <c r="M64" s="418"/>
      <c r="N64" s="418"/>
      <c r="O64" s="418"/>
      <c r="P64" s="418"/>
      <c r="Q64" s="418"/>
      <c r="R64" s="418"/>
      <c r="S64" s="418"/>
      <c r="T64" s="418"/>
      <c r="U64" s="418"/>
      <c r="V64" s="418"/>
      <c r="W64" s="418"/>
      <c r="X64" s="418"/>
      <c r="Y64" s="418"/>
      <c r="Z64" s="418"/>
      <c r="AA64" s="418"/>
      <c r="AB64" s="418"/>
      <c r="AC64" s="418"/>
      <c r="AD64" s="418"/>
      <c r="AE64" s="418"/>
      <c r="AF64" s="418"/>
      <c r="AG64" s="418"/>
    </row>
    <row r="65" spans="1:33" s="632" customFormat="1" ht="16.5" customHeight="1" outlineLevel="2">
      <c r="A65" s="420"/>
      <c r="B65" s="420"/>
      <c r="C65" s="24" t="str">
        <f>Name_VAT &amp;" on "&amp;C42 &amp;" purchased &amp; leased"</f>
        <v>VAT on Land and Buildings purchased &amp; leased</v>
      </c>
      <c r="D65" s="8" t="str">
        <f t="shared" ref="D65" si="194">Currency_Label</f>
        <v>USD</v>
      </c>
      <c r="E65" s="84">
        <f>F42</f>
        <v>1</v>
      </c>
      <c r="F65" s="721" t="s">
        <v>375</v>
      </c>
      <c r="G65" s="84">
        <f>H42</f>
        <v>0</v>
      </c>
      <c r="H65" s="333"/>
      <c r="I65" s="71">
        <f>SUM(J65:AG65)</f>
        <v>0</v>
      </c>
      <c r="J65" s="690">
        <f>(J49+J57)*$E65*$G65*J$6</f>
        <v>0</v>
      </c>
      <c r="K65" s="690">
        <f t="shared" ref="K65:M65" si="195">(K49+K57)*$E65*$G65*K$6</f>
        <v>0</v>
      </c>
      <c r="L65" s="690">
        <f t="shared" si="195"/>
        <v>0</v>
      </c>
      <c r="M65" s="690">
        <f t="shared" si="195"/>
        <v>0</v>
      </c>
      <c r="N65" s="690">
        <f t="shared" ref="N65:AG65" si="196">(N49+N57)*$E65*$G65*N$6</f>
        <v>0</v>
      </c>
      <c r="O65" s="690">
        <f t="shared" si="196"/>
        <v>0</v>
      </c>
      <c r="P65" s="690">
        <f t="shared" si="196"/>
        <v>0</v>
      </c>
      <c r="Q65" s="690">
        <f t="shared" si="196"/>
        <v>0</v>
      </c>
      <c r="R65" s="690">
        <f t="shared" si="196"/>
        <v>0</v>
      </c>
      <c r="S65" s="690">
        <f t="shared" si="196"/>
        <v>0</v>
      </c>
      <c r="T65" s="690">
        <f t="shared" si="196"/>
        <v>0</v>
      </c>
      <c r="U65" s="690">
        <f t="shared" si="196"/>
        <v>0</v>
      </c>
      <c r="V65" s="690">
        <f t="shared" si="196"/>
        <v>0</v>
      </c>
      <c r="W65" s="690">
        <f t="shared" si="196"/>
        <v>0</v>
      </c>
      <c r="X65" s="690">
        <f t="shared" si="196"/>
        <v>0</v>
      </c>
      <c r="Y65" s="690">
        <f t="shared" si="196"/>
        <v>0</v>
      </c>
      <c r="Z65" s="690">
        <f t="shared" si="196"/>
        <v>0</v>
      </c>
      <c r="AA65" s="690">
        <f t="shared" si="196"/>
        <v>0</v>
      </c>
      <c r="AB65" s="690">
        <f t="shared" si="196"/>
        <v>0</v>
      </c>
      <c r="AC65" s="690">
        <f t="shared" si="196"/>
        <v>0</v>
      </c>
      <c r="AD65" s="690">
        <f t="shared" si="196"/>
        <v>0</v>
      </c>
      <c r="AE65" s="690">
        <f t="shared" si="196"/>
        <v>0</v>
      </c>
      <c r="AF65" s="690">
        <f t="shared" si="196"/>
        <v>0</v>
      </c>
      <c r="AG65" s="690">
        <f t="shared" si="196"/>
        <v>0</v>
      </c>
    </row>
    <row r="66" spans="1:33" s="632" customFormat="1" ht="16.5" customHeight="1" outlineLevel="2">
      <c r="A66" s="420"/>
      <c r="B66" s="420"/>
      <c r="C66" s="434"/>
      <c r="D66" s="428"/>
      <c r="E66" s="435"/>
      <c r="F66" s="430"/>
      <c r="G66" s="430"/>
      <c r="H66" s="420"/>
      <c r="I66" s="420"/>
      <c r="J66" s="431"/>
      <c r="K66" s="431"/>
      <c r="L66" s="418"/>
      <c r="M66" s="418"/>
      <c r="N66" s="418"/>
      <c r="O66" s="418"/>
      <c r="P66" s="418"/>
      <c r="Q66" s="418"/>
      <c r="R66" s="418"/>
      <c r="S66" s="418"/>
      <c r="T66" s="418"/>
      <c r="U66" s="418"/>
      <c r="V66" s="418"/>
      <c r="W66" s="418"/>
      <c r="X66" s="418"/>
      <c r="Y66" s="418"/>
      <c r="Z66" s="418"/>
      <c r="AA66" s="418"/>
      <c r="AB66" s="418"/>
      <c r="AC66" s="418"/>
      <c r="AD66" s="418"/>
      <c r="AE66" s="418"/>
      <c r="AF66" s="418"/>
      <c r="AG66" s="418"/>
    </row>
    <row r="67" spans="1:33" s="632" customFormat="1" ht="16.5" customHeight="1" outlineLevel="1">
      <c r="A67" s="420"/>
      <c r="B67" s="709">
        <v>2</v>
      </c>
      <c r="C67" s="706" t="s">
        <v>382</v>
      </c>
      <c r="D67" s="428"/>
      <c r="E67" s="435"/>
      <c r="F67" s="435"/>
      <c r="G67" s="436"/>
      <c r="H67" s="435"/>
      <c r="I67" s="435"/>
      <c r="J67" s="431"/>
      <c r="K67" s="431"/>
      <c r="L67" s="418"/>
      <c r="M67" s="418"/>
      <c r="N67" s="418"/>
      <c r="O67" s="418"/>
      <c r="P67" s="418"/>
      <c r="Q67" s="418"/>
      <c r="R67" s="418"/>
      <c r="S67" s="418"/>
      <c r="T67" s="418"/>
      <c r="U67" s="418"/>
      <c r="V67" s="418"/>
      <c r="W67" s="418"/>
      <c r="X67" s="418"/>
      <c r="Y67" s="418"/>
      <c r="Z67" s="418"/>
      <c r="AA67" s="418"/>
      <c r="AB67" s="418"/>
      <c r="AC67" s="418"/>
      <c r="AD67" s="418"/>
      <c r="AE67" s="418"/>
      <c r="AF67" s="418"/>
      <c r="AG67" s="418"/>
    </row>
    <row r="68" spans="1:33" s="632" customFormat="1" ht="16.5" customHeight="1" outlineLevel="1">
      <c r="A68" s="420"/>
      <c r="B68" s="430"/>
      <c r="C68" s="625" t="s">
        <v>379</v>
      </c>
      <c r="D68" s="707"/>
      <c r="E68" s="513" t="s">
        <v>374</v>
      </c>
      <c r="F68" s="1022">
        <v>0.9</v>
      </c>
      <c r="G68" s="625" t="s">
        <v>130</v>
      </c>
      <c r="H68" s="84">
        <f>VLOOKUP(G68,Inputs!$C$211:$F$214,4,FALSE)</f>
        <v>0.2</v>
      </c>
      <c r="I68" s="435"/>
      <c r="J68" s="708"/>
      <c r="K68" s="431"/>
      <c r="L68" s="418"/>
      <c r="M68" s="418"/>
      <c r="N68" s="418"/>
      <c r="O68" s="418"/>
      <c r="P68" s="418"/>
      <c r="Q68" s="418"/>
      <c r="R68" s="418"/>
      <c r="S68" s="418"/>
      <c r="T68" s="418"/>
      <c r="U68" s="418"/>
      <c r="V68" s="418"/>
      <c r="W68" s="418"/>
      <c r="X68" s="418"/>
      <c r="Y68" s="418"/>
      <c r="Z68" s="418"/>
      <c r="AA68" s="418"/>
      <c r="AB68" s="418"/>
      <c r="AC68" s="418"/>
      <c r="AD68" s="418"/>
      <c r="AE68" s="418"/>
      <c r="AF68" s="418"/>
      <c r="AG68" s="418"/>
    </row>
    <row r="69" spans="1:33" s="632" customFormat="1" ht="16.5" customHeight="1" outlineLevel="2">
      <c r="A69" s="420"/>
      <c r="B69" s="709" t="s">
        <v>40</v>
      </c>
      <c r="C69" s="706" t="str">
        <f>"Purchases: "&amp;C68</f>
        <v>Purchases: Plant &amp; Machinery</v>
      </c>
      <c r="D69" s="710"/>
      <c r="E69" s="664"/>
      <c r="F69" s="664"/>
      <c r="G69" s="664"/>
      <c r="H69" s="664"/>
      <c r="I69" s="435"/>
      <c r="J69" s="708"/>
      <c r="K69" s="431"/>
      <c r="L69" s="418"/>
      <c r="M69" s="418"/>
      <c r="N69" s="418"/>
      <c r="O69" s="418"/>
      <c r="P69" s="418"/>
      <c r="Q69" s="418"/>
      <c r="R69" s="418"/>
      <c r="S69" s="418"/>
      <c r="T69" s="418"/>
      <c r="U69" s="418"/>
      <c r="V69" s="418"/>
      <c r="W69" s="418"/>
      <c r="X69" s="418"/>
      <c r="Y69" s="418"/>
      <c r="Z69" s="418"/>
      <c r="AA69" s="418"/>
      <c r="AB69" s="418"/>
      <c r="AC69" s="418"/>
      <c r="AD69" s="418"/>
      <c r="AE69" s="418"/>
      <c r="AF69" s="418"/>
      <c r="AG69" s="418"/>
    </row>
    <row r="70" spans="1:33" s="632" customFormat="1" ht="16.5" customHeight="1" outlineLevel="2">
      <c r="A70" s="420"/>
      <c r="B70" s="420"/>
      <c r="C70" s="625" t="s">
        <v>356</v>
      </c>
      <c r="D70" s="422" t="str">
        <f t="shared" ref="D70:D75" si="197">Currency_Label</f>
        <v>USD</v>
      </c>
      <c r="E70" s="664"/>
      <c r="F70" s="664"/>
      <c r="G70" s="664"/>
      <c r="H70" s="664"/>
      <c r="I70" s="71">
        <f t="shared" ref="I70:I75" si="198">SUMPRODUCT((J$6:AG$6),(J70:AG70))</f>
        <v>25000</v>
      </c>
      <c r="J70" s="263">
        <v>10000</v>
      </c>
      <c r="K70" s="263"/>
      <c r="L70" s="263"/>
      <c r="M70" s="263"/>
      <c r="N70" s="263"/>
      <c r="O70" s="263"/>
      <c r="P70" s="263">
        <v>15000</v>
      </c>
      <c r="Q70" s="263"/>
      <c r="R70" s="263"/>
      <c r="S70" s="263"/>
      <c r="T70" s="263"/>
      <c r="U70" s="263"/>
      <c r="V70" s="263"/>
      <c r="W70" s="263"/>
      <c r="X70" s="263"/>
      <c r="Y70" s="263"/>
      <c r="Z70" s="263"/>
      <c r="AA70" s="263"/>
      <c r="AB70" s="263"/>
      <c r="AC70" s="263"/>
      <c r="AD70" s="263"/>
      <c r="AE70" s="263"/>
      <c r="AF70" s="263"/>
      <c r="AG70" s="263"/>
    </row>
    <row r="71" spans="1:33" s="632" customFormat="1" ht="16.5" customHeight="1" outlineLevel="2">
      <c r="A71" s="420"/>
      <c r="B71" s="420"/>
      <c r="C71" s="625" t="s">
        <v>357</v>
      </c>
      <c r="D71" s="422" t="str">
        <f t="shared" si="197"/>
        <v>USD</v>
      </c>
      <c r="E71" s="664"/>
      <c r="F71" s="664"/>
      <c r="G71" s="664"/>
      <c r="H71" s="664"/>
      <c r="I71" s="71">
        <f t="shared" si="198"/>
        <v>0</v>
      </c>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row>
    <row r="72" spans="1:33" s="632" customFormat="1" ht="16.5" customHeight="1" outlineLevel="2">
      <c r="A72" s="420"/>
      <c r="B72" s="420"/>
      <c r="C72" s="625" t="s">
        <v>358</v>
      </c>
      <c r="D72" s="422" t="str">
        <f t="shared" si="197"/>
        <v>USD</v>
      </c>
      <c r="E72" s="664"/>
      <c r="F72" s="664"/>
      <c r="G72" s="664"/>
      <c r="H72" s="664"/>
      <c r="I72" s="71">
        <f t="shared" si="198"/>
        <v>0</v>
      </c>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row>
    <row r="73" spans="1:33" s="632" customFormat="1" ht="16.5" customHeight="1" outlineLevel="2">
      <c r="A73" s="420"/>
      <c r="B73" s="420"/>
      <c r="C73" s="625" t="s">
        <v>359</v>
      </c>
      <c r="D73" s="422" t="str">
        <f t="shared" si="197"/>
        <v>USD</v>
      </c>
      <c r="E73" s="664"/>
      <c r="F73" s="664"/>
      <c r="G73" s="664"/>
      <c r="H73" s="664"/>
      <c r="I73" s="71">
        <f t="shared" si="198"/>
        <v>0</v>
      </c>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row>
    <row r="74" spans="1:33" s="632" customFormat="1" ht="16.5" customHeight="1" outlineLevel="2">
      <c r="A74" s="420"/>
      <c r="B74" s="420"/>
      <c r="C74" s="625" t="s">
        <v>360</v>
      </c>
      <c r="D74" s="422" t="str">
        <f t="shared" si="197"/>
        <v>USD</v>
      </c>
      <c r="E74" s="664"/>
      <c r="F74" s="664"/>
      <c r="G74" s="664"/>
      <c r="H74" s="664"/>
      <c r="I74" s="71">
        <f t="shared" si="198"/>
        <v>0</v>
      </c>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row>
    <row r="75" spans="1:33" s="632" customFormat="1" ht="16.5" customHeight="1" outlineLevel="2">
      <c r="A75" s="420"/>
      <c r="B75" s="420"/>
      <c r="C75" s="421" t="s">
        <v>361</v>
      </c>
      <c r="D75" s="422" t="str">
        <f t="shared" si="197"/>
        <v>USD</v>
      </c>
      <c r="E75" s="664"/>
      <c r="F75" s="664"/>
      <c r="G75" s="664"/>
      <c r="H75" s="664"/>
      <c r="I75" s="71">
        <f t="shared" si="198"/>
        <v>25000</v>
      </c>
      <c r="J75" s="715">
        <f>SUM(J70:J74)*J$6</f>
        <v>10000</v>
      </c>
      <c r="K75" s="715">
        <f t="shared" ref="K75" si="199">SUM(K70:K74)*K$6</f>
        <v>0</v>
      </c>
      <c r="L75" s="715">
        <f t="shared" ref="L75" si="200">SUM(L70:L74)*L$6</f>
        <v>0</v>
      </c>
      <c r="M75" s="715">
        <f t="shared" ref="M75" si="201">SUM(M70:M74)*M$6</f>
        <v>0</v>
      </c>
      <c r="N75" s="715">
        <f t="shared" ref="N75" si="202">SUM(N70:N74)*N$6</f>
        <v>0</v>
      </c>
      <c r="O75" s="715">
        <f t="shared" ref="O75" si="203">SUM(O70:O74)*O$6</f>
        <v>0</v>
      </c>
      <c r="P75" s="715">
        <f t="shared" ref="P75" si="204">SUM(P70:P74)*P$6</f>
        <v>15000</v>
      </c>
      <c r="Q75" s="715">
        <f t="shared" ref="Q75" si="205">SUM(Q70:Q74)*Q$6</f>
        <v>0</v>
      </c>
      <c r="R75" s="715">
        <f t="shared" ref="R75" si="206">SUM(R70:R74)*R$6</f>
        <v>0</v>
      </c>
      <c r="S75" s="715">
        <f t="shared" ref="S75" si="207">SUM(S70:S74)*S$6</f>
        <v>0</v>
      </c>
      <c r="T75" s="715">
        <f t="shared" ref="T75" si="208">SUM(T70:T74)*T$6</f>
        <v>0</v>
      </c>
      <c r="U75" s="715">
        <f t="shared" ref="U75" si="209">SUM(U70:U74)*U$6</f>
        <v>0</v>
      </c>
      <c r="V75" s="715">
        <f t="shared" ref="V75" si="210">SUM(V70:V74)*V$6</f>
        <v>0</v>
      </c>
      <c r="W75" s="715">
        <f t="shared" ref="W75" si="211">SUM(W70:W74)*W$6</f>
        <v>0</v>
      </c>
      <c r="X75" s="715">
        <f t="shared" ref="X75" si="212">SUM(X70:X74)*X$6</f>
        <v>0</v>
      </c>
      <c r="Y75" s="715">
        <f t="shared" ref="Y75" si="213">SUM(Y70:Y74)*Y$6</f>
        <v>0</v>
      </c>
      <c r="Z75" s="715">
        <f t="shared" ref="Z75" si="214">SUM(Z70:Z74)*Z$6</f>
        <v>0</v>
      </c>
      <c r="AA75" s="715">
        <f t="shared" ref="AA75" si="215">SUM(AA70:AA74)*AA$6</f>
        <v>0</v>
      </c>
      <c r="AB75" s="715">
        <f t="shared" ref="AB75" si="216">SUM(AB70:AB74)*AB$6</f>
        <v>0</v>
      </c>
      <c r="AC75" s="715">
        <f t="shared" ref="AC75" si="217">SUM(AC70:AC74)*AC$6</f>
        <v>0</v>
      </c>
      <c r="AD75" s="715">
        <f t="shared" ref="AD75" si="218">SUM(AD70:AD74)*AD$6</f>
        <v>0</v>
      </c>
      <c r="AE75" s="715">
        <f t="shared" ref="AE75" si="219">SUM(AE70:AE74)*AE$6</f>
        <v>0</v>
      </c>
      <c r="AF75" s="715">
        <f t="shared" ref="AF75" si="220">SUM(AF70:AF74)*AF$6</f>
        <v>0</v>
      </c>
      <c r="AG75" s="715">
        <f t="shared" ref="AG75" si="221">SUM(AG70:AG74)*AG$6</f>
        <v>0</v>
      </c>
    </row>
    <row r="76" spans="1:33" s="632" customFormat="1" ht="16.5" customHeight="1" outlineLevel="2">
      <c r="A76" s="420"/>
      <c r="B76" s="709" t="s">
        <v>42</v>
      </c>
      <c r="C76" s="706" t="str">
        <f>"Depreciation: "&amp;C68</f>
        <v>Depreciation: Plant &amp; Machinery</v>
      </c>
      <c r="D76" s="664"/>
      <c r="E76" s="664"/>
      <c r="F76" s="664"/>
      <c r="G76" s="664"/>
      <c r="H76" s="431"/>
      <c r="I76" s="431"/>
      <c r="J76" s="431"/>
      <c r="K76" s="431"/>
      <c r="L76" s="418"/>
      <c r="M76" s="418"/>
      <c r="N76" s="418"/>
      <c r="O76" s="418"/>
      <c r="P76" s="418"/>
      <c r="Q76" s="418"/>
      <c r="R76" s="418"/>
      <c r="S76" s="418"/>
      <c r="T76" s="418"/>
      <c r="U76" s="418"/>
      <c r="V76" s="418"/>
      <c r="W76" s="418"/>
      <c r="X76" s="418"/>
      <c r="Y76" s="418"/>
      <c r="Z76" s="418"/>
      <c r="AA76" s="418"/>
      <c r="AB76" s="418"/>
      <c r="AC76" s="418"/>
      <c r="AD76" s="418"/>
      <c r="AE76" s="418"/>
      <c r="AF76" s="418"/>
      <c r="AG76" s="418"/>
    </row>
    <row r="77" spans="1:33" s="632" customFormat="1" ht="16.5" customHeight="1" outlineLevel="2">
      <c r="A77" s="420"/>
      <c r="B77" s="420"/>
      <c r="C77" s="421" t="s">
        <v>362</v>
      </c>
      <c r="D77" s="422" t="str">
        <f>Currency_Label</f>
        <v>USD</v>
      </c>
      <c r="E77" s="664"/>
      <c r="F77" s="671" t="s">
        <v>363</v>
      </c>
      <c r="G77" s="671" t="s">
        <v>30</v>
      </c>
      <c r="H77" s="513"/>
      <c r="I77" s="144">
        <f>Inputs!F262</f>
        <v>5000</v>
      </c>
      <c r="J77" s="344">
        <f t="shared" ref="J77:L77" si="222">(I77+J75+J81+J83-J88)*J$6</f>
        <v>15000</v>
      </c>
      <c r="K77" s="344">
        <f t="shared" si="222"/>
        <v>15000</v>
      </c>
      <c r="L77" s="344">
        <f t="shared" si="222"/>
        <v>15000</v>
      </c>
      <c r="M77" s="344">
        <f t="shared" ref="M77:AG77" si="223">(L77+M75+M81+M83-M88)*M$6</f>
        <v>15000</v>
      </c>
      <c r="N77" s="344">
        <f t="shared" si="223"/>
        <v>15000</v>
      </c>
      <c r="O77" s="344">
        <f t="shared" si="223"/>
        <v>15000</v>
      </c>
      <c r="P77" s="344">
        <f t="shared" si="223"/>
        <v>30000</v>
      </c>
      <c r="Q77" s="344">
        <f t="shared" si="223"/>
        <v>30000</v>
      </c>
      <c r="R77" s="344">
        <f t="shared" si="223"/>
        <v>30000</v>
      </c>
      <c r="S77" s="344">
        <f t="shared" si="223"/>
        <v>30000</v>
      </c>
      <c r="T77" s="344">
        <f t="shared" si="223"/>
        <v>30000</v>
      </c>
      <c r="U77" s="344">
        <f t="shared" si="223"/>
        <v>30000</v>
      </c>
      <c r="V77" s="344">
        <f t="shared" si="223"/>
        <v>30000</v>
      </c>
      <c r="W77" s="344">
        <f t="shared" si="223"/>
        <v>30000</v>
      </c>
      <c r="X77" s="344">
        <f t="shared" si="223"/>
        <v>30000</v>
      </c>
      <c r="Y77" s="344">
        <f t="shared" si="223"/>
        <v>30000</v>
      </c>
      <c r="Z77" s="344">
        <f t="shared" si="223"/>
        <v>25000</v>
      </c>
      <c r="AA77" s="344">
        <f t="shared" si="223"/>
        <v>25000</v>
      </c>
      <c r="AB77" s="344">
        <f t="shared" si="223"/>
        <v>25000</v>
      </c>
      <c r="AC77" s="344">
        <f t="shared" si="223"/>
        <v>25000</v>
      </c>
      <c r="AD77" s="344">
        <f t="shared" si="223"/>
        <v>25000</v>
      </c>
      <c r="AE77" s="344">
        <f t="shared" si="223"/>
        <v>25000</v>
      </c>
      <c r="AF77" s="344">
        <f t="shared" si="223"/>
        <v>0</v>
      </c>
      <c r="AG77" s="344">
        <f t="shared" si="223"/>
        <v>0</v>
      </c>
    </row>
    <row r="78" spans="1:33" s="632" customFormat="1" ht="16.5" customHeight="1" outlineLevel="2">
      <c r="A78" s="420"/>
      <c r="B78" s="420"/>
      <c r="C78" s="421" t="s">
        <v>376</v>
      </c>
      <c r="D78" s="422" t="str">
        <f>Currency_Label</f>
        <v>USD</v>
      </c>
      <c r="E78" s="664"/>
      <c r="F78" s="718">
        <v>84</v>
      </c>
      <c r="G78" s="719">
        <f>IF(F78=0,0,1/F78)</f>
        <v>1.1904761904761904E-2</v>
      </c>
      <c r="H78" s="668">
        <f>IF(ABS(MIN($J78:$AG78))&gt;0.01,1,0)</f>
        <v>0</v>
      </c>
      <c r="I78" s="71">
        <f>SUM(J78:AG78)</f>
        <v>6190.476190476189</v>
      </c>
      <c r="J78" s="716">
        <f t="shared" ref="J78" si="224">IF(I77-I79&lt;IF($F79=1,$G78*I77,(I77-I79)*2*$G78),I77-I79,IF($F79=1,$G78*I77,(I77-I79)*2*$G78))*J$6</f>
        <v>59.523809523809518</v>
      </c>
      <c r="K78" s="716">
        <f t="shared" ref="K78" si="225">IF(J77-J79&lt;IF($F79=1,$G78*J77,(J77-J79)*2*$G78),J77-J79,IF($F79=1,$G78*J77,(J77-J79)*2*$G78))*K$6</f>
        <v>178.57142857142856</v>
      </c>
      <c r="L78" s="716">
        <f t="shared" ref="L78" si="226">IF(K77-K79&lt;IF($F79=1,$G78*K77,(K77-K79)*2*$G78),K77-K79,IF($F79=1,$G78*K77,(K77-K79)*2*$G78))*L$6</f>
        <v>178.57142857142856</v>
      </c>
      <c r="M78" s="716">
        <f t="shared" ref="M78" si="227">IF(L77-L79&lt;IF($F79=1,$G78*L77,(L77-L79)*2*$G78),L77-L79,IF($F79=1,$G78*L77,(L77-L79)*2*$G78))*M$6</f>
        <v>178.57142857142856</v>
      </c>
      <c r="N78" s="716">
        <f t="shared" ref="N78" si="228">IF(M77-M79&lt;IF($F79=1,$G78*M77,(M77-M79)*2*$G78),M77-M79,IF($F79=1,$G78*M77,(M77-M79)*2*$G78))*N$6</f>
        <v>178.57142857142856</v>
      </c>
      <c r="O78" s="716">
        <f t="shared" ref="O78" si="229">IF(N77-N79&lt;IF($F79=1,$G78*N77,(N77-N79)*2*$G78),N77-N79,IF($F79=1,$G78*N77,(N77-N79)*2*$G78))*O$6</f>
        <v>178.57142857142856</v>
      </c>
      <c r="P78" s="716">
        <f t="shared" ref="P78" si="230">IF(O77-O79&lt;IF($F79=1,$G78*O77,(O77-O79)*2*$G78),O77-O79,IF($F79=1,$G78*O77,(O77-O79)*2*$G78))*P$6</f>
        <v>178.57142857142856</v>
      </c>
      <c r="Q78" s="716">
        <f t="shared" ref="Q78" si="231">IF(P77-P79&lt;IF($F79=1,$G78*P77,(P77-P79)*2*$G78),P77-P79,IF($F79=1,$G78*P77,(P77-P79)*2*$G78))*Q$6</f>
        <v>357.14285714285711</v>
      </c>
      <c r="R78" s="716">
        <f t="shared" ref="R78" si="232">IF(Q77-Q79&lt;IF($F79=1,$G78*Q77,(Q77-Q79)*2*$G78),Q77-Q79,IF($F79=1,$G78*Q77,(Q77-Q79)*2*$G78))*R$6</f>
        <v>357.14285714285711</v>
      </c>
      <c r="S78" s="716">
        <f t="shared" ref="S78" si="233">IF(R77-R79&lt;IF($F79=1,$G78*R77,(R77-R79)*2*$G78),R77-R79,IF($F79=1,$G78*R77,(R77-R79)*2*$G78))*S$6</f>
        <v>357.14285714285711</v>
      </c>
      <c r="T78" s="716">
        <f t="shared" ref="T78" si="234">IF(S77-S79&lt;IF($F79=1,$G78*S77,(S77-S79)*2*$G78),S77-S79,IF($F79=1,$G78*S77,(S77-S79)*2*$G78))*T$6</f>
        <v>357.14285714285711</v>
      </c>
      <c r="U78" s="716">
        <f t="shared" ref="U78" si="235">IF(T77-T79&lt;IF($F79=1,$G78*T77,(T77-T79)*2*$G78),T77-T79,IF($F79=1,$G78*T77,(T77-T79)*2*$G78))*U$6</f>
        <v>357.14285714285711</v>
      </c>
      <c r="V78" s="716">
        <f t="shared" ref="V78" si="236">IF(U77-U79&lt;IF($F79=1,$G78*U77,(U77-U79)*2*$G78),U77-U79,IF($F79=1,$G78*U77,(U77-U79)*2*$G78))*V$6</f>
        <v>357.14285714285711</v>
      </c>
      <c r="W78" s="716">
        <f t="shared" ref="W78" si="237">IF(V77-V79&lt;IF($F79=1,$G78*V77,(V77-V79)*2*$G78),V77-V79,IF($F79=1,$G78*V77,(V77-V79)*2*$G78))*W$6</f>
        <v>357.14285714285711</v>
      </c>
      <c r="X78" s="716">
        <f t="shared" ref="X78" si="238">IF(W77-W79&lt;IF($F79=1,$G78*W77,(W77-W79)*2*$G78),W77-W79,IF($F79=1,$G78*W77,(W77-W79)*2*$G78))*X$6</f>
        <v>357.14285714285711</v>
      </c>
      <c r="Y78" s="716">
        <f t="shared" ref="Y78" si="239">IF(X77-X79&lt;IF($F79=1,$G78*X77,(X77-X79)*2*$G78),X77-X79,IF($F79=1,$G78*X77,(X77-X79)*2*$G78))*Y$6</f>
        <v>357.14285714285711</v>
      </c>
      <c r="Z78" s="716">
        <f t="shared" ref="Z78" si="240">IF(Y77-Y79&lt;IF($F79=1,$G78*Y77,(Y77-Y79)*2*$G78),Y77-Y79,IF($F79=1,$G78*Y77,(Y77-Y79)*2*$G78))*Z$6</f>
        <v>357.14285714285711</v>
      </c>
      <c r="AA78" s="716">
        <f t="shared" ref="AA78" si="241">IF(Z77-Z79&lt;IF($F79=1,$G78*Z77,(Z77-Z79)*2*$G78),Z77-Z79,IF($F79=1,$G78*Z77,(Z77-Z79)*2*$G78))*AA$6</f>
        <v>297.61904761904759</v>
      </c>
      <c r="AB78" s="716">
        <f t="shared" ref="AB78" si="242">IF(AA77-AA79&lt;IF($F79=1,$G78*AA77,(AA77-AA79)*2*$G78),AA77-AA79,IF($F79=1,$G78*AA77,(AA77-AA79)*2*$G78))*AB$6</f>
        <v>297.61904761904759</v>
      </c>
      <c r="AC78" s="716">
        <f t="shared" ref="AC78" si="243">IF(AB77-AB79&lt;IF($F79=1,$G78*AB77,(AB77-AB79)*2*$G78),AB77-AB79,IF($F79=1,$G78*AB77,(AB77-AB79)*2*$G78))*AC$6</f>
        <v>297.61904761904759</v>
      </c>
      <c r="AD78" s="716">
        <f t="shared" ref="AD78" si="244">IF(AC77-AC79&lt;IF($F79=1,$G78*AC77,(AC77-AC79)*2*$G78),AC77-AC79,IF($F79=1,$G78*AC77,(AC77-AC79)*2*$G78))*AD$6</f>
        <v>297.61904761904759</v>
      </c>
      <c r="AE78" s="716">
        <f t="shared" ref="AE78" si="245">IF(AD77-AD79&lt;IF($F79=1,$G78*AD77,(AD77-AD79)*2*$G78),AD77-AD79,IF($F79=1,$G78*AD77,(AD77-AD79)*2*$G78))*AE$6</f>
        <v>297.61904761904759</v>
      </c>
      <c r="AF78" s="716">
        <f t="shared" ref="AF78" si="246">IF(AE77-AE79&lt;IF($F79=1,$G78*AE77,(AE77-AE79)*2*$G78),AE77-AE79,IF($F79=1,$G78*AE77,(AE77-AE79)*2*$G78))*AF$6</f>
        <v>0</v>
      </c>
      <c r="AG78" s="716">
        <f t="shared" ref="AG78" si="247">IF(AF77-AF79&lt;IF($F79=1,$G78*AF77,(AF77-AF79)*2*$G78),AF77-AF79,IF($F79=1,$G78*AF77,(AF77-AF79)*2*$G78))*AG$6</f>
        <v>0</v>
      </c>
    </row>
    <row r="79" spans="1:33" s="632" customFormat="1" ht="16.5" customHeight="1" outlineLevel="2">
      <c r="A79" s="420"/>
      <c r="B79" s="420"/>
      <c r="C79" s="421" t="s">
        <v>377</v>
      </c>
      <c r="D79" s="422" t="str">
        <f>Currency_Label</f>
        <v>USD</v>
      </c>
      <c r="E79" s="269" t="s">
        <v>364</v>
      </c>
      <c r="F79" s="899">
        <v>1</v>
      </c>
      <c r="G79" s="712" t="str">
        <f>IF(F79=1," straight-line"," double declining balance")</f>
        <v xml:space="preserve"> straight-line</v>
      </c>
      <c r="H79" s="513"/>
      <c r="I79" s="714"/>
      <c r="J79" s="717">
        <f t="shared" ref="J79" si="248">(I79+J78-J89)*J$6</f>
        <v>59.523809523809518</v>
      </c>
      <c r="K79" s="717">
        <f t="shared" ref="K79" si="249">(J79+K78-K89)*K$6</f>
        <v>238.09523809523807</v>
      </c>
      <c r="L79" s="717">
        <f t="shared" ref="L79" si="250">(K79+L78-L89)*L$6</f>
        <v>416.66666666666663</v>
      </c>
      <c r="M79" s="717">
        <f t="shared" ref="M79" si="251">(L79+M78-M89)*M$6</f>
        <v>595.23809523809518</v>
      </c>
      <c r="N79" s="717">
        <f t="shared" ref="N79" si="252">(M79+N78-N89)*N$6</f>
        <v>773.80952380952374</v>
      </c>
      <c r="O79" s="717">
        <f t="shared" ref="O79" si="253">(N79+O78-O89)*O$6</f>
        <v>952.38095238095229</v>
      </c>
      <c r="P79" s="717">
        <f t="shared" ref="P79" si="254">(O79+P78-P89)*P$6</f>
        <v>1130.9523809523807</v>
      </c>
      <c r="Q79" s="717">
        <f t="shared" ref="Q79" si="255">(P79+Q78-Q89)*Q$6</f>
        <v>1488.0952380952378</v>
      </c>
      <c r="R79" s="717">
        <f t="shared" ref="R79" si="256">(Q79+R78-R89)*R$6</f>
        <v>1845.238095238095</v>
      </c>
      <c r="S79" s="717">
        <f t="shared" ref="S79" si="257">(R79+S78-S89)*S$6</f>
        <v>2202.3809523809523</v>
      </c>
      <c r="T79" s="717">
        <f t="shared" ref="T79" si="258">(S79+T78-T89)*T$6</f>
        <v>2559.5238095238092</v>
      </c>
      <c r="U79" s="717">
        <f t="shared" ref="U79" si="259">(T79+U78-U89)*U$6</f>
        <v>2916.6666666666661</v>
      </c>
      <c r="V79" s="717">
        <f t="shared" ref="V79" si="260">(U79+V78-V89)*V$6</f>
        <v>3273.8095238095229</v>
      </c>
      <c r="W79" s="717">
        <f t="shared" ref="W79" si="261">(V79+W78-W89)*W$6</f>
        <v>3630.9523809523798</v>
      </c>
      <c r="X79" s="717">
        <f t="shared" ref="X79" si="262">(W79+X78-X89)*X$6</f>
        <v>3988.0952380952367</v>
      </c>
      <c r="Y79" s="717">
        <f t="shared" ref="Y79" si="263">(X79+Y78-Y89)*Y$6</f>
        <v>4345.2380952380936</v>
      </c>
      <c r="Z79" s="717">
        <f t="shared" ref="Z79" si="264">(Y79+Z78-Z89)*Z$6</f>
        <v>2702.3809523809505</v>
      </c>
      <c r="AA79" s="717">
        <f t="shared" ref="AA79" si="265">(Z79+AA78-AA89)*AA$6</f>
        <v>2999.9999999999982</v>
      </c>
      <c r="AB79" s="717">
        <f t="shared" ref="AB79" si="266">(AA79+AB78-AB89)*AB$6</f>
        <v>3297.6190476190459</v>
      </c>
      <c r="AC79" s="717">
        <f t="shared" ref="AC79" si="267">(AB79+AC78-AC89)*AC$6</f>
        <v>3595.2380952380936</v>
      </c>
      <c r="AD79" s="717">
        <f t="shared" ref="AD79" si="268">(AC79+AD78-AD89)*AD$6</f>
        <v>3892.8571428571413</v>
      </c>
      <c r="AE79" s="717">
        <f t="shared" ref="AE79" si="269">(AD79+AE78-AE89)*AE$6</f>
        <v>4190.476190476189</v>
      </c>
      <c r="AF79" s="717">
        <f t="shared" ref="AF79" si="270">(AE79+AF78-AF89)*AF$6</f>
        <v>0</v>
      </c>
      <c r="AG79" s="717">
        <f t="shared" ref="AG79" si="271">(AF79+AG78-AG89)*AG$6</f>
        <v>0</v>
      </c>
    </row>
    <row r="80" spans="1:33" s="632" customFormat="1" ht="16.5" customHeight="1" outlineLevel="2">
      <c r="A80" s="420"/>
      <c r="B80" s="709" t="s">
        <v>43</v>
      </c>
      <c r="C80" s="706" t="str">
        <f>"Company produced additions: "&amp;C68</f>
        <v>Company produced additions: Plant &amp; Machinery</v>
      </c>
      <c r="D80" s="435"/>
      <c r="E80" s="435"/>
      <c r="F80" s="435"/>
      <c r="G80" s="435"/>
      <c r="H80" s="435"/>
      <c r="I80" s="435"/>
      <c r="J80" s="431"/>
      <c r="K80" s="431"/>
      <c r="L80" s="418"/>
      <c r="M80" s="418"/>
      <c r="N80" s="418"/>
      <c r="O80" s="418"/>
      <c r="P80" s="418"/>
      <c r="Q80" s="418"/>
      <c r="R80" s="418"/>
      <c r="S80" s="418"/>
      <c r="T80" s="418"/>
      <c r="U80" s="418"/>
      <c r="V80" s="418"/>
      <c r="W80" s="418"/>
      <c r="X80" s="418"/>
      <c r="Y80" s="418"/>
      <c r="Z80" s="418"/>
      <c r="AA80" s="418"/>
      <c r="AB80" s="418"/>
      <c r="AC80" s="418"/>
      <c r="AD80" s="418"/>
      <c r="AE80" s="418"/>
      <c r="AF80" s="418"/>
      <c r="AG80" s="418"/>
    </row>
    <row r="81" spans="1:33" s="632" customFormat="1" ht="16.5" customHeight="1" outlineLevel="2">
      <c r="A81" s="420"/>
      <c r="B81" s="420"/>
      <c r="C81" s="421" t="str">
        <f>CHOOSE(language,"2. Capitalised assets","2. Capitalized assets")</f>
        <v>2. Capitalized assets</v>
      </c>
      <c r="D81" s="711"/>
      <c r="E81" s="435"/>
      <c r="F81" s="435"/>
      <c r="G81" s="436"/>
      <c r="H81" s="435"/>
      <c r="I81" s="71">
        <f>SUMPRODUCT((J$6:AG$6),(J81:AG81))</f>
        <v>0</v>
      </c>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row>
    <row r="82" spans="1:33" s="632" customFormat="1" ht="16.5" customHeight="1" outlineLevel="2">
      <c r="A82" s="420"/>
      <c r="B82" s="709" t="s">
        <v>352</v>
      </c>
      <c r="C82" s="706" t="str">
        <f>"Finance Lease: "&amp;C68</f>
        <v>Finance Lease: Plant &amp; Machinery</v>
      </c>
      <c r="D82" s="428"/>
      <c r="E82" s="435"/>
      <c r="F82" s="435"/>
      <c r="G82" s="436"/>
      <c r="H82" s="435"/>
      <c r="I82" s="435"/>
      <c r="J82" s="431"/>
      <c r="K82" s="431"/>
      <c r="L82" s="418"/>
      <c r="M82" s="418"/>
      <c r="N82" s="418"/>
      <c r="O82" s="418"/>
      <c r="P82" s="418"/>
      <c r="Q82" s="418"/>
      <c r="R82" s="418"/>
      <c r="S82" s="418"/>
      <c r="T82" s="418"/>
      <c r="U82" s="418"/>
      <c r="V82" s="418"/>
      <c r="W82" s="418"/>
      <c r="X82" s="418"/>
      <c r="Y82" s="418"/>
      <c r="Z82" s="418"/>
      <c r="AA82" s="418"/>
      <c r="AB82" s="418"/>
      <c r="AC82" s="418"/>
      <c r="AD82" s="418"/>
      <c r="AE82" s="418"/>
      <c r="AF82" s="418"/>
      <c r="AG82" s="418"/>
    </row>
    <row r="83" spans="1:33" s="632" customFormat="1" ht="16.5" customHeight="1" outlineLevel="2">
      <c r="A83" s="420"/>
      <c r="B83" s="420"/>
      <c r="C83" s="421" t="s">
        <v>365</v>
      </c>
      <c r="D83" s="422" t="str">
        <f>Currency_Label</f>
        <v>USD</v>
      </c>
      <c r="E83" s="435"/>
      <c r="F83" s="664"/>
      <c r="G83" s="664"/>
      <c r="H83" s="435"/>
      <c r="I83" s="71">
        <f>SUMPRODUCT((J$6:AG$6),(J83:AG83))</f>
        <v>0</v>
      </c>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row>
    <row r="84" spans="1:33" s="632" customFormat="1" ht="16.5" customHeight="1" outlineLevel="2">
      <c r="A84" s="420"/>
      <c r="B84" s="420"/>
      <c r="C84" s="421" t="s">
        <v>366</v>
      </c>
      <c r="D84" s="422" t="str">
        <f>Currency_Label</f>
        <v>USD</v>
      </c>
      <c r="E84" s="435"/>
      <c r="F84" s="435"/>
      <c r="G84" s="436"/>
      <c r="H84" s="435"/>
      <c r="I84" s="71">
        <f>SUMPRODUCT((J$6:AG$6),(J84:AG84))</f>
        <v>0</v>
      </c>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row>
    <row r="85" spans="1:33" s="632" customFormat="1" ht="16.5" customHeight="1" outlineLevel="2">
      <c r="A85" s="420"/>
      <c r="B85" s="420"/>
      <c r="C85" s="421" t="s">
        <v>367</v>
      </c>
      <c r="D85" s="422" t="str">
        <f>Currency_Label</f>
        <v>USD</v>
      </c>
      <c r="E85" s="435"/>
      <c r="F85" s="435"/>
      <c r="G85" s="436"/>
      <c r="H85" s="435"/>
      <c r="I85" s="71">
        <f>SUMPRODUCT((J$6:AG$6),(J85:AG85))</f>
        <v>0</v>
      </c>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row>
    <row r="86" spans="1:33" s="632" customFormat="1" ht="16.5" customHeight="1" outlineLevel="2">
      <c r="A86" s="420"/>
      <c r="B86" s="709" t="s">
        <v>353</v>
      </c>
      <c r="C86" s="706" t="str">
        <f>CHOOSE(language,"Sale of "&amp;C68,"Disposal of "&amp;C68)</f>
        <v>Disposal of Plant &amp; Machinery</v>
      </c>
      <c r="D86" s="428"/>
      <c r="E86" s="435"/>
      <c r="F86" s="435"/>
      <c r="G86" s="436"/>
      <c r="H86" s="435"/>
      <c r="I86" s="435"/>
      <c r="J86" s="431"/>
      <c r="K86" s="431"/>
      <c r="L86" s="418"/>
      <c r="M86" s="418"/>
      <c r="N86" s="418"/>
      <c r="O86" s="418"/>
      <c r="P86" s="418"/>
      <c r="Q86" s="418"/>
      <c r="R86" s="418"/>
      <c r="S86" s="418"/>
      <c r="T86" s="418"/>
      <c r="U86" s="418"/>
      <c r="V86" s="418"/>
      <c r="W86" s="418"/>
      <c r="X86" s="418"/>
      <c r="Y86" s="418"/>
      <c r="Z86" s="418"/>
      <c r="AA86" s="418"/>
      <c r="AB86" s="418"/>
      <c r="AC86" s="418"/>
      <c r="AD86" s="418"/>
      <c r="AE86" s="418"/>
      <c r="AF86" s="418"/>
      <c r="AG86" s="418"/>
    </row>
    <row r="87" spans="1:33" s="632" customFormat="1" ht="16.5" customHeight="1" outlineLevel="2">
      <c r="A87" s="420"/>
      <c r="B87" s="420"/>
      <c r="C87" s="421" t="s">
        <v>368</v>
      </c>
      <c r="D87" s="422" t="str">
        <f>Currency_Label</f>
        <v>USD</v>
      </c>
      <c r="E87" s="435"/>
      <c r="F87" s="435"/>
      <c r="G87" s="436"/>
      <c r="H87" s="713"/>
      <c r="I87" s="71">
        <f>SUMPRODUCT((J$6:AG$6),(J87:AG87))</f>
        <v>7500</v>
      </c>
      <c r="J87" s="263"/>
      <c r="K87" s="263"/>
      <c r="L87" s="263"/>
      <c r="M87" s="263"/>
      <c r="N87" s="263"/>
      <c r="O87" s="263"/>
      <c r="P87" s="263"/>
      <c r="Q87" s="263"/>
      <c r="R87" s="263"/>
      <c r="S87" s="263"/>
      <c r="T87" s="263"/>
      <c r="U87" s="263"/>
      <c r="V87" s="263"/>
      <c r="W87" s="263"/>
      <c r="X87" s="263"/>
      <c r="Y87" s="263"/>
      <c r="Z87" s="263">
        <v>7500</v>
      </c>
      <c r="AA87" s="263"/>
      <c r="AB87" s="263"/>
      <c r="AC87" s="263"/>
      <c r="AD87" s="263"/>
      <c r="AE87" s="263"/>
      <c r="AF87" s="263"/>
      <c r="AG87" s="263"/>
    </row>
    <row r="88" spans="1:33" s="632" customFormat="1" ht="16.5" customHeight="1" outlineLevel="2">
      <c r="A88" s="420"/>
      <c r="B88" s="420"/>
      <c r="C88" s="421" t="s">
        <v>369</v>
      </c>
      <c r="D88" s="422" t="str">
        <f>Currency_Label</f>
        <v>USD</v>
      </c>
      <c r="E88" s="273" t="str">
        <f>IF(H78=0,"","Error: Please check inputs for sale of assets")</f>
        <v/>
      </c>
      <c r="F88" s="435"/>
      <c r="G88" s="436"/>
      <c r="H88" s="713"/>
      <c r="I88" s="71">
        <f>SUMPRODUCT((J$6:AG$6),(J88:AG88))</f>
        <v>5000</v>
      </c>
      <c r="J88" s="263"/>
      <c r="K88" s="263"/>
      <c r="L88" s="263"/>
      <c r="M88" s="263"/>
      <c r="N88" s="263"/>
      <c r="O88" s="263"/>
      <c r="P88" s="263"/>
      <c r="Q88" s="263"/>
      <c r="R88" s="263"/>
      <c r="S88" s="263"/>
      <c r="T88" s="263"/>
      <c r="U88" s="263"/>
      <c r="V88" s="263"/>
      <c r="W88" s="263"/>
      <c r="X88" s="263"/>
      <c r="Y88" s="263"/>
      <c r="Z88" s="263">
        <v>5000</v>
      </c>
      <c r="AA88" s="263"/>
      <c r="AB88" s="263"/>
      <c r="AC88" s="263"/>
      <c r="AD88" s="263"/>
      <c r="AE88" s="263"/>
      <c r="AF88" s="263"/>
      <c r="AG88" s="263"/>
    </row>
    <row r="89" spans="1:33" s="632" customFormat="1" ht="16.5" customHeight="1" outlineLevel="2">
      <c r="A89" s="420"/>
      <c r="B89" s="420"/>
      <c r="C89" s="421" t="s">
        <v>378</v>
      </c>
      <c r="D89" s="422" t="str">
        <f>Currency_Label</f>
        <v>USD</v>
      </c>
      <c r="E89" s="273" t="str">
        <f>IF(H78=0,"","Error: Please check inputs for sale of assets")</f>
        <v/>
      </c>
      <c r="F89" s="435"/>
      <c r="G89" s="436"/>
      <c r="H89" s="713"/>
      <c r="I89" s="71">
        <f>SUMPRODUCT((J$6:AG$6),(J89:AG89))</f>
        <v>2000</v>
      </c>
      <c r="J89" s="263"/>
      <c r="K89" s="263"/>
      <c r="L89" s="263"/>
      <c r="M89" s="263"/>
      <c r="N89" s="263"/>
      <c r="O89" s="263"/>
      <c r="P89" s="263"/>
      <c r="Q89" s="263"/>
      <c r="R89" s="263"/>
      <c r="S89" s="263"/>
      <c r="T89" s="263"/>
      <c r="U89" s="263"/>
      <c r="V89" s="263"/>
      <c r="W89" s="263"/>
      <c r="X89" s="263"/>
      <c r="Y89" s="263"/>
      <c r="Z89" s="263">
        <v>2000</v>
      </c>
      <c r="AA89" s="263"/>
      <c r="AB89" s="263"/>
      <c r="AC89" s="263"/>
      <c r="AD89" s="263"/>
      <c r="AE89" s="263"/>
      <c r="AF89" s="263"/>
      <c r="AG89" s="263"/>
    </row>
    <row r="90" spans="1:33" s="632" customFormat="1" ht="16.5" customHeight="1" outlineLevel="2">
      <c r="A90" s="420"/>
      <c r="B90" s="709" t="s">
        <v>354</v>
      </c>
      <c r="C90" s="706" t="str">
        <f>Name_VAT</f>
        <v>VAT</v>
      </c>
      <c r="D90" s="428"/>
      <c r="E90" s="435"/>
      <c r="F90" s="430"/>
      <c r="G90" s="430"/>
      <c r="H90" s="420"/>
      <c r="I90" s="420"/>
      <c r="J90" s="431"/>
      <c r="K90" s="431"/>
      <c r="L90" s="418"/>
      <c r="M90" s="418"/>
      <c r="N90" s="418"/>
      <c r="O90" s="418"/>
      <c r="P90" s="418"/>
      <c r="Q90" s="418"/>
      <c r="R90" s="418"/>
      <c r="S90" s="418"/>
      <c r="T90" s="418"/>
      <c r="U90" s="418"/>
      <c r="V90" s="418"/>
      <c r="W90" s="418"/>
      <c r="X90" s="418"/>
      <c r="Y90" s="418"/>
      <c r="Z90" s="418"/>
      <c r="AA90" s="418"/>
      <c r="AB90" s="418"/>
      <c r="AC90" s="418"/>
      <c r="AD90" s="418"/>
      <c r="AE90" s="418"/>
      <c r="AF90" s="418"/>
      <c r="AG90" s="418"/>
    </row>
    <row r="91" spans="1:33" s="632" customFormat="1" ht="16.5" customHeight="1" outlineLevel="2">
      <c r="A91" s="420"/>
      <c r="B91" s="420"/>
      <c r="C91" s="24" t="str">
        <f>Name_VAT &amp;" on "&amp;C68 &amp;" purchased &amp; leased"</f>
        <v>VAT on Plant &amp; Machinery purchased &amp; leased</v>
      </c>
      <c r="D91" s="8" t="str">
        <f t="shared" ref="D91" si="272">Currency_Label</f>
        <v>USD</v>
      </c>
      <c r="E91" s="84">
        <f>F68</f>
        <v>0.9</v>
      </c>
      <c r="F91" s="721" t="s">
        <v>375</v>
      </c>
      <c r="G91" s="84">
        <f>H68</f>
        <v>0.2</v>
      </c>
      <c r="H91" s="333"/>
      <c r="I91" s="71">
        <f>SUM(J91:AG91)</f>
        <v>4500</v>
      </c>
      <c r="J91" s="690">
        <f>(J75+J83)*$E91*$G91*J$6</f>
        <v>1800</v>
      </c>
      <c r="K91" s="690">
        <f t="shared" ref="K91:L91" si="273">(K75+K83)*$E91*$G91*K$6</f>
        <v>0</v>
      </c>
      <c r="L91" s="690">
        <f t="shared" si="273"/>
        <v>0</v>
      </c>
      <c r="M91" s="690">
        <f t="shared" ref="M91:AG91" si="274">(M75+M83)*$E91*$G91*M$6</f>
        <v>0</v>
      </c>
      <c r="N91" s="690">
        <f t="shared" si="274"/>
        <v>0</v>
      </c>
      <c r="O91" s="690">
        <f t="shared" si="274"/>
        <v>0</v>
      </c>
      <c r="P91" s="690">
        <f t="shared" si="274"/>
        <v>2700</v>
      </c>
      <c r="Q91" s="690">
        <f t="shared" si="274"/>
        <v>0</v>
      </c>
      <c r="R91" s="690">
        <f t="shared" si="274"/>
        <v>0</v>
      </c>
      <c r="S91" s="690">
        <f t="shared" si="274"/>
        <v>0</v>
      </c>
      <c r="T91" s="690">
        <f t="shared" si="274"/>
        <v>0</v>
      </c>
      <c r="U91" s="690">
        <f t="shared" si="274"/>
        <v>0</v>
      </c>
      <c r="V91" s="690">
        <f t="shared" si="274"/>
        <v>0</v>
      </c>
      <c r="W91" s="690">
        <f t="shared" si="274"/>
        <v>0</v>
      </c>
      <c r="X91" s="690">
        <f t="shared" si="274"/>
        <v>0</v>
      </c>
      <c r="Y91" s="690">
        <f t="shared" si="274"/>
        <v>0</v>
      </c>
      <c r="Z91" s="690">
        <f t="shared" si="274"/>
        <v>0</v>
      </c>
      <c r="AA91" s="690">
        <f t="shared" si="274"/>
        <v>0</v>
      </c>
      <c r="AB91" s="690">
        <f t="shared" si="274"/>
        <v>0</v>
      </c>
      <c r="AC91" s="690">
        <f t="shared" si="274"/>
        <v>0</v>
      </c>
      <c r="AD91" s="690">
        <f t="shared" si="274"/>
        <v>0</v>
      </c>
      <c r="AE91" s="690">
        <f t="shared" si="274"/>
        <v>0</v>
      </c>
      <c r="AF91" s="690">
        <f t="shared" si="274"/>
        <v>0</v>
      </c>
      <c r="AG91" s="690">
        <f t="shared" si="274"/>
        <v>0</v>
      </c>
    </row>
    <row r="92" spans="1:33" s="632" customFormat="1" ht="16.5" customHeight="1" outlineLevel="2">
      <c r="A92" s="420"/>
      <c r="B92" s="420"/>
      <c r="C92" s="434"/>
      <c r="D92" s="428"/>
      <c r="E92" s="435"/>
      <c r="F92" s="430"/>
      <c r="G92" s="430"/>
      <c r="H92" s="420"/>
      <c r="I92" s="420"/>
      <c r="J92" s="431"/>
      <c r="K92" s="431"/>
      <c r="L92" s="418"/>
      <c r="M92" s="418"/>
      <c r="N92" s="418"/>
      <c r="O92" s="418"/>
      <c r="P92" s="418"/>
      <c r="Q92" s="418"/>
      <c r="R92" s="418"/>
      <c r="S92" s="418"/>
      <c r="T92" s="418"/>
      <c r="U92" s="418"/>
      <c r="V92" s="418"/>
      <c r="W92" s="418"/>
      <c r="X92" s="418"/>
      <c r="Y92" s="418"/>
      <c r="Z92" s="418"/>
      <c r="AA92" s="418"/>
      <c r="AB92" s="418"/>
      <c r="AC92" s="418"/>
      <c r="AD92" s="418"/>
      <c r="AE92" s="418"/>
      <c r="AF92" s="418"/>
      <c r="AG92" s="418"/>
    </row>
    <row r="93" spans="1:33" s="632" customFormat="1" ht="16.5" customHeight="1" outlineLevel="1">
      <c r="A93" s="420"/>
      <c r="B93" s="709">
        <v>3</v>
      </c>
      <c r="C93" s="706" t="s">
        <v>384</v>
      </c>
      <c r="D93" s="428"/>
      <c r="E93" s="435"/>
      <c r="F93" s="435"/>
      <c r="G93" s="436"/>
      <c r="H93" s="435"/>
      <c r="I93" s="435"/>
      <c r="J93" s="431"/>
      <c r="K93" s="431"/>
      <c r="L93" s="418"/>
      <c r="M93" s="418"/>
      <c r="N93" s="418"/>
      <c r="O93" s="418"/>
      <c r="P93" s="418"/>
      <c r="Q93" s="418"/>
      <c r="R93" s="418"/>
      <c r="S93" s="418"/>
      <c r="T93" s="418"/>
      <c r="U93" s="418"/>
      <c r="V93" s="418"/>
      <c r="W93" s="418"/>
      <c r="X93" s="418"/>
      <c r="Y93" s="418"/>
      <c r="Z93" s="418"/>
      <c r="AA93" s="418"/>
      <c r="AB93" s="418"/>
      <c r="AC93" s="418"/>
      <c r="AD93" s="418"/>
      <c r="AE93" s="418"/>
      <c r="AF93" s="418"/>
      <c r="AG93" s="418"/>
    </row>
    <row r="94" spans="1:33" s="632" customFormat="1" ht="16.5" customHeight="1" outlineLevel="1">
      <c r="A94" s="420"/>
      <c r="B94" s="430"/>
      <c r="C94" s="625" t="s">
        <v>380</v>
      </c>
      <c r="D94" s="707"/>
      <c r="E94" s="513" t="s">
        <v>374</v>
      </c>
      <c r="F94" s="1022">
        <v>0.6</v>
      </c>
      <c r="G94" s="625" t="s">
        <v>131</v>
      </c>
      <c r="H94" s="84">
        <f>VLOOKUP(G94,Inputs!$C$211:$F$214,4,FALSE)</f>
        <v>0.1</v>
      </c>
      <c r="I94" s="435"/>
      <c r="J94" s="708"/>
      <c r="K94" s="431"/>
      <c r="L94" s="418"/>
      <c r="M94" s="418"/>
      <c r="N94" s="418"/>
      <c r="O94" s="418"/>
      <c r="P94" s="418"/>
      <c r="Q94" s="418"/>
      <c r="R94" s="418"/>
      <c r="S94" s="418"/>
      <c r="T94" s="418"/>
      <c r="U94" s="418"/>
      <c r="V94" s="418"/>
      <c r="W94" s="418"/>
      <c r="X94" s="418"/>
      <c r="Y94" s="418"/>
      <c r="Z94" s="418"/>
      <c r="AA94" s="418"/>
      <c r="AB94" s="418"/>
      <c r="AC94" s="418"/>
      <c r="AD94" s="418"/>
      <c r="AE94" s="418"/>
      <c r="AF94" s="418"/>
      <c r="AG94" s="418"/>
    </row>
    <row r="95" spans="1:33" s="632" customFormat="1" ht="16.5" customHeight="1" outlineLevel="2">
      <c r="A95" s="420"/>
      <c r="B95" s="709" t="s">
        <v>40</v>
      </c>
      <c r="C95" s="706" t="str">
        <f>"Purchases: "&amp;C94</f>
        <v>Purchases: Vehicles</v>
      </c>
      <c r="D95" s="710"/>
      <c r="E95" s="664"/>
      <c r="F95" s="664"/>
      <c r="G95" s="664"/>
      <c r="H95" s="664"/>
      <c r="I95" s="435"/>
      <c r="J95" s="708"/>
      <c r="K95" s="431"/>
      <c r="L95" s="418"/>
      <c r="M95" s="418"/>
      <c r="N95" s="418"/>
      <c r="O95" s="418"/>
      <c r="P95" s="418"/>
      <c r="Q95" s="418"/>
      <c r="R95" s="418"/>
      <c r="S95" s="418"/>
      <c r="T95" s="418"/>
      <c r="U95" s="418"/>
      <c r="V95" s="418"/>
      <c r="W95" s="418"/>
      <c r="X95" s="418"/>
      <c r="Y95" s="418"/>
      <c r="Z95" s="418"/>
      <c r="AA95" s="418"/>
      <c r="AB95" s="418"/>
      <c r="AC95" s="418"/>
      <c r="AD95" s="418"/>
      <c r="AE95" s="418"/>
      <c r="AF95" s="418"/>
      <c r="AG95" s="418"/>
    </row>
    <row r="96" spans="1:33" s="632" customFormat="1" ht="16.5" customHeight="1" outlineLevel="2">
      <c r="A96" s="420"/>
      <c r="B96" s="420"/>
      <c r="C96" s="625" t="s">
        <v>356</v>
      </c>
      <c r="D96" s="422" t="str">
        <f t="shared" ref="D96:D101" si="275">Currency_Label</f>
        <v>USD</v>
      </c>
      <c r="E96" s="664"/>
      <c r="F96" s="664"/>
      <c r="G96" s="664"/>
      <c r="H96" s="664"/>
      <c r="I96" s="71">
        <f t="shared" ref="I96:I101" si="276">SUMPRODUCT((J$6:AG$6),(J96:AG96))</f>
        <v>40000</v>
      </c>
      <c r="J96" s="263"/>
      <c r="K96" s="263"/>
      <c r="L96" s="263">
        <v>20000</v>
      </c>
      <c r="M96" s="263"/>
      <c r="N96" s="263"/>
      <c r="O96" s="263"/>
      <c r="P96" s="263"/>
      <c r="Q96" s="263"/>
      <c r="R96" s="263"/>
      <c r="S96" s="263"/>
      <c r="T96" s="263"/>
      <c r="U96" s="263"/>
      <c r="V96" s="263">
        <v>20000</v>
      </c>
      <c r="W96" s="263"/>
      <c r="X96" s="263"/>
      <c r="Y96" s="263"/>
      <c r="Z96" s="263"/>
      <c r="AA96" s="263"/>
      <c r="AB96" s="263"/>
      <c r="AC96" s="263"/>
      <c r="AD96" s="263"/>
      <c r="AE96" s="263"/>
      <c r="AF96" s="263"/>
      <c r="AG96" s="263"/>
    </row>
    <row r="97" spans="1:33" s="632" customFormat="1" ht="16.5" customHeight="1" outlineLevel="2">
      <c r="A97" s="420"/>
      <c r="B97" s="420"/>
      <c r="C97" s="625" t="s">
        <v>357</v>
      </c>
      <c r="D97" s="422" t="str">
        <f t="shared" si="275"/>
        <v>USD</v>
      </c>
      <c r="E97" s="664"/>
      <c r="F97" s="664"/>
      <c r="G97" s="664"/>
      <c r="H97" s="664"/>
      <c r="I97" s="71">
        <f t="shared" si="276"/>
        <v>30000</v>
      </c>
      <c r="J97" s="263"/>
      <c r="K97" s="263"/>
      <c r="L97" s="263"/>
      <c r="M97" s="263"/>
      <c r="N97" s="263"/>
      <c r="O97" s="263"/>
      <c r="P97" s="263"/>
      <c r="Q97" s="263"/>
      <c r="R97" s="263"/>
      <c r="S97" s="263"/>
      <c r="T97" s="263"/>
      <c r="U97" s="263"/>
      <c r="V97" s="263">
        <v>30000</v>
      </c>
      <c r="W97" s="263"/>
      <c r="X97" s="263"/>
      <c r="Y97" s="263"/>
      <c r="Z97" s="263"/>
      <c r="AA97" s="263"/>
      <c r="AB97" s="263"/>
      <c r="AC97" s="263"/>
      <c r="AD97" s="263"/>
      <c r="AE97" s="263"/>
      <c r="AF97" s="263"/>
      <c r="AG97" s="263"/>
    </row>
    <row r="98" spans="1:33" s="632" customFormat="1" ht="16.5" customHeight="1" outlineLevel="2">
      <c r="A98" s="420"/>
      <c r="B98" s="420"/>
      <c r="C98" s="625" t="s">
        <v>358</v>
      </c>
      <c r="D98" s="422" t="str">
        <f t="shared" si="275"/>
        <v>USD</v>
      </c>
      <c r="E98" s="664"/>
      <c r="F98" s="664"/>
      <c r="G98" s="664"/>
      <c r="H98" s="664"/>
      <c r="I98" s="71">
        <f t="shared" si="276"/>
        <v>0</v>
      </c>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row>
    <row r="99" spans="1:33" s="632" customFormat="1" ht="16.5" customHeight="1" outlineLevel="2">
      <c r="A99" s="420"/>
      <c r="B99" s="420"/>
      <c r="C99" s="625" t="s">
        <v>359</v>
      </c>
      <c r="D99" s="422" t="str">
        <f t="shared" si="275"/>
        <v>USD</v>
      </c>
      <c r="E99" s="664"/>
      <c r="F99" s="664"/>
      <c r="G99" s="664"/>
      <c r="H99" s="664"/>
      <c r="I99" s="71">
        <f t="shared" si="276"/>
        <v>0</v>
      </c>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row>
    <row r="100" spans="1:33" s="632" customFormat="1" ht="16.5" customHeight="1" outlineLevel="2">
      <c r="A100" s="420"/>
      <c r="B100" s="420"/>
      <c r="C100" s="625" t="s">
        <v>360</v>
      </c>
      <c r="D100" s="422" t="str">
        <f t="shared" si="275"/>
        <v>USD</v>
      </c>
      <c r="E100" s="664"/>
      <c r="F100" s="664"/>
      <c r="G100" s="664"/>
      <c r="H100" s="664"/>
      <c r="I100" s="71">
        <f t="shared" si="276"/>
        <v>0</v>
      </c>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row>
    <row r="101" spans="1:33" s="632" customFormat="1" ht="16.5" customHeight="1" outlineLevel="2">
      <c r="A101" s="420"/>
      <c r="B101" s="420"/>
      <c r="C101" s="421" t="s">
        <v>361</v>
      </c>
      <c r="D101" s="422" t="str">
        <f t="shared" si="275"/>
        <v>USD</v>
      </c>
      <c r="E101" s="664"/>
      <c r="F101" s="664"/>
      <c r="G101" s="664"/>
      <c r="H101" s="664"/>
      <c r="I101" s="71">
        <f t="shared" si="276"/>
        <v>70000</v>
      </c>
      <c r="J101" s="715">
        <f>SUM(J96:J100)*J$6</f>
        <v>0</v>
      </c>
      <c r="K101" s="715">
        <f t="shared" ref="K101" si="277">SUM(K96:K100)*K$6</f>
        <v>0</v>
      </c>
      <c r="L101" s="715">
        <f t="shared" ref="L101:M101" si="278">SUM(L96:L100)*L$6</f>
        <v>20000</v>
      </c>
      <c r="M101" s="715">
        <f t="shared" si="278"/>
        <v>0</v>
      </c>
      <c r="N101" s="715">
        <f t="shared" ref="N101" si="279">SUM(N96:N100)*N$6</f>
        <v>0</v>
      </c>
      <c r="O101" s="715">
        <f t="shared" ref="O101" si="280">SUM(O96:O100)*O$6</f>
        <v>0</v>
      </c>
      <c r="P101" s="715">
        <f t="shared" ref="P101" si="281">SUM(P96:P100)*P$6</f>
        <v>0</v>
      </c>
      <c r="Q101" s="715">
        <f t="shared" ref="Q101" si="282">SUM(Q96:Q100)*Q$6</f>
        <v>0</v>
      </c>
      <c r="R101" s="715">
        <f t="shared" ref="R101" si="283">SUM(R96:R100)*R$6</f>
        <v>0</v>
      </c>
      <c r="S101" s="715">
        <f t="shared" ref="S101" si="284">SUM(S96:S100)*S$6</f>
        <v>0</v>
      </c>
      <c r="T101" s="715">
        <f t="shared" ref="T101" si="285">SUM(T96:T100)*T$6</f>
        <v>0</v>
      </c>
      <c r="U101" s="715">
        <f t="shared" ref="U101" si="286">SUM(U96:U100)*U$6</f>
        <v>0</v>
      </c>
      <c r="V101" s="715">
        <f t="shared" ref="V101" si="287">SUM(V96:V100)*V$6</f>
        <v>50000</v>
      </c>
      <c r="W101" s="715">
        <f t="shared" ref="W101" si="288">SUM(W96:W100)*W$6</f>
        <v>0</v>
      </c>
      <c r="X101" s="715">
        <f t="shared" ref="X101" si="289">SUM(X96:X100)*X$6</f>
        <v>0</v>
      </c>
      <c r="Y101" s="715">
        <f t="shared" ref="Y101" si="290">SUM(Y96:Y100)*Y$6</f>
        <v>0</v>
      </c>
      <c r="Z101" s="715">
        <f t="shared" ref="Z101" si="291">SUM(Z96:Z100)*Z$6</f>
        <v>0</v>
      </c>
      <c r="AA101" s="715">
        <f t="shared" ref="AA101" si="292">SUM(AA96:AA100)*AA$6</f>
        <v>0</v>
      </c>
      <c r="AB101" s="715">
        <f t="shared" ref="AB101" si="293">SUM(AB96:AB100)*AB$6</f>
        <v>0</v>
      </c>
      <c r="AC101" s="715">
        <f t="shared" ref="AC101" si="294">SUM(AC96:AC100)*AC$6</f>
        <v>0</v>
      </c>
      <c r="AD101" s="715">
        <f t="shared" ref="AD101" si="295">SUM(AD96:AD100)*AD$6</f>
        <v>0</v>
      </c>
      <c r="AE101" s="715">
        <f t="shared" ref="AE101" si="296">SUM(AE96:AE100)*AE$6</f>
        <v>0</v>
      </c>
      <c r="AF101" s="715">
        <f t="shared" ref="AF101" si="297">SUM(AF96:AF100)*AF$6</f>
        <v>0</v>
      </c>
      <c r="AG101" s="715">
        <f t="shared" ref="AG101" si="298">SUM(AG96:AG100)*AG$6</f>
        <v>0</v>
      </c>
    </row>
    <row r="102" spans="1:33" s="632" customFormat="1" ht="16.5" customHeight="1" outlineLevel="2">
      <c r="A102" s="420"/>
      <c r="B102" s="709" t="s">
        <v>42</v>
      </c>
      <c r="C102" s="706" t="str">
        <f>"Depreciation: "&amp;C94</f>
        <v>Depreciation: Vehicles</v>
      </c>
      <c r="D102" s="664"/>
      <c r="E102" s="664"/>
      <c r="F102" s="664"/>
      <c r="G102" s="664"/>
      <c r="H102" s="431"/>
      <c r="I102" s="431"/>
      <c r="J102" s="431"/>
      <c r="K102" s="431"/>
      <c r="L102" s="418"/>
      <c r="M102" s="418"/>
      <c r="N102" s="418"/>
      <c r="O102" s="418"/>
      <c r="P102" s="418"/>
      <c r="Q102" s="418"/>
      <c r="R102" s="418"/>
      <c r="S102" s="418"/>
      <c r="T102" s="418"/>
      <c r="U102" s="418"/>
      <c r="V102" s="418"/>
      <c r="W102" s="418"/>
      <c r="X102" s="418"/>
      <c r="Y102" s="418"/>
      <c r="Z102" s="418"/>
      <c r="AA102" s="418"/>
      <c r="AB102" s="418"/>
      <c r="AC102" s="418"/>
      <c r="AD102" s="418"/>
      <c r="AE102" s="418"/>
      <c r="AF102" s="418"/>
      <c r="AG102" s="418"/>
    </row>
    <row r="103" spans="1:33" s="632" customFormat="1" ht="16.5" customHeight="1" outlineLevel="2">
      <c r="A103" s="420"/>
      <c r="B103" s="420"/>
      <c r="C103" s="421" t="s">
        <v>362</v>
      </c>
      <c r="D103" s="422" t="str">
        <f>Currency_Label</f>
        <v>USD</v>
      </c>
      <c r="E103" s="664"/>
      <c r="F103" s="671" t="s">
        <v>363</v>
      </c>
      <c r="G103" s="671" t="s">
        <v>30</v>
      </c>
      <c r="H103" s="513"/>
      <c r="I103" s="144">
        <f>Inputs!F263</f>
        <v>0</v>
      </c>
      <c r="J103" s="344">
        <f t="shared" ref="J103:L103" si="299">(I103+J101+J107+J109-J114)*J$6</f>
        <v>0</v>
      </c>
      <c r="K103" s="344">
        <f t="shared" si="299"/>
        <v>0</v>
      </c>
      <c r="L103" s="344">
        <f t="shared" si="299"/>
        <v>20000</v>
      </c>
      <c r="M103" s="344">
        <f t="shared" ref="M103:AG103" si="300">(L103+M101+M107+M109-M114)*M$6</f>
        <v>20000</v>
      </c>
      <c r="N103" s="344">
        <f t="shared" si="300"/>
        <v>20000</v>
      </c>
      <c r="O103" s="344">
        <f t="shared" si="300"/>
        <v>20000</v>
      </c>
      <c r="P103" s="344">
        <f t="shared" si="300"/>
        <v>40000</v>
      </c>
      <c r="Q103" s="344">
        <f t="shared" si="300"/>
        <v>40000</v>
      </c>
      <c r="R103" s="344">
        <f t="shared" si="300"/>
        <v>40000</v>
      </c>
      <c r="S103" s="344">
        <f t="shared" si="300"/>
        <v>40000</v>
      </c>
      <c r="T103" s="344">
        <f t="shared" si="300"/>
        <v>40000</v>
      </c>
      <c r="U103" s="344">
        <f t="shared" si="300"/>
        <v>40000</v>
      </c>
      <c r="V103" s="344">
        <f t="shared" si="300"/>
        <v>90000</v>
      </c>
      <c r="W103" s="344">
        <f t="shared" si="300"/>
        <v>90000</v>
      </c>
      <c r="X103" s="344">
        <f t="shared" si="300"/>
        <v>90000</v>
      </c>
      <c r="Y103" s="344">
        <f t="shared" si="300"/>
        <v>90000</v>
      </c>
      <c r="Z103" s="344">
        <f t="shared" si="300"/>
        <v>90000</v>
      </c>
      <c r="AA103" s="344">
        <f t="shared" si="300"/>
        <v>90000</v>
      </c>
      <c r="AB103" s="344">
        <f t="shared" si="300"/>
        <v>90000</v>
      </c>
      <c r="AC103" s="344">
        <f t="shared" si="300"/>
        <v>90000</v>
      </c>
      <c r="AD103" s="344">
        <f t="shared" si="300"/>
        <v>90000</v>
      </c>
      <c r="AE103" s="344">
        <f t="shared" si="300"/>
        <v>90000</v>
      </c>
      <c r="AF103" s="344">
        <f t="shared" si="300"/>
        <v>0</v>
      </c>
      <c r="AG103" s="344">
        <f t="shared" si="300"/>
        <v>0</v>
      </c>
    </row>
    <row r="104" spans="1:33" s="632" customFormat="1" ht="16.5" customHeight="1" outlineLevel="2">
      <c r="A104" s="420"/>
      <c r="B104" s="420"/>
      <c r="C104" s="421" t="s">
        <v>376</v>
      </c>
      <c r="D104" s="422" t="str">
        <f>Currency_Label</f>
        <v>USD</v>
      </c>
      <c r="E104" s="664"/>
      <c r="F104" s="718">
        <v>72</v>
      </c>
      <c r="G104" s="719">
        <f>IF(F104=0,0,1/F104)</f>
        <v>1.3888888888888888E-2</v>
      </c>
      <c r="H104" s="668">
        <f>IF(ABS(MIN($J104:$AG104))&gt;0.01,1,0)</f>
        <v>0</v>
      </c>
      <c r="I104" s="71">
        <f>SUM(J104:AG104)</f>
        <v>15694.444444444445</v>
      </c>
      <c r="J104" s="716">
        <f t="shared" ref="J104" si="301">IF(I103-I105&lt;IF($F105=1,$G104*I103,(I103-I105)*2*$G104),I103-I105,IF($F105=1,$G104*I103,(I103-I105)*2*$G104))*J$6</f>
        <v>0</v>
      </c>
      <c r="K104" s="716">
        <f t="shared" ref="K104" si="302">IF(J103-J105&lt;IF($F105=1,$G104*J103,(J103-J105)*2*$G104),J103-J105,IF($F105=1,$G104*J103,(J103-J105)*2*$G104))*K$6</f>
        <v>0</v>
      </c>
      <c r="L104" s="716">
        <f t="shared" ref="L104:M104" si="303">IF(K103-K105&lt;IF($F105=1,$G104*K103,(K103-K105)*2*$G104),K103-K105,IF($F105=1,$G104*K103,(K103-K105)*2*$G104))*L$6</f>
        <v>0</v>
      </c>
      <c r="M104" s="716">
        <f t="shared" si="303"/>
        <v>277.77777777777777</v>
      </c>
      <c r="N104" s="716">
        <f t="shared" ref="N104" si="304">IF(M103-M105&lt;IF($F105=1,$G104*M103,(M103-M105)*2*$G104),M103-M105,IF($F105=1,$G104*M103,(M103-M105)*2*$G104))*N$6</f>
        <v>277.77777777777777</v>
      </c>
      <c r="O104" s="716">
        <f t="shared" ref="O104" si="305">IF(N103-N105&lt;IF($F105=1,$G104*N103,(N103-N105)*2*$G104),N103-N105,IF($F105=1,$G104*N103,(N103-N105)*2*$G104))*O$6</f>
        <v>277.77777777777777</v>
      </c>
      <c r="P104" s="716">
        <f t="shared" ref="P104" si="306">IF(O103-O105&lt;IF($F105=1,$G104*O103,(O103-O105)*2*$G104),O103-O105,IF($F105=1,$G104*O103,(O103-O105)*2*$G104))*P$6</f>
        <v>277.77777777777777</v>
      </c>
      <c r="Q104" s="716">
        <f t="shared" ref="Q104" si="307">IF(P103-P105&lt;IF($F105=1,$G104*P103,(P103-P105)*2*$G104),P103-P105,IF($F105=1,$G104*P103,(P103-P105)*2*$G104))*Q$6</f>
        <v>555.55555555555554</v>
      </c>
      <c r="R104" s="716">
        <f t="shared" ref="R104" si="308">IF(Q103-Q105&lt;IF($F105=1,$G104*Q103,(Q103-Q105)*2*$G104),Q103-Q105,IF($F105=1,$G104*Q103,(Q103-Q105)*2*$G104))*R$6</f>
        <v>555.55555555555554</v>
      </c>
      <c r="S104" s="716">
        <f t="shared" ref="S104" si="309">IF(R103-R105&lt;IF($F105=1,$G104*R103,(R103-R105)*2*$G104),R103-R105,IF($F105=1,$G104*R103,(R103-R105)*2*$G104))*S$6</f>
        <v>555.55555555555554</v>
      </c>
      <c r="T104" s="716">
        <f t="shared" ref="T104" si="310">IF(S103-S105&lt;IF($F105=1,$G104*S103,(S103-S105)*2*$G104),S103-S105,IF($F105=1,$G104*S103,(S103-S105)*2*$G104))*T$6</f>
        <v>555.55555555555554</v>
      </c>
      <c r="U104" s="716">
        <f t="shared" ref="U104" si="311">IF(T103-T105&lt;IF($F105=1,$G104*T103,(T103-T105)*2*$G104),T103-T105,IF($F105=1,$G104*T103,(T103-T105)*2*$G104))*U$6</f>
        <v>555.55555555555554</v>
      </c>
      <c r="V104" s="716">
        <f t="shared" ref="V104" si="312">IF(U103-U105&lt;IF($F105=1,$G104*U103,(U103-U105)*2*$G104),U103-U105,IF($F105=1,$G104*U103,(U103-U105)*2*$G104))*V$6</f>
        <v>555.55555555555554</v>
      </c>
      <c r="W104" s="716">
        <f t="shared" ref="W104" si="313">IF(V103-V105&lt;IF($F105=1,$G104*V103,(V103-V105)*2*$G104),V103-V105,IF($F105=1,$G104*V103,(V103-V105)*2*$G104))*W$6</f>
        <v>1250</v>
      </c>
      <c r="X104" s="716">
        <f t="shared" ref="X104" si="314">IF(W103-W105&lt;IF($F105=1,$G104*W103,(W103-W105)*2*$G104),W103-W105,IF($F105=1,$G104*W103,(W103-W105)*2*$G104))*X$6</f>
        <v>1250</v>
      </c>
      <c r="Y104" s="716">
        <f t="shared" ref="Y104" si="315">IF(X103-X105&lt;IF($F105=1,$G104*X103,(X103-X105)*2*$G104),X103-X105,IF($F105=1,$G104*X103,(X103-X105)*2*$G104))*Y$6</f>
        <v>1250</v>
      </c>
      <c r="Z104" s="716">
        <f t="shared" ref="Z104" si="316">IF(Y103-Y105&lt;IF($F105=1,$G104*Y103,(Y103-Y105)*2*$G104),Y103-Y105,IF($F105=1,$G104*Y103,(Y103-Y105)*2*$G104))*Z$6</f>
        <v>1250</v>
      </c>
      <c r="AA104" s="716">
        <f t="shared" ref="AA104" si="317">IF(Z103-Z105&lt;IF($F105=1,$G104*Z103,(Z103-Z105)*2*$G104),Z103-Z105,IF($F105=1,$G104*Z103,(Z103-Z105)*2*$G104))*AA$6</f>
        <v>1250</v>
      </c>
      <c r="AB104" s="716">
        <f t="shared" ref="AB104" si="318">IF(AA103-AA105&lt;IF($F105=1,$G104*AA103,(AA103-AA105)*2*$G104),AA103-AA105,IF($F105=1,$G104*AA103,(AA103-AA105)*2*$G104))*AB$6</f>
        <v>1250</v>
      </c>
      <c r="AC104" s="716">
        <f t="shared" ref="AC104" si="319">IF(AB103-AB105&lt;IF($F105=1,$G104*AB103,(AB103-AB105)*2*$G104),AB103-AB105,IF($F105=1,$G104*AB103,(AB103-AB105)*2*$G104))*AC$6</f>
        <v>1250</v>
      </c>
      <c r="AD104" s="716">
        <f t="shared" ref="AD104" si="320">IF(AC103-AC105&lt;IF($F105=1,$G104*AC103,(AC103-AC105)*2*$G104),AC103-AC105,IF($F105=1,$G104*AC103,(AC103-AC105)*2*$G104))*AD$6</f>
        <v>1250</v>
      </c>
      <c r="AE104" s="716">
        <f t="shared" ref="AE104" si="321">IF(AD103-AD105&lt;IF($F105=1,$G104*AD103,(AD103-AD105)*2*$G104),AD103-AD105,IF($F105=1,$G104*AD103,(AD103-AD105)*2*$G104))*AE$6</f>
        <v>1250</v>
      </c>
      <c r="AF104" s="716">
        <f t="shared" ref="AF104" si="322">IF(AE103-AE105&lt;IF($F105=1,$G104*AE103,(AE103-AE105)*2*$G104),AE103-AE105,IF($F105=1,$G104*AE103,(AE103-AE105)*2*$G104))*AF$6</f>
        <v>0</v>
      </c>
      <c r="AG104" s="716">
        <f t="shared" ref="AG104" si="323">IF(AF103-AF105&lt;IF($F105=1,$G104*AF103,(AF103-AF105)*2*$G104),AF103-AF105,IF($F105=1,$G104*AF103,(AF103-AF105)*2*$G104))*AG$6</f>
        <v>0</v>
      </c>
    </row>
    <row r="105" spans="1:33" s="632" customFormat="1" ht="16.5" customHeight="1" outlineLevel="2">
      <c r="A105" s="420"/>
      <c r="B105" s="420"/>
      <c r="C105" s="421" t="s">
        <v>377</v>
      </c>
      <c r="D105" s="422" t="str">
        <f>Currency_Label</f>
        <v>USD</v>
      </c>
      <c r="E105" s="269" t="s">
        <v>364</v>
      </c>
      <c r="F105" s="899">
        <v>1</v>
      </c>
      <c r="G105" s="712" t="str">
        <f>IF(F105=1," straight-line"," double declining balance")</f>
        <v xml:space="preserve"> straight-line</v>
      </c>
      <c r="H105" s="513"/>
      <c r="I105" s="714"/>
      <c r="J105" s="717">
        <f t="shared" ref="J105" si="324">(I105+J104-J115)*J$6</f>
        <v>0</v>
      </c>
      <c r="K105" s="717">
        <f t="shared" ref="K105" si="325">(J105+K104-K115)*K$6</f>
        <v>0</v>
      </c>
      <c r="L105" s="717">
        <f t="shared" ref="L105:M105" si="326">(K105+L104-L115)*L$6</f>
        <v>0</v>
      </c>
      <c r="M105" s="717">
        <f t="shared" si="326"/>
        <v>277.77777777777777</v>
      </c>
      <c r="N105" s="717">
        <f t="shared" ref="N105" si="327">(M105+N104-N115)*N$6</f>
        <v>555.55555555555554</v>
      </c>
      <c r="O105" s="717">
        <f t="shared" ref="O105" si="328">(N105+O104-O115)*O$6</f>
        <v>833.33333333333326</v>
      </c>
      <c r="P105" s="717">
        <f t="shared" ref="P105" si="329">(O105+P104-P115)*P$6</f>
        <v>1111.1111111111111</v>
      </c>
      <c r="Q105" s="717">
        <f t="shared" ref="Q105" si="330">(P105+Q104-Q115)*Q$6</f>
        <v>1666.6666666666665</v>
      </c>
      <c r="R105" s="717">
        <f t="shared" ref="R105" si="331">(Q105+R104-R115)*R$6</f>
        <v>2222.2222222222222</v>
      </c>
      <c r="S105" s="717">
        <f t="shared" ref="S105" si="332">(R105+S104-S115)*S$6</f>
        <v>2777.7777777777778</v>
      </c>
      <c r="T105" s="717">
        <f t="shared" ref="T105" si="333">(S105+T104-T115)*T$6</f>
        <v>3333.3333333333335</v>
      </c>
      <c r="U105" s="717">
        <f t="shared" ref="U105" si="334">(T105+U104-U115)*U$6</f>
        <v>3888.8888888888891</v>
      </c>
      <c r="V105" s="717">
        <f t="shared" ref="V105" si="335">(U105+V104-V115)*V$6</f>
        <v>4444.4444444444443</v>
      </c>
      <c r="W105" s="717">
        <f t="shared" ref="W105" si="336">(V105+W104-W115)*W$6</f>
        <v>5694.4444444444443</v>
      </c>
      <c r="X105" s="717">
        <f t="shared" ref="X105" si="337">(W105+X104-X115)*X$6</f>
        <v>6944.4444444444443</v>
      </c>
      <c r="Y105" s="717">
        <f t="shared" ref="Y105" si="338">(X105+Y104-Y115)*Y$6</f>
        <v>8194.4444444444453</v>
      </c>
      <c r="Z105" s="717">
        <f t="shared" ref="Z105" si="339">(Y105+Z104-Z115)*Z$6</f>
        <v>9444.4444444444453</v>
      </c>
      <c r="AA105" s="717">
        <f t="shared" ref="AA105" si="340">(Z105+AA104-AA115)*AA$6</f>
        <v>10694.444444444445</v>
      </c>
      <c r="AB105" s="717">
        <f t="shared" ref="AB105" si="341">(AA105+AB104-AB115)*AB$6</f>
        <v>11944.444444444445</v>
      </c>
      <c r="AC105" s="717">
        <f t="shared" ref="AC105" si="342">(AB105+AC104-AC115)*AC$6</f>
        <v>13194.444444444445</v>
      </c>
      <c r="AD105" s="717">
        <f t="shared" ref="AD105" si="343">(AC105+AD104-AD115)*AD$6</f>
        <v>14444.444444444445</v>
      </c>
      <c r="AE105" s="717">
        <f t="shared" ref="AE105" si="344">(AD105+AE104-AE115)*AE$6</f>
        <v>15694.444444444445</v>
      </c>
      <c r="AF105" s="717">
        <f t="shared" ref="AF105" si="345">(AE105+AF104-AF115)*AF$6</f>
        <v>0</v>
      </c>
      <c r="AG105" s="717">
        <f t="shared" ref="AG105" si="346">(AF105+AG104-AG115)*AG$6</f>
        <v>0</v>
      </c>
    </row>
    <row r="106" spans="1:33" s="632" customFormat="1" ht="16.5" customHeight="1" outlineLevel="2">
      <c r="A106" s="420"/>
      <c r="B106" s="709" t="s">
        <v>43</v>
      </c>
      <c r="C106" s="706" t="str">
        <f>"Company produced additions: "&amp;C94</f>
        <v>Company produced additions: Vehicles</v>
      </c>
      <c r="D106" s="435"/>
      <c r="E106" s="435"/>
      <c r="F106" s="435"/>
      <c r="G106" s="435"/>
      <c r="H106" s="435"/>
      <c r="I106" s="435"/>
      <c r="J106" s="431"/>
      <c r="K106" s="431"/>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row>
    <row r="107" spans="1:33" s="632" customFormat="1" ht="16.5" customHeight="1" outlineLevel="2">
      <c r="A107" s="420"/>
      <c r="B107" s="420"/>
      <c r="C107" s="421" t="str">
        <f>CHOOSE(language,"2. Capitalised assets","2. Capitalized assets")</f>
        <v>2. Capitalized assets</v>
      </c>
      <c r="D107" s="711"/>
      <c r="E107" s="435"/>
      <c r="F107" s="435"/>
      <c r="G107" s="436"/>
      <c r="H107" s="435"/>
      <c r="I107" s="71">
        <f>SUMPRODUCT((J$6:AG$6),(J107:AG107))</f>
        <v>0</v>
      </c>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row>
    <row r="108" spans="1:33" s="632" customFormat="1" ht="16.5" customHeight="1" outlineLevel="2">
      <c r="A108" s="420"/>
      <c r="B108" s="709" t="s">
        <v>352</v>
      </c>
      <c r="C108" s="706" t="str">
        <f>"Finance Lease: "&amp;C94</f>
        <v>Finance Lease: Vehicles</v>
      </c>
      <c r="D108" s="428"/>
      <c r="E108" s="435"/>
      <c r="F108" s="435"/>
      <c r="G108" s="436"/>
      <c r="H108" s="435"/>
      <c r="I108" s="435"/>
      <c r="J108" s="431"/>
      <c r="K108" s="431"/>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418"/>
    </row>
    <row r="109" spans="1:33" s="632" customFormat="1" ht="16.5" customHeight="1" outlineLevel="2">
      <c r="A109" s="420"/>
      <c r="B109" s="420"/>
      <c r="C109" s="421" t="s">
        <v>365</v>
      </c>
      <c r="D109" s="422" t="str">
        <f>Currency_Label</f>
        <v>USD</v>
      </c>
      <c r="E109" s="435"/>
      <c r="F109" s="664"/>
      <c r="G109" s="664"/>
      <c r="H109" s="435"/>
      <c r="I109" s="71">
        <f>SUMPRODUCT((J$6:AG$6),(J109:AG109))</f>
        <v>20000</v>
      </c>
      <c r="J109" s="263"/>
      <c r="K109" s="263"/>
      <c r="L109" s="263"/>
      <c r="M109" s="263"/>
      <c r="N109" s="263"/>
      <c r="O109" s="263"/>
      <c r="P109" s="263">
        <v>20000</v>
      </c>
      <c r="Q109" s="263"/>
      <c r="R109" s="263"/>
      <c r="S109" s="263"/>
      <c r="T109" s="263"/>
      <c r="U109" s="263"/>
      <c r="V109" s="263"/>
      <c r="W109" s="263"/>
      <c r="X109" s="263"/>
      <c r="Y109" s="263"/>
      <c r="Z109" s="263"/>
      <c r="AA109" s="263"/>
      <c r="AB109" s="263"/>
      <c r="AC109" s="263"/>
      <c r="AD109" s="263"/>
      <c r="AE109" s="263"/>
      <c r="AF109" s="263"/>
      <c r="AG109" s="263"/>
    </row>
    <row r="110" spans="1:33" s="632" customFormat="1" ht="16.5" customHeight="1" outlineLevel="2">
      <c r="A110" s="420"/>
      <c r="B110" s="420"/>
      <c r="C110" s="421" t="s">
        <v>366</v>
      </c>
      <c r="D110" s="422" t="str">
        <f>Currency_Label</f>
        <v>USD</v>
      </c>
      <c r="E110" s="435"/>
      <c r="F110" s="435"/>
      <c r="G110" s="436"/>
      <c r="H110" s="435"/>
      <c r="I110" s="71">
        <f>SUMPRODUCT((J$6:AG$6),(J110:AG110))</f>
        <v>4000</v>
      </c>
      <c r="J110" s="263"/>
      <c r="K110" s="263"/>
      <c r="L110" s="263"/>
      <c r="M110" s="263"/>
      <c r="N110" s="263"/>
      <c r="O110" s="263"/>
      <c r="P110" s="263">
        <v>250</v>
      </c>
      <c r="Q110" s="263">
        <v>250</v>
      </c>
      <c r="R110" s="263">
        <v>250</v>
      </c>
      <c r="S110" s="263">
        <v>250</v>
      </c>
      <c r="T110" s="263">
        <v>250</v>
      </c>
      <c r="U110" s="263">
        <v>250</v>
      </c>
      <c r="V110" s="263">
        <v>250</v>
      </c>
      <c r="W110" s="263">
        <v>250</v>
      </c>
      <c r="X110" s="263">
        <v>250</v>
      </c>
      <c r="Y110" s="263">
        <v>250</v>
      </c>
      <c r="Z110" s="263">
        <v>250</v>
      </c>
      <c r="AA110" s="263">
        <v>250</v>
      </c>
      <c r="AB110" s="263">
        <v>250</v>
      </c>
      <c r="AC110" s="263">
        <v>250</v>
      </c>
      <c r="AD110" s="263">
        <v>250</v>
      </c>
      <c r="AE110" s="263">
        <v>250</v>
      </c>
      <c r="AF110" s="263">
        <v>250</v>
      </c>
      <c r="AG110" s="263">
        <v>250</v>
      </c>
    </row>
    <row r="111" spans="1:33" s="632" customFormat="1" ht="16.5" customHeight="1" outlineLevel="2">
      <c r="A111" s="420"/>
      <c r="B111" s="420"/>
      <c r="C111" s="421" t="s">
        <v>367</v>
      </c>
      <c r="D111" s="422" t="str">
        <f>Currency_Label</f>
        <v>USD</v>
      </c>
      <c r="E111" s="435"/>
      <c r="F111" s="435"/>
      <c r="G111" s="436"/>
      <c r="H111" s="435"/>
      <c r="I111" s="71">
        <f>SUMPRODUCT((J$6:AG$6),(J111:AG111))</f>
        <v>15000</v>
      </c>
      <c r="J111" s="263"/>
      <c r="K111" s="263"/>
      <c r="L111" s="263"/>
      <c r="M111" s="263"/>
      <c r="N111" s="263"/>
      <c r="O111" s="263"/>
      <c r="P111" s="263"/>
      <c r="Q111" s="263">
        <v>1000</v>
      </c>
      <c r="R111" s="263">
        <v>1000</v>
      </c>
      <c r="S111" s="263">
        <v>1000</v>
      </c>
      <c r="T111" s="263">
        <v>1000</v>
      </c>
      <c r="U111" s="263">
        <v>1000</v>
      </c>
      <c r="V111" s="263">
        <v>1000</v>
      </c>
      <c r="W111" s="263">
        <v>1000</v>
      </c>
      <c r="X111" s="263">
        <v>1000</v>
      </c>
      <c r="Y111" s="263">
        <v>1000</v>
      </c>
      <c r="Z111" s="263">
        <v>1000</v>
      </c>
      <c r="AA111" s="263">
        <v>1000</v>
      </c>
      <c r="AB111" s="263">
        <v>1000</v>
      </c>
      <c r="AC111" s="263">
        <v>1000</v>
      </c>
      <c r="AD111" s="263">
        <v>1000</v>
      </c>
      <c r="AE111" s="263">
        <v>1000</v>
      </c>
      <c r="AF111" s="263">
        <v>1000</v>
      </c>
      <c r="AG111" s="263">
        <v>1000</v>
      </c>
    </row>
    <row r="112" spans="1:33" s="632" customFormat="1" ht="16.5" customHeight="1" outlineLevel="2">
      <c r="A112" s="420"/>
      <c r="B112" s="709" t="s">
        <v>353</v>
      </c>
      <c r="C112" s="706" t="str">
        <f>CHOOSE(language, "Sale of "&amp;C94,"Disposal of "&amp;C94)</f>
        <v>Disposal of Vehicles</v>
      </c>
      <c r="D112" s="428"/>
      <c r="E112" s="435"/>
      <c r="F112" s="435"/>
      <c r="G112" s="436"/>
      <c r="H112" s="435"/>
      <c r="I112" s="435"/>
      <c r="J112" s="431"/>
      <c r="K112" s="431"/>
      <c r="L112" s="418"/>
      <c r="M112" s="418"/>
      <c r="N112" s="418"/>
      <c r="O112" s="418"/>
      <c r="P112" s="418"/>
      <c r="Q112" s="418"/>
      <c r="R112" s="418"/>
      <c r="S112" s="418"/>
      <c r="T112" s="418"/>
      <c r="U112" s="418"/>
      <c r="V112" s="418"/>
      <c r="W112" s="418"/>
      <c r="X112" s="418"/>
      <c r="Y112" s="418"/>
      <c r="Z112" s="418"/>
      <c r="AA112" s="418"/>
      <c r="AB112" s="418"/>
      <c r="AC112" s="418"/>
      <c r="AD112" s="418"/>
      <c r="AE112" s="418"/>
      <c r="AF112" s="418"/>
      <c r="AG112" s="418"/>
    </row>
    <row r="113" spans="1:33" s="632" customFormat="1" ht="16.5" customHeight="1" outlineLevel="2">
      <c r="A113" s="420"/>
      <c r="B113" s="420"/>
      <c r="C113" s="421" t="s">
        <v>368</v>
      </c>
      <c r="D113" s="422" t="str">
        <f>Currency_Label</f>
        <v>USD</v>
      </c>
      <c r="E113" s="435"/>
      <c r="F113" s="435"/>
      <c r="G113" s="436"/>
      <c r="H113" s="713"/>
      <c r="I113" s="71">
        <f>SUMPRODUCT((J$6:AG$6),(J113:AG113))</f>
        <v>0</v>
      </c>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row>
    <row r="114" spans="1:33" s="632" customFormat="1" ht="16.5" customHeight="1" outlineLevel="2">
      <c r="A114" s="420"/>
      <c r="B114" s="420"/>
      <c r="C114" s="421" t="s">
        <v>369</v>
      </c>
      <c r="D114" s="422" t="str">
        <f>Currency_Label</f>
        <v>USD</v>
      </c>
      <c r="E114" s="273" t="str">
        <f>IF(H104=0,"","Error: Please check inputs for sale of assets")</f>
        <v/>
      </c>
      <c r="F114" s="435"/>
      <c r="G114" s="436"/>
      <c r="H114" s="713"/>
      <c r="I114" s="71">
        <f>SUMPRODUCT((J$6:AG$6),(J114:AG114))</f>
        <v>0</v>
      </c>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row>
    <row r="115" spans="1:33" s="632" customFormat="1" ht="16.5" customHeight="1" outlineLevel="2">
      <c r="A115" s="420"/>
      <c r="B115" s="420"/>
      <c r="C115" s="421" t="s">
        <v>378</v>
      </c>
      <c r="D115" s="422" t="str">
        <f>Currency_Label</f>
        <v>USD</v>
      </c>
      <c r="E115" s="273" t="str">
        <f>IF(H104=0,"","Error: Please check inputs for sale of assets")</f>
        <v/>
      </c>
      <c r="F115" s="435"/>
      <c r="G115" s="436"/>
      <c r="H115" s="713"/>
      <c r="I115" s="71">
        <f>SUMPRODUCT((J$6:AG$6),(J115:AG115))</f>
        <v>0</v>
      </c>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row>
    <row r="116" spans="1:33" s="632" customFormat="1" ht="16.5" customHeight="1" outlineLevel="2">
      <c r="A116" s="420"/>
      <c r="B116" s="709" t="s">
        <v>354</v>
      </c>
      <c r="C116" s="706" t="str">
        <f>Name_VAT</f>
        <v>VAT</v>
      </c>
      <c r="D116" s="428"/>
      <c r="E116" s="435"/>
      <c r="F116" s="430"/>
      <c r="G116" s="430"/>
      <c r="H116" s="420"/>
      <c r="I116" s="420"/>
      <c r="J116" s="431"/>
      <c r="K116" s="431"/>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418"/>
    </row>
    <row r="117" spans="1:33" s="632" customFormat="1" ht="16.5" customHeight="1" outlineLevel="2">
      <c r="A117" s="420"/>
      <c r="B117" s="420"/>
      <c r="C117" s="24" t="str">
        <f>Name_VAT &amp;" on "&amp;C94 &amp;" purchased &amp; leased"</f>
        <v>VAT on Vehicles purchased &amp; leased</v>
      </c>
      <c r="D117" s="8" t="str">
        <f t="shared" ref="D117" si="347">Currency_Label</f>
        <v>USD</v>
      </c>
      <c r="E117" s="84">
        <f>F94</f>
        <v>0.6</v>
      </c>
      <c r="F117" s="721" t="s">
        <v>375</v>
      </c>
      <c r="G117" s="84">
        <f>H94</f>
        <v>0.1</v>
      </c>
      <c r="H117" s="333"/>
      <c r="I117" s="71">
        <f>SUM(J117:AG117)</f>
        <v>5400</v>
      </c>
      <c r="J117" s="690">
        <f>(J101+J109)*$E117*$G117*J$6</f>
        <v>0</v>
      </c>
      <c r="K117" s="690">
        <f t="shared" ref="K117:L117" si="348">(K101+K109)*$E117*$G117*K$6</f>
        <v>0</v>
      </c>
      <c r="L117" s="690">
        <f t="shared" si="348"/>
        <v>1200</v>
      </c>
      <c r="M117" s="690">
        <f t="shared" ref="M117:AG117" si="349">(M101+M109)*$E117*$G117*M$6</f>
        <v>0</v>
      </c>
      <c r="N117" s="690">
        <f t="shared" si="349"/>
        <v>0</v>
      </c>
      <c r="O117" s="690">
        <f t="shared" si="349"/>
        <v>0</v>
      </c>
      <c r="P117" s="690">
        <f t="shared" si="349"/>
        <v>1200</v>
      </c>
      <c r="Q117" s="690">
        <f t="shared" si="349"/>
        <v>0</v>
      </c>
      <c r="R117" s="690">
        <f t="shared" si="349"/>
        <v>0</v>
      </c>
      <c r="S117" s="690">
        <f t="shared" si="349"/>
        <v>0</v>
      </c>
      <c r="T117" s="690">
        <f t="shared" si="349"/>
        <v>0</v>
      </c>
      <c r="U117" s="690">
        <f t="shared" si="349"/>
        <v>0</v>
      </c>
      <c r="V117" s="690">
        <f t="shared" si="349"/>
        <v>3000</v>
      </c>
      <c r="W117" s="690">
        <f t="shared" si="349"/>
        <v>0</v>
      </c>
      <c r="X117" s="690">
        <f t="shared" si="349"/>
        <v>0</v>
      </c>
      <c r="Y117" s="690">
        <f t="shared" si="349"/>
        <v>0</v>
      </c>
      <c r="Z117" s="690">
        <f t="shared" si="349"/>
        <v>0</v>
      </c>
      <c r="AA117" s="690">
        <f t="shared" si="349"/>
        <v>0</v>
      </c>
      <c r="AB117" s="690">
        <f t="shared" si="349"/>
        <v>0</v>
      </c>
      <c r="AC117" s="690">
        <f t="shared" si="349"/>
        <v>0</v>
      </c>
      <c r="AD117" s="690">
        <f t="shared" si="349"/>
        <v>0</v>
      </c>
      <c r="AE117" s="690">
        <f t="shared" si="349"/>
        <v>0</v>
      </c>
      <c r="AF117" s="690">
        <f t="shared" si="349"/>
        <v>0</v>
      </c>
      <c r="AG117" s="690">
        <f t="shared" si="349"/>
        <v>0</v>
      </c>
    </row>
    <row r="118" spans="1:33" s="632" customFormat="1" ht="16.5" customHeight="1" outlineLevel="2">
      <c r="A118" s="420"/>
      <c r="B118" s="420"/>
      <c r="C118" s="434"/>
      <c r="D118" s="428"/>
      <c r="E118" s="435"/>
      <c r="F118" s="430"/>
      <c r="G118" s="430"/>
      <c r="H118" s="420"/>
      <c r="I118" s="420"/>
      <c r="J118" s="431"/>
      <c r="K118" s="431"/>
      <c r="L118" s="418"/>
      <c r="M118" s="418"/>
      <c r="N118" s="418"/>
      <c r="O118" s="418"/>
      <c r="P118" s="418"/>
      <c r="Q118" s="418"/>
      <c r="R118" s="418"/>
      <c r="S118" s="418"/>
      <c r="T118" s="418"/>
      <c r="U118" s="418"/>
      <c r="V118" s="418"/>
      <c r="W118" s="418"/>
      <c r="X118" s="418"/>
      <c r="Y118" s="418"/>
      <c r="Z118" s="418"/>
      <c r="AA118" s="418"/>
      <c r="AB118" s="418"/>
      <c r="AC118" s="418"/>
      <c r="AD118" s="418"/>
      <c r="AE118" s="418"/>
      <c r="AF118" s="418"/>
      <c r="AG118" s="418"/>
    </row>
    <row r="119" spans="1:33" s="632" customFormat="1" ht="16.5" customHeight="1" outlineLevel="2">
      <c r="A119" s="420"/>
      <c r="B119" s="709"/>
      <c r="C119" s="706" t="s">
        <v>381</v>
      </c>
      <c r="D119" s="42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row>
    <row r="120" spans="1:33" s="632" customFormat="1" ht="16.5" customHeight="1" outlineLevel="2">
      <c r="A120" s="420"/>
      <c r="B120" s="420"/>
      <c r="C120" s="632" t="s">
        <v>140</v>
      </c>
      <c r="D120" s="422" t="str">
        <f>Currency_Label</f>
        <v>USD</v>
      </c>
      <c r="E120" s="418"/>
      <c r="F120" s="418"/>
      <c r="G120" s="418"/>
      <c r="H120" s="418"/>
      <c r="I120" s="418"/>
      <c r="J120" s="720">
        <f t="shared" ref="J120" si="350">I123*J$6</f>
        <v>5000</v>
      </c>
      <c r="K120" s="720">
        <f t="shared" ref="K120" si="351">J123*K$6</f>
        <v>14940.476190476191</v>
      </c>
      <c r="L120" s="720">
        <f t="shared" ref="L120:M120" si="352">K123*L$6</f>
        <v>14761.904761904761</v>
      </c>
      <c r="M120" s="720">
        <f t="shared" si="352"/>
        <v>34583.333333333336</v>
      </c>
      <c r="N120" s="720">
        <f t="shared" ref="N120" si="353">M123*N$6</f>
        <v>34126.984126984127</v>
      </c>
      <c r="O120" s="720">
        <f t="shared" ref="O120" si="354">N123*O$6</f>
        <v>33670.634920634919</v>
      </c>
      <c r="P120" s="720">
        <f t="shared" ref="P120" si="355">O123*P$6</f>
        <v>33214.28571428571</v>
      </c>
      <c r="Q120" s="720">
        <f t="shared" ref="Q120" si="356">P123*Q$6</f>
        <v>67757.936507936509</v>
      </c>
      <c r="R120" s="720">
        <f t="shared" ref="R120" si="357">Q123*R$6</f>
        <v>66845.238095238092</v>
      </c>
      <c r="S120" s="720">
        <f t="shared" ref="S120" si="358">R123*S$6</f>
        <v>65932.539682539675</v>
      </c>
      <c r="T120" s="720">
        <f t="shared" ref="T120" si="359">S123*T$6</f>
        <v>65019.841269841265</v>
      </c>
      <c r="U120" s="720">
        <f t="shared" ref="U120" si="360">T123*U$6</f>
        <v>64107.142857142855</v>
      </c>
      <c r="V120" s="720">
        <f t="shared" ref="V120" si="361">U123*V$6</f>
        <v>63194.444444444445</v>
      </c>
      <c r="W120" s="720">
        <f t="shared" ref="W120" si="362">V123*W$6</f>
        <v>112281.74603174602</v>
      </c>
      <c r="X120" s="720">
        <f t="shared" ref="X120" si="363">W123*X$6</f>
        <v>110674.60317460317</v>
      </c>
      <c r="Y120" s="720">
        <f t="shared" ref="Y120" si="364">X123*Y$6</f>
        <v>109067.46031746031</v>
      </c>
      <c r="Z120" s="720">
        <f t="shared" ref="Z120" si="365">Y123*Z$6</f>
        <v>107460.31746031746</v>
      </c>
      <c r="AA120" s="720">
        <f t="shared" ref="AA120" si="366">Z123*AA$6</f>
        <v>102853.1746031746</v>
      </c>
      <c r="AB120" s="720">
        <f t="shared" ref="AB120" si="367">AA123*AB$6</f>
        <v>101305.55555555555</v>
      </c>
      <c r="AC120" s="720">
        <f t="shared" ref="AC120" si="368">AB123*AC$6</f>
        <v>99757.936507936494</v>
      </c>
      <c r="AD120" s="720">
        <f t="shared" ref="AD120" si="369">AC123*AD$6</f>
        <v>98210.317460317441</v>
      </c>
      <c r="AE120" s="720">
        <f t="shared" ref="AE120" si="370">AD123*AE$6</f>
        <v>96662.698412698388</v>
      </c>
      <c r="AF120" s="720">
        <f t="shared" ref="AF120" si="371">AE123*AF$6</f>
        <v>0</v>
      </c>
      <c r="AG120" s="720">
        <f t="shared" ref="AG120" si="372">AF123*AG$6</f>
        <v>0</v>
      </c>
    </row>
    <row r="121" spans="1:33" s="632" customFormat="1" ht="16.5" customHeight="1" outlineLevel="2">
      <c r="A121" s="420"/>
      <c r="B121" s="420"/>
      <c r="C121" s="421" t="s">
        <v>371</v>
      </c>
      <c r="D121" s="422" t="str">
        <f>Currency_Label</f>
        <v>USD</v>
      </c>
      <c r="E121" s="418"/>
      <c r="F121" s="418"/>
      <c r="G121" s="418"/>
      <c r="H121" s="418"/>
      <c r="I121" s="71">
        <f>SUM(J121:AG121)</f>
        <v>115000</v>
      </c>
      <c r="J121" s="344">
        <f t="shared" ref="J121:AG121" si="373">(J49+J55+J57)+(J75+J81+J83)+(J101+J107+J109)</f>
        <v>10000</v>
      </c>
      <c r="K121" s="344">
        <f t="shared" si="373"/>
        <v>0</v>
      </c>
      <c r="L121" s="344">
        <f t="shared" si="373"/>
        <v>20000</v>
      </c>
      <c r="M121" s="344">
        <f t="shared" si="373"/>
        <v>0</v>
      </c>
      <c r="N121" s="344">
        <f t="shared" si="373"/>
        <v>0</v>
      </c>
      <c r="O121" s="344">
        <f t="shared" si="373"/>
        <v>0</v>
      </c>
      <c r="P121" s="344">
        <f t="shared" si="373"/>
        <v>35000</v>
      </c>
      <c r="Q121" s="344">
        <f t="shared" si="373"/>
        <v>0</v>
      </c>
      <c r="R121" s="344">
        <f t="shared" si="373"/>
        <v>0</v>
      </c>
      <c r="S121" s="344">
        <f t="shared" si="373"/>
        <v>0</v>
      </c>
      <c r="T121" s="344">
        <f t="shared" si="373"/>
        <v>0</v>
      </c>
      <c r="U121" s="344">
        <f t="shared" si="373"/>
        <v>0</v>
      </c>
      <c r="V121" s="344">
        <f t="shared" si="373"/>
        <v>50000</v>
      </c>
      <c r="W121" s="344">
        <f t="shared" si="373"/>
        <v>0</v>
      </c>
      <c r="X121" s="344">
        <f t="shared" si="373"/>
        <v>0</v>
      </c>
      <c r="Y121" s="344">
        <f t="shared" si="373"/>
        <v>0</v>
      </c>
      <c r="Z121" s="344">
        <f t="shared" si="373"/>
        <v>0</v>
      </c>
      <c r="AA121" s="344">
        <f t="shared" si="373"/>
        <v>0</v>
      </c>
      <c r="AB121" s="344">
        <f t="shared" si="373"/>
        <v>0</v>
      </c>
      <c r="AC121" s="344">
        <f t="shared" si="373"/>
        <v>0</v>
      </c>
      <c r="AD121" s="344">
        <f t="shared" si="373"/>
        <v>0</v>
      </c>
      <c r="AE121" s="344">
        <f t="shared" si="373"/>
        <v>0</v>
      </c>
      <c r="AF121" s="344">
        <f t="shared" si="373"/>
        <v>0</v>
      </c>
      <c r="AG121" s="344">
        <f t="shared" si="373"/>
        <v>0</v>
      </c>
    </row>
    <row r="122" spans="1:33" s="632" customFormat="1" ht="16.5" customHeight="1" outlineLevel="2">
      <c r="A122" s="420"/>
      <c r="B122" s="420"/>
      <c r="C122" s="421" t="s">
        <v>386</v>
      </c>
      <c r="D122" s="422" t="str">
        <f>Currency_Label</f>
        <v>USD</v>
      </c>
      <c r="E122" s="418"/>
      <c r="F122" s="418"/>
      <c r="G122" s="418"/>
      <c r="H122" s="418"/>
      <c r="I122" s="71">
        <f>SUM(J122:AG122)</f>
        <v>-24884.920634920629</v>
      </c>
      <c r="J122" s="344">
        <f t="shared" ref="J122:AG122" si="374">-(J52+J62-J63)-(J78+J88-J89)-(J104+J114-J115)</f>
        <v>-59.523809523809518</v>
      </c>
      <c r="K122" s="344">
        <f t="shared" si="374"/>
        <v>-178.57142857142856</v>
      </c>
      <c r="L122" s="344">
        <f t="shared" si="374"/>
        <v>-178.57142857142856</v>
      </c>
      <c r="M122" s="344">
        <f t="shared" si="374"/>
        <v>-456.34920634920633</v>
      </c>
      <c r="N122" s="344">
        <f t="shared" si="374"/>
        <v>-456.34920634920633</v>
      </c>
      <c r="O122" s="344">
        <f t="shared" si="374"/>
        <v>-456.34920634920633</v>
      </c>
      <c r="P122" s="344">
        <f t="shared" si="374"/>
        <v>-456.34920634920633</v>
      </c>
      <c r="Q122" s="344">
        <f t="shared" si="374"/>
        <v>-912.69841269841265</v>
      </c>
      <c r="R122" s="344">
        <f t="shared" si="374"/>
        <v>-912.69841269841265</v>
      </c>
      <c r="S122" s="344">
        <f t="shared" si="374"/>
        <v>-912.69841269841265</v>
      </c>
      <c r="T122" s="344">
        <f t="shared" si="374"/>
        <v>-912.69841269841265</v>
      </c>
      <c r="U122" s="344">
        <f t="shared" si="374"/>
        <v>-912.69841269841265</v>
      </c>
      <c r="V122" s="344">
        <f t="shared" si="374"/>
        <v>-912.69841269841265</v>
      </c>
      <c r="W122" s="344">
        <f t="shared" si="374"/>
        <v>-1607.1428571428571</v>
      </c>
      <c r="X122" s="344">
        <f t="shared" si="374"/>
        <v>-1607.1428571428571</v>
      </c>
      <c r="Y122" s="344">
        <f t="shared" si="374"/>
        <v>-1607.1428571428571</v>
      </c>
      <c r="Z122" s="344">
        <f t="shared" si="374"/>
        <v>-4607.1428571428569</v>
      </c>
      <c r="AA122" s="344">
        <f t="shared" si="374"/>
        <v>-1547.6190476190477</v>
      </c>
      <c r="AB122" s="344">
        <f t="shared" si="374"/>
        <v>-1547.6190476190477</v>
      </c>
      <c r="AC122" s="344">
        <f t="shared" si="374"/>
        <v>-1547.6190476190477</v>
      </c>
      <c r="AD122" s="344">
        <f t="shared" si="374"/>
        <v>-1547.6190476190477</v>
      </c>
      <c r="AE122" s="344">
        <f t="shared" si="374"/>
        <v>-1547.6190476190477</v>
      </c>
      <c r="AF122" s="344">
        <f t="shared" si="374"/>
        <v>0</v>
      </c>
      <c r="AG122" s="344">
        <f t="shared" si="374"/>
        <v>0</v>
      </c>
    </row>
    <row r="123" spans="1:33" s="632" customFormat="1" ht="16.5" customHeight="1" outlineLevel="2" thickBot="1">
      <c r="A123" s="420"/>
      <c r="B123" s="420"/>
      <c r="C123" s="632" t="s">
        <v>141</v>
      </c>
      <c r="D123" s="422" t="str">
        <f>Currency_Label</f>
        <v>USD</v>
      </c>
      <c r="E123" s="418"/>
      <c r="F123" s="430"/>
      <c r="G123" s="430"/>
      <c r="H123" s="420"/>
      <c r="I123" s="144">
        <f>Inputs!F260</f>
        <v>5000</v>
      </c>
      <c r="J123" s="443">
        <f>IF(ABS(SUM(J120:J122))&lt;0.001,0,SUM(J120:J122))</f>
        <v>14940.476190476191</v>
      </c>
      <c r="K123" s="443">
        <f t="shared" ref="K123" si="375">IF(ABS(SUM(K120:K122))&lt;0.001,0,SUM(K120:K122))</f>
        <v>14761.904761904761</v>
      </c>
      <c r="L123" s="443">
        <f t="shared" ref="L123:M123" si="376">IF(ABS(SUM(L120:L122))&lt;0.001,0,SUM(L120:L122))</f>
        <v>34583.333333333336</v>
      </c>
      <c r="M123" s="443">
        <f t="shared" si="376"/>
        <v>34126.984126984127</v>
      </c>
      <c r="N123" s="443">
        <f t="shared" ref="N123" si="377">IF(ABS(SUM(N120:N122))&lt;0.001,0,SUM(N120:N122))</f>
        <v>33670.634920634919</v>
      </c>
      <c r="O123" s="443">
        <f t="shared" ref="O123" si="378">IF(ABS(SUM(O120:O122))&lt;0.001,0,SUM(O120:O122))</f>
        <v>33214.28571428571</v>
      </c>
      <c r="P123" s="443">
        <f t="shared" ref="P123" si="379">IF(ABS(SUM(P120:P122))&lt;0.001,0,SUM(P120:P122))</f>
        <v>67757.936507936509</v>
      </c>
      <c r="Q123" s="443">
        <f t="shared" ref="Q123" si="380">IF(ABS(SUM(Q120:Q122))&lt;0.001,0,SUM(Q120:Q122))</f>
        <v>66845.238095238092</v>
      </c>
      <c r="R123" s="443">
        <f t="shared" ref="R123" si="381">IF(ABS(SUM(R120:R122))&lt;0.001,0,SUM(R120:R122))</f>
        <v>65932.539682539675</v>
      </c>
      <c r="S123" s="443">
        <f t="shared" ref="S123" si="382">IF(ABS(SUM(S120:S122))&lt;0.001,0,SUM(S120:S122))</f>
        <v>65019.841269841265</v>
      </c>
      <c r="T123" s="443">
        <f t="shared" ref="T123" si="383">IF(ABS(SUM(T120:T122))&lt;0.001,0,SUM(T120:T122))</f>
        <v>64107.142857142855</v>
      </c>
      <c r="U123" s="443">
        <f t="shared" ref="U123" si="384">IF(ABS(SUM(U120:U122))&lt;0.001,0,SUM(U120:U122))</f>
        <v>63194.444444444445</v>
      </c>
      <c r="V123" s="443">
        <f t="shared" ref="V123" si="385">IF(ABS(SUM(V120:V122))&lt;0.001,0,SUM(V120:V122))</f>
        <v>112281.74603174602</v>
      </c>
      <c r="W123" s="443">
        <f t="shared" ref="W123" si="386">IF(ABS(SUM(W120:W122))&lt;0.001,0,SUM(W120:W122))</f>
        <v>110674.60317460317</v>
      </c>
      <c r="X123" s="443">
        <f t="shared" ref="X123" si="387">IF(ABS(SUM(X120:X122))&lt;0.001,0,SUM(X120:X122))</f>
        <v>109067.46031746031</v>
      </c>
      <c r="Y123" s="443">
        <f t="shared" ref="Y123" si="388">IF(ABS(SUM(Y120:Y122))&lt;0.001,0,SUM(Y120:Y122))</f>
        <v>107460.31746031746</v>
      </c>
      <c r="Z123" s="443">
        <f t="shared" ref="Z123" si="389">IF(ABS(SUM(Z120:Z122))&lt;0.001,0,SUM(Z120:Z122))</f>
        <v>102853.1746031746</v>
      </c>
      <c r="AA123" s="443">
        <f t="shared" ref="AA123" si="390">IF(ABS(SUM(AA120:AA122))&lt;0.001,0,SUM(AA120:AA122))</f>
        <v>101305.55555555555</v>
      </c>
      <c r="AB123" s="443">
        <f t="shared" ref="AB123" si="391">IF(ABS(SUM(AB120:AB122))&lt;0.001,0,SUM(AB120:AB122))</f>
        <v>99757.936507936494</v>
      </c>
      <c r="AC123" s="443">
        <f t="shared" ref="AC123" si="392">IF(ABS(SUM(AC120:AC122))&lt;0.001,0,SUM(AC120:AC122))</f>
        <v>98210.317460317441</v>
      </c>
      <c r="AD123" s="443">
        <f t="shared" ref="AD123" si="393">IF(ABS(SUM(AD120:AD122))&lt;0.001,0,SUM(AD120:AD122))</f>
        <v>96662.698412698388</v>
      </c>
      <c r="AE123" s="443">
        <f t="shared" ref="AE123" si="394">IF(ABS(SUM(AE120:AE122))&lt;0.001,0,SUM(AE120:AE122))</f>
        <v>95115.079365079335</v>
      </c>
      <c r="AF123" s="443">
        <f t="shared" ref="AF123" si="395">IF(ABS(SUM(AF120:AF122))&lt;0.001,0,SUM(AF120:AF122))</f>
        <v>0</v>
      </c>
      <c r="AG123" s="443">
        <f t="shared" ref="AG123" si="396">IF(ABS(SUM(AG120:AG122))&lt;0.001,0,SUM(AG120:AG122))</f>
        <v>0</v>
      </c>
    </row>
    <row r="124" spans="1:33" s="632" customFormat="1" ht="16.5" customHeight="1" outlineLevel="2" thickTop="1">
      <c r="A124" s="420"/>
      <c r="B124" s="420"/>
      <c r="C124" s="434"/>
      <c r="D124" s="428"/>
      <c r="E124" s="435"/>
      <c r="F124" s="430"/>
      <c r="G124" s="430"/>
      <c r="H124" s="420"/>
      <c r="I124" s="420"/>
      <c r="J124" s="431"/>
      <c r="K124" s="431"/>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row>
    <row r="125" spans="1:33" s="632" customFormat="1" ht="16.5" customHeight="1" outlineLevel="1">
      <c r="A125" s="420"/>
      <c r="B125" s="420"/>
      <c r="C125" s="434"/>
      <c r="D125" s="428"/>
      <c r="E125" s="435"/>
      <c r="F125" s="430"/>
      <c r="G125" s="430"/>
      <c r="H125" s="420"/>
      <c r="I125" s="420"/>
      <c r="J125" s="431"/>
      <c r="K125" s="431"/>
      <c r="L125" s="441"/>
      <c r="M125" s="441"/>
      <c r="N125" s="418"/>
      <c r="O125" s="418"/>
      <c r="P125" s="418"/>
      <c r="Q125" s="418"/>
      <c r="R125" s="418"/>
      <c r="S125" s="418"/>
      <c r="T125" s="418"/>
      <c r="U125" s="418"/>
      <c r="V125" s="418"/>
      <c r="W125" s="418"/>
      <c r="X125" s="418"/>
      <c r="Y125" s="418"/>
      <c r="Z125" s="418"/>
      <c r="AA125" s="418"/>
      <c r="AB125" s="418"/>
      <c r="AC125" s="418"/>
      <c r="AD125" s="418"/>
      <c r="AE125" s="418"/>
      <c r="AF125" s="418"/>
      <c r="AG125" s="418"/>
    </row>
    <row r="126" spans="1:33" s="632" customFormat="1" ht="22.5" customHeight="1">
      <c r="A126" s="274"/>
      <c r="B126" s="274" t="s">
        <v>385</v>
      </c>
      <c r="C126" s="274" t="s">
        <v>318</v>
      </c>
      <c r="D126" s="428"/>
      <c r="E126" s="420"/>
      <c r="F126" s="420"/>
      <c r="G126" s="420"/>
      <c r="H126" s="420"/>
      <c r="I126" s="420"/>
      <c r="J126" s="420"/>
      <c r="K126" s="431"/>
      <c r="L126" s="418"/>
      <c r="M126" s="418"/>
      <c r="N126" s="418"/>
      <c r="O126" s="418"/>
      <c r="P126" s="418"/>
      <c r="Q126" s="418"/>
      <c r="R126" s="418"/>
      <c r="S126" s="418"/>
      <c r="T126" s="418"/>
      <c r="U126" s="418"/>
      <c r="V126" s="418"/>
      <c r="W126" s="418"/>
      <c r="X126" s="418"/>
      <c r="Y126" s="418"/>
      <c r="Z126" s="418"/>
      <c r="AA126" s="418"/>
      <c r="AB126" s="418"/>
      <c r="AC126" s="418"/>
      <c r="AD126" s="418"/>
      <c r="AE126" s="418"/>
      <c r="AF126" s="418"/>
      <c r="AG126" s="418"/>
    </row>
    <row r="127" spans="1:33" s="632" customFormat="1" ht="16.5" customHeight="1" outlineLevel="1">
      <c r="A127" s="420"/>
      <c r="B127" s="709" t="s">
        <v>40</v>
      </c>
      <c r="C127" s="706" t="str">
        <f>"Purchases: "&amp;C126</f>
        <v>Purchases: Financial Assets</v>
      </c>
      <c r="D127" s="710"/>
      <c r="E127" s="513" t="s">
        <v>374</v>
      </c>
      <c r="F127" s="1022">
        <v>1</v>
      </c>
      <c r="G127" s="625" t="s">
        <v>293</v>
      </c>
      <c r="H127" s="84">
        <f>VLOOKUP(G127,Inputs!$C$211:$F$214,4,FALSE)</f>
        <v>0</v>
      </c>
      <c r="I127" s="435"/>
      <c r="J127" s="708"/>
      <c r="K127" s="708"/>
      <c r="L127" s="708"/>
      <c r="M127" s="708"/>
      <c r="N127" s="708"/>
      <c r="O127" s="708"/>
      <c r="P127" s="708"/>
      <c r="Q127" s="708"/>
      <c r="R127" s="708"/>
      <c r="S127" s="708"/>
      <c r="T127" s="708"/>
      <c r="U127" s="708"/>
      <c r="V127" s="708"/>
      <c r="W127" s="708"/>
      <c r="X127" s="708"/>
      <c r="Y127" s="708"/>
      <c r="Z127" s="708"/>
      <c r="AA127" s="708"/>
      <c r="AB127" s="708"/>
      <c r="AC127" s="708"/>
      <c r="AD127" s="708"/>
      <c r="AE127" s="708"/>
      <c r="AF127" s="708"/>
      <c r="AG127" s="708"/>
    </row>
    <row r="128" spans="1:33" s="632" customFormat="1" ht="16.5" customHeight="1" outlineLevel="1">
      <c r="A128" s="420"/>
      <c r="B128" s="420"/>
      <c r="C128" s="625" t="s">
        <v>356</v>
      </c>
      <c r="D128" s="422" t="str">
        <f t="shared" ref="D128:D133" si="397">Currency_Label</f>
        <v>USD</v>
      </c>
      <c r="E128" s="664"/>
      <c r="F128" s="664"/>
      <c r="G128" s="664"/>
      <c r="H128" s="664"/>
      <c r="I128" s="71">
        <f t="shared" ref="I128:I133" si="398">SUMPRODUCT((J$6:AG$6),(J128:AG128))</f>
        <v>19500</v>
      </c>
      <c r="J128" s="263"/>
      <c r="K128" s="263"/>
      <c r="L128" s="263">
        <v>7500</v>
      </c>
      <c r="M128" s="263"/>
      <c r="N128" s="263"/>
      <c r="O128" s="263"/>
      <c r="P128" s="263"/>
      <c r="Q128" s="263"/>
      <c r="R128" s="263"/>
      <c r="S128" s="263"/>
      <c r="T128" s="263"/>
      <c r="U128" s="263"/>
      <c r="V128" s="263"/>
      <c r="W128" s="263"/>
      <c r="X128" s="263"/>
      <c r="Y128" s="263">
        <v>12000</v>
      </c>
      <c r="Z128" s="263"/>
      <c r="AA128" s="263"/>
      <c r="AB128" s="263"/>
      <c r="AC128" s="263"/>
      <c r="AD128" s="263"/>
      <c r="AE128" s="263"/>
      <c r="AF128" s="263"/>
      <c r="AG128" s="263"/>
    </row>
    <row r="129" spans="1:33" s="632" customFormat="1" ht="16.5" customHeight="1" outlineLevel="1">
      <c r="A129" s="420"/>
      <c r="B129" s="420"/>
      <c r="C129" s="625" t="s">
        <v>357</v>
      </c>
      <c r="D129" s="422" t="str">
        <f t="shared" si="397"/>
        <v>USD</v>
      </c>
      <c r="E129" s="664"/>
      <c r="F129" s="664"/>
      <c r="G129" s="664"/>
      <c r="H129" s="664"/>
      <c r="I129" s="71">
        <f t="shared" si="398"/>
        <v>0</v>
      </c>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row>
    <row r="130" spans="1:33" s="632" customFormat="1" ht="16.5" customHeight="1" outlineLevel="1">
      <c r="A130" s="420"/>
      <c r="B130" s="420"/>
      <c r="C130" s="625" t="s">
        <v>358</v>
      </c>
      <c r="D130" s="422" t="str">
        <f t="shared" si="397"/>
        <v>USD</v>
      </c>
      <c r="E130" s="664"/>
      <c r="F130" s="664"/>
      <c r="G130" s="664"/>
      <c r="H130" s="664"/>
      <c r="I130" s="71">
        <f t="shared" si="398"/>
        <v>0</v>
      </c>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row>
    <row r="131" spans="1:33" s="632" customFormat="1" ht="16.5" customHeight="1" outlineLevel="1">
      <c r="A131" s="420"/>
      <c r="B131" s="420"/>
      <c r="C131" s="625" t="s">
        <v>359</v>
      </c>
      <c r="D131" s="422" t="str">
        <f t="shared" si="397"/>
        <v>USD</v>
      </c>
      <c r="E131" s="664"/>
      <c r="F131" s="664"/>
      <c r="G131" s="664"/>
      <c r="H131" s="664"/>
      <c r="I131" s="71">
        <f t="shared" si="398"/>
        <v>0</v>
      </c>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c r="AF131" s="263"/>
      <c r="AG131" s="263"/>
    </row>
    <row r="132" spans="1:33" s="632" customFormat="1" ht="16.5" customHeight="1" outlineLevel="1">
      <c r="A132" s="420"/>
      <c r="B132" s="420"/>
      <c r="C132" s="625" t="s">
        <v>360</v>
      </c>
      <c r="D132" s="422" t="str">
        <f t="shared" si="397"/>
        <v>USD</v>
      </c>
      <c r="E132" s="664"/>
      <c r="F132" s="664"/>
      <c r="G132" s="664"/>
      <c r="H132" s="664"/>
      <c r="I132" s="71">
        <f t="shared" si="398"/>
        <v>0</v>
      </c>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c r="AF132" s="263"/>
      <c r="AG132" s="263"/>
    </row>
    <row r="133" spans="1:33" s="632" customFormat="1" ht="16.5" customHeight="1" outlineLevel="1">
      <c r="A133" s="420"/>
      <c r="B133" s="420"/>
      <c r="C133" s="421" t="s">
        <v>361</v>
      </c>
      <c r="D133" s="422" t="str">
        <f t="shared" si="397"/>
        <v>USD</v>
      </c>
      <c r="E133" s="664"/>
      <c r="F133" s="664"/>
      <c r="G133" s="664"/>
      <c r="H133" s="664"/>
      <c r="I133" s="71">
        <f t="shared" si="398"/>
        <v>19500</v>
      </c>
      <c r="J133" s="715">
        <f>SUM(J128:J132)*J$6</f>
        <v>0</v>
      </c>
      <c r="K133" s="715">
        <f>SUM(K128:K132)*K$6</f>
        <v>0</v>
      </c>
      <c r="L133" s="715">
        <f t="shared" ref="L133:AG133" si="399">SUM(L128:L132)*L$6</f>
        <v>7500</v>
      </c>
      <c r="M133" s="715">
        <f t="shared" si="399"/>
        <v>0</v>
      </c>
      <c r="N133" s="715">
        <f t="shared" si="399"/>
        <v>0</v>
      </c>
      <c r="O133" s="715">
        <f t="shared" si="399"/>
        <v>0</v>
      </c>
      <c r="P133" s="715">
        <f t="shared" si="399"/>
        <v>0</v>
      </c>
      <c r="Q133" s="715">
        <f t="shared" si="399"/>
        <v>0</v>
      </c>
      <c r="R133" s="715">
        <f t="shared" si="399"/>
        <v>0</v>
      </c>
      <c r="S133" s="715">
        <f t="shared" si="399"/>
        <v>0</v>
      </c>
      <c r="T133" s="715">
        <f t="shared" si="399"/>
        <v>0</v>
      </c>
      <c r="U133" s="715">
        <f t="shared" si="399"/>
        <v>0</v>
      </c>
      <c r="V133" s="715">
        <f t="shared" si="399"/>
        <v>0</v>
      </c>
      <c r="W133" s="715">
        <f t="shared" si="399"/>
        <v>0</v>
      </c>
      <c r="X133" s="715">
        <f t="shared" si="399"/>
        <v>0</v>
      </c>
      <c r="Y133" s="715">
        <f t="shared" si="399"/>
        <v>12000</v>
      </c>
      <c r="Z133" s="715">
        <f t="shared" si="399"/>
        <v>0</v>
      </c>
      <c r="AA133" s="715">
        <f t="shared" si="399"/>
        <v>0</v>
      </c>
      <c r="AB133" s="715">
        <f t="shared" si="399"/>
        <v>0</v>
      </c>
      <c r="AC133" s="715">
        <f t="shared" si="399"/>
        <v>0</v>
      </c>
      <c r="AD133" s="715">
        <f t="shared" si="399"/>
        <v>0</v>
      </c>
      <c r="AE133" s="715">
        <f t="shared" si="399"/>
        <v>0</v>
      </c>
      <c r="AF133" s="715">
        <f t="shared" si="399"/>
        <v>0</v>
      </c>
      <c r="AG133" s="715">
        <f t="shared" si="399"/>
        <v>0</v>
      </c>
    </row>
    <row r="134" spans="1:33" s="632" customFormat="1" ht="16.5" customHeight="1" outlineLevel="2">
      <c r="A134" s="420"/>
      <c r="B134" s="709" t="s">
        <v>42</v>
      </c>
      <c r="C134" s="706" t="str">
        <f>"Depreciation: "&amp;C126</f>
        <v>Depreciation: Financial Assets</v>
      </c>
      <c r="D134" s="664"/>
      <c r="E134" s="664"/>
      <c r="F134" s="664"/>
      <c r="G134" s="664"/>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431"/>
      <c r="AF134" s="431"/>
      <c r="AG134" s="431"/>
    </row>
    <row r="135" spans="1:33" s="632" customFormat="1" ht="16.5" customHeight="1" outlineLevel="2">
      <c r="A135" s="420"/>
      <c r="B135" s="420"/>
      <c r="C135" s="421" t="s">
        <v>362</v>
      </c>
      <c r="D135" s="422" t="str">
        <f>Currency_Label</f>
        <v>USD</v>
      </c>
      <c r="E135" s="664"/>
      <c r="F135" s="671" t="s">
        <v>363</v>
      </c>
      <c r="G135" s="671" t="s">
        <v>30</v>
      </c>
      <c r="H135" s="513"/>
      <c r="I135" s="144">
        <f>Inputs!F264</f>
        <v>0</v>
      </c>
      <c r="J135" s="344">
        <f t="shared" ref="J135:K135" si="400">(I135+J133+J139+J141-J146)*J$6</f>
        <v>0</v>
      </c>
      <c r="K135" s="344">
        <f t="shared" si="400"/>
        <v>0</v>
      </c>
      <c r="L135" s="344">
        <f t="shared" ref="L135:AG135" si="401">(K135+L133+L139+L141-L146)*L$6</f>
        <v>7500</v>
      </c>
      <c r="M135" s="344">
        <f t="shared" si="401"/>
        <v>7500</v>
      </c>
      <c r="N135" s="344">
        <f t="shared" si="401"/>
        <v>7500</v>
      </c>
      <c r="O135" s="344">
        <f t="shared" si="401"/>
        <v>7500</v>
      </c>
      <c r="P135" s="344">
        <f t="shared" si="401"/>
        <v>7500</v>
      </c>
      <c r="Q135" s="344">
        <f t="shared" si="401"/>
        <v>7500</v>
      </c>
      <c r="R135" s="344">
        <f t="shared" si="401"/>
        <v>7500</v>
      </c>
      <c r="S135" s="344">
        <f t="shared" si="401"/>
        <v>7500</v>
      </c>
      <c r="T135" s="344">
        <f t="shared" si="401"/>
        <v>7500</v>
      </c>
      <c r="U135" s="344">
        <f t="shared" si="401"/>
        <v>7500</v>
      </c>
      <c r="V135" s="344">
        <f t="shared" si="401"/>
        <v>7500</v>
      </c>
      <c r="W135" s="344">
        <f t="shared" si="401"/>
        <v>7500</v>
      </c>
      <c r="X135" s="344">
        <f t="shared" si="401"/>
        <v>7500</v>
      </c>
      <c r="Y135" s="344">
        <f t="shared" si="401"/>
        <v>19500</v>
      </c>
      <c r="Z135" s="344">
        <f t="shared" si="401"/>
        <v>19500</v>
      </c>
      <c r="AA135" s="344">
        <f t="shared" si="401"/>
        <v>19500</v>
      </c>
      <c r="AB135" s="344">
        <f t="shared" si="401"/>
        <v>19500</v>
      </c>
      <c r="AC135" s="344">
        <f t="shared" si="401"/>
        <v>19500</v>
      </c>
      <c r="AD135" s="344">
        <f t="shared" si="401"/>
        <v>19500</v>
      </c>
      <c r="AE135" s="344">
        <f t="shared" si="401"/>
        <v>19500</v>
      </c>
      <c r="AF135" s="344">
        <f t="shared" si="401"/>
        <v>0</v>
      </c>
      <c r="AG135" s="344">
        <f t="shared" si="401"/>
        <v>0</v>
      </c>
    </row>
    <row r="136" spans="1:33" s="632" customFormat="1" ht="16.5" customHeight="1" outlineLevel="2">
      <c r="A136" s="420"/>
      <c r="B136" s="420"/>
      <c r="C136" s="421" t="s">
        <v>376</v>
      </c>
      <c r="D136" s="422" t="str">
        <f>Currency_Label</f>
        <v>USD</v>
      </c>
      <c r="E136" s="664"/>
      <c r="F136" s="718">
        <v>0</v>
      </c>
      <c r="G136" s="719">
        <f>IF(F136=0,0,1/F136)</f>
        <v>0</v>
      </c>
      <c r="H136" s="668">
        <f>IF(ABS(MIN($J136:$AG136))&gt;0.01,1,0)</f>
        <v>0</v>
      </c>
      <c r="I136" s="71">
        <f>SUM(J136:AG136)</f>
        <v>0</v>
      </c>
      <c r="J136" s="716">
        <f t="shared" ref="J136:K136" si="402">IF(I135-I137&lt;IF($F137=1,$G136*I135,(I135-I137)*2*$G136),I135-I137,IF($F137=1,$G136*I135,(I135-I137)*2*$G136))*J$6</f>
        <v>0</v>
      </c>
      <c r="K136" s="716">
        <f t="shared" si="402"/>
        <v>0</v>
      </c>
      <c r="L136" s="716">
        <f t="shared" ref="L136" si="403">IF(K135-K137&lt;IF($F137=1,$G136*K135,(K135-K137)*2*$G136),K135-K137,IF($F137=1,$G136*K135,(K135-K137)*2*$G136))*L$6</f>
        <v>0</v>
      </c>
      <c r="M136" s="716">
        <f t="shared" ref="M136" si="404">IF(L135-L137&lt;IF($F137=1,$G136*L135,(L135-L137)*2*$G136),L135-L137,IF($F137=1,$G136*L135,(L135-L137)*2*$G136))*M$6</f>
        <v>0</v>
      </c>
      <c r="N136" s="716">
        <f t="shared" ref="N136" si="405">IF(M135-M137&lt;IF($F137=1,$G136*M135,(M135-M137)*2*$G136),M135-M137,IF($F137=1,$G136*M135,(M135-M137)*2*$G136))*N$6</f>
        <v>0</v>
      </c>
      <c r="O136" s="716">
        <f t="shared" ref="O136" si="406">IF(N135-N137&lt;IF($F137=1,$G136*N135,(N135-N137)*2*$G136),N135-N137,IF($F137=1,$G136*N135,(N135-N137)*2*$G136))*O$6</f>
        <v>0</v>
      </c>
      <c r="P136" s="716">
        <f t="shared" ref="P136" si="407">IF(O135-O137&lt;IF($F137=1,$G136*O135,(O135-O137)*2*$G136),O135-O137,IF($F137=1,$G136*O135,(O135-O137)*2*$G136))*P$6</f>
        <v>0</v>
      </c>
      <c r="Q136" s="716">
        <f t="shared" ref="Q136" si="408">IF(P135-P137&lt;IF($F137=1,$G136*P135,(P135-P137)*2*$G136),P135-P137,IF($F137=1,$G136*P135,(P135-P137)*2*$G136))*Q$6</f>
        <v>0</v>
      </c>
      <c r="R136" s="716">
        <f t="shared" ref="R136" si="409">IF(Q135-Q137&lt;IF($F137=1,$G136*Q135,(Q135-Q137)*2*$G136),Q135-Q137,IF($F137=1,$G136*Q135,(Q135-Q137)*2*$G136))*R$6</f>
        <v>0</v>
      </c>
      <c r="S136" s="716">
        <f t="shared" ref="S136" si="410">IF(R135-R137&lt;IF($F137=1,$G136*R135,(R135-R137)*2*$G136),R135-R137,IF($F137=1,$G136*R135,(R135-R137)*2*$G136))*S$6</f>
        <v>0</v>
      </c>
      <c r="T136" s="716">
        <f t="shared" ref="T136" si="411">IF(S135-S137&lt;IF($F137=1,$G136*S135,(S135-S137)*2*$G136),S135-S137,IF($F137=1,$G136*S135,(S135-S137)*2*$G136))*T$6</f>
        <v>0</v>
      </c>
      <c r="U136" s="716">
        <f t="shared" ref="U136" si="412">IF(T135-T137&lt;IF($F137=1,$G136*T135,(T135-T137)*2*$G136),T135-T137,IF($F137=1,$G136*T135,(T135-T137)*2*$G136))*U$6</f>
        <v>0</v>
      </c>
      <c r="V136" s="716">
        <f t="shared" ref="V136" si="413">IF(U135-U137&lt;IF($F137=1,$G136*U135,(U135-U137)*2*$G136),U135-U137,IF($F137=1,$G136*U135,(U135-U137)*2*$G136))*V$6</f>
        <v>0</v>
      </c>
      <c r="W136" s="716">
        <f t="shared" ref="W136" si="414">IF(V135-V137&lt;IF($F137=1,$G136*V135,(V135-V137)*2*$G136),V135-V137,IF($F137=1,$G136*V135,(V135-V137)*2*$G136))*W$6</f>
        <v>0</v>
      </c>
      <c r="X136" s="716">
        <f t="shared" ref="X136" si="415">IF(W135-W137&lt;IF($F137=1,$G136*W135,(W135-W137)*2*$G136),W135-W137,IF($F137=1,$G136*W135,(W135-W137)*2*$G136))*X$6</f>
        <v>0</v>
      </c>
      <c r="Y136" s="716">
        <f t="shared" ref="Y136" si="416">IF(X135-X137&lt;IF($F137=1,$G136*X135,(X135-X137)*2*$G136),X135-X137,IF($F137=1,$G136*X135,(X135-X137)*2*$G136))*Y$6</f>
        <v>0</v>
      </c>
      <c r="Z136" s="716">
        <f t="shared" ref="Z136" si="417">IF(Y135-Y137&lt;IF($F137=1,$G136*Y135,(Y135-Y137)*2*$G136),Y135-Y137,IF($F137=1,$G136*Y135,(Y135-Y137)*2*$G136))*Z$6</f>
        <v>0</v>
      </c>
      <c r="AA136" s="716">
        <f t="shared" ref="AA136" si="418">IF(Z135-Z137&lt;IF($F137=1,$G136*Z135,(Z135-Z137)*2*$G136),Z135-Z137,IF($F137=1,$G136*Z135,(Z135-Z137)*2*$G136))*AA$6</f>
        <v>0</v>
      </c>
      <c r="AB136" s="716">
        <f t="shared" ref="AB136" si="419">IF(AA135-AA137&lt;IF($F137=1,$G136*AA135,(AA135-AA137)*2*$G136),AA135-AA137,IF($F137=1,$G136*AA135,(AA135-AA137)*2*$G136))*AB$6</f>
        <v>0</v>
      </c>
      <c r="AC136" s="716">
        <f t="shared" ref="AC136" si="420">IF(AB135-AB137&lt;IF($F137=1,$G136*AB135,(AB135-AB137)*2*$G136),AB135-AB137,IF($F137=1,$G136*AB135,(AB135-AB137)*2*$G136))*AC$6</f>
        <v>0</v>
      </c>
      <c r="AD136" s="716">
        <f t="shared" ref="AD136" si="421">IF(AC135-AC137&lt;IF($F137=1,$G136*AC135,(AC135-AC137)*2*$G136),AC135-AC137,IF($F137=1,$G136*AC135,(AC135-AC137)*2*$G136))*AD$6</f>
        <v>0</v>
      </c>
      <c r="AE136" s="716">
        <f t="shared" ref="AE136" si="422">IF(AD135-AD137&lt;IF($F137=1,$G136*AD135,(AD135-AD137)*2*$G136),AD135-AD137,IF($F137=1,$G136*AD135,(AD135-AD137)*2*$G136))*AE$6</f>
        <v>0</v>
      </c>
      <c r="AF136" s="716">
        <f t="shared" ref="AF136" si="423">IF(AE135-AE137&lt;IF($F137=1,$G136*AE135,(AE135-AE137)*2*$G136),AE135-AE137,IF($F137=1,$G136*AE135,(AE135-AE137)*2*$G136))*AF$6</f>
        <v>0</v>
      </c>
      <c r="AG136" s="716">
        <f t="shared" ref="AG136" si="424">IF(AF135-AF137&lt;IF($F137=1,$G136*AF135,(AF135-AF137)*2*$G136),AF135-AF137,IF($F137=1,$G136*AF135,(AF135-AF137)*2*$G136))*AG$6</f>
        <v>0</v>
      </c>
    </row>
    <row r="137" spans="1:33" s="632" customFormat="1" ht="16.5" customHeight="1" outlineLevel="2">
      <c r="A137" s="420"/>
      <c r="B137" s="420"/>
      <c r="C137" s="421" t="s">
        <v>377</v>
      </c>
      <c r="D137" s="422" t="str">
        <f>Currency_Label</f>
        <v>USD</v>
      </c>
      <c r="E137" s="269" t="s">
        <v>364</v>
      </c>
      <c r="F137" s="899">
        <v>1</v>
      </c>
      <c r="G137" s="712" t="str">
        <f>IF(F137=1," straight-line"," double declining balance")</f>
        <v xml:space="preserve"> straight-line</v>
      </c>
      <c r="H137" s="513"/>
      <c r="I137" s="714"/>
      <c r="J137" s="717">
        <f t="shared" ref="J137:K137" si="425">(I137+J136-J147)*J$6</f>
        <v>0</v>
      </c>
      <c r="K137" s="717">
        <f t="shared" si="425"/>
        <v>0</v>
      </c>
      <c r="L137" s="717">
        <f t="shared" ref="L137" si="426">(K137+L136-L147)*L$6</f>
        <v>0</v>
      </c>
      <c r="M137" s="717">
        <f t="shared" ref="M137" si="427">(L137+M136-M147)*M$6</f>
        <v>0</v>
      </c>
      <c r="N137" s="717">
        <f t="shared" ref="N137" si="428">(M137+N136-N147)*N$6</f>
        <v>0</v>
      </c>
      <c r="O137" s="717">
        <f t="shared" ref="O137" si="429">(N137+O136-O147)*O$6</f>
        <v>0</v>
      </c>
      <c r="P137" s="717">
        <f t="shared" ref="P137" si="430">(O137+P136-P147)*P$6</f>
        <v>0</v>
      </c>
      <c r="Q137" s="717">
        <f t="shared" ref="Q137" si="431">(P137+Q136-Q147)*Q$6</f>
        <v>0</v>
      </c>
      <c r="R137" s="717">
        <f t="shared" ref="R137" si="432">(Q137+R136-R147)*R$6</f>
        <v>0</v>
      </c>
      <c r="S137" s="717">
        <f t="shared" ref="S137" si="433">(R137+S136-S147)*S$6</f>
        <v>0</v>
      </c>
      <c r="T137" s="717">
        <f t="shared" ref="T137" si="434">(S137+T136-T147)*T$6</f>
        <v>0</v>
      </c>
      <c r="U137" s="717">
        <f t="shared" ref="U137" si="435">(T137+U136-U147)*U$6</f>
        <v>0</v>
      </c>
      <c r="V137" s="717">
        <f t="shared" ref="V137" si="436">(U137+V136-V147)*V$6</f>
        <v>0</v>
      </c>
      <c r="W137" s="717">
        <f t="shared" ref="W137" si="437">(V137+W136-W147)*W$6</f>
        <v>0</v>
      </c>
      <c r="X137" s="717">
        <f t="shared" ref="X137" si="438">(W137+X136-X147)*X$6</f>
        <v>0</v>
      </c>
      <c r="Y137" s="717">
        <f t="shared" ref="Y137" si="439">(X137+Y136-Y147)*Y$6</f>
        <v>0</v>
      </c>
      <c r="Z137" s="717">
        <f t="shared" ref="Z137" si="440">(Y137+Z136-Z147)*Z$6</f>
        <v>0</v>
      </c>
      <c r="AA137" s="717">
        <f t="shared" ref="AA137" si="441">(Z137+AA136-AA147)*AA$6</f>
        <v>0</v>
      </c>
      <c r="AB137" s="717">
        <f t="shared" ref="AB137" si="442">(AA137+AB136-AB147)*AB$6</f>
        <v>0</v>
      </c>
      <c r="AC137" s="717">
        <f t="shared" ref="AC137" si="443">(AB137+AC136-AC147)*AC$6</f>
        <v>0</v>
      </c>
      <c r="AD137" s="717">
        <f t="shared" ref="AD137" si="444">(AC137+AD136-AD147)*AD$6</f>
        <v>0</v>
      </c>
      <c r="AE137" s="717">
        <f t="shared" ref="AE137" si="445">(AD137+AE136-AE147)*AE$6</f>
        <v>0</v>
      </c>
      <c r="AF137" s="717">
        <f t="shared" ref="AF137" si="446">(AE137+AF136-AF147)*AF$6</f>
        <v>0</v>
      </c>
      <c r="AG137" s="717">
        <f t="shared" ref="AG137" si="447">(AF137+AG136-AG147)*AG$6</f>
        <v>0</v>
      </c>
    </row>
    <row r="138" spans="1:33" s="632" customFormat="1" ht="16.5" customHeight="1" outlineLevel="2">
      <c r="A138" s="420"/>
      <c r="B138" s="709" t="s">
        <v>43</v>
      </c>
      <c r="C138" s="706" t="str">
        <f>"Company produced additions: "&amp;C126</f>
        <v>Company produced additions: Financial Assets</v>
      </c>
      <c r="D138" s="435"/>
      <c r="E138" s="435"/>
      <c r="F138" s="435"/>
      <c r="G138" s="435"/>
      <c r="H138" s="435"/>
      <c r="I138" s="435"/>
      <c r="J138" s="431"/>
      <c r="K138" s="431"/>
      <c r="L138" s="431"/>
      <c r="M138" s="431"/>
      <c r="N138" s="431"/>
      <c r="O138" s="431"/>
      <c r="P138" s="431"/>
      <c r="Q138" s="431"/>
      <c r="R138" s="431"/>
      <c r="S138" s="431"/>
      <c r="T138" s="431"/>
      <c r="U138" s="431"/>
      <c r="V138" s="431"/>
      <c r="W138" s="431"/>
      <c r="X138" s="431"/>
      <c r="Y138" s="431"/>
      <c r="Z138" s="431"/>
      <c r="AA138" s="431"/>
      <c r="AB138" s="431"/>
      <c r="AC138" s="431"/>
      <c r="AD138" s="431"/>
      <c r="AE138" s="431"/>
      <c r="AF138" s="431"/>
      <c r="AG138" s="431"/>
    </row>
    <row r="139" spans="1:33" s="632" customFormat="1" ht="16.5" customHeight="1" outlineLevel="2">
      <c r="A139" s="420"/>
      <c r="B139" s="420"/>
      <c r="C139" s="421" t="str">
        <f>CHOOSE(language,"2. Capitalised assets","2. Capitalized assets")</f>
        <v>2. Capitalized assets</v>
      </c>
      <c r="D139" s="711"/>
      <c r="E139" s="435"/>
      <c r="F139" s="435"/>
      <c r="G139" s="436"/>
      <c r="H139" s="435"/>
      <c r="I139" s="71">
        <f>SUMPRODUCT((J$6:AG$6),(J139:AG139))</f>
        <v>0</v>
      </c>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row>
    <row r="140" spans="1:33" s="632" customFormat="1" ht="16.5" customHeight="1" outlineLevel="2">
      <c r="A140" s="420"/>
      <c r="B140" s="709" t="s">
        <v>352</v>
      </c>
      <c r="C140" s="706" t="str">
        <f>"Finance Lease: "&amp;C126</f>
        <v>Finance Lease: Financial Assets</v>
      </c>
      <c r="D140" s="428"/>
      <c r="E140" s="435"/>
      <c r="F140" s="435"/>
      <c r="G140" s="436"/>
      <c r="H140" s="435"/>
      <c r="I140" s="435"/>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431"/>
      <c r="AF140" s="431"/>
      <c r="AG140" s="431"/>
    </row>
    <row r="141" spans="1:33" s="632" customFormat="1" ht="16.5" customHeight="1" outlineLevel="2">
      <c r="A141" s="420"/>
      <c r="B141" s="420"/>
      <c r="C141" s="421" t="s">
        <v>365</v>
      </c>
      <c r="D141" s="422" t="str">
        <f>Currency_Label</f>
        <v>USD</v>
      </c>
      <c r="E141" s="435"/>
      <c r="F141" s="664"/>
      <c r="G141" s="664"/>
      <c r="H141" s="435"/>
      <c r="I141" s="71">
        <f>SUMPRODUCT((J$6:AG$6),(J141:AG141))</f>
        <v>0</v>
      </c>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c r="AF141" s="263"/>
      <c r="AG141" s="263"/>
    </row>
    <row r="142" spans="1:33" s="632" customFormat="1" ht="16.5" customHeight="1" outlineLevel="2">
      <c r="A142" s="420"/>
      <c r="B142" s="420"/>
      <c r="C142" s="421" t="s">
        <v>366</v>
      </c>
      <c r="D142" s="422" t="str">
        <f>Currency_Label</f>
        <v>USD</v>
      </c>
      <c r="E142" s="435"/>
      <c r="F142" s="435"/>
      <c r="G142" s="436"/>
      <c r="H142" s="435"/>
      <c r="I142" s="71">
        <f>SUMPRODUCT((J$6:AG$6),(J142:AG142))</f>
        <v>0</v>
      </c>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row>
    <row r="143" spans="1:33" s="632" customFormat="1" ht="16.5" customHeight="1" outlineLevel="2">
      <c r="A143" s="420"/>
      <c r="B143" s="420"/>
      <c r="C143" s="421" t="s">
        <v>367</v>
      </c>
      <c r="D143" s="422" t="str">
        <f>Currency_Label</f>
        <v>USD</v>
      </c>
      <c r="E143" s="435"/>
      <c r="F143" s="435"/>
      <c r="G143" s="436"/>
      <c r="H143" s="435"/>
      <c r="I143" s="71">
        <f>SUMPRODUCT((J$6:AG$6),(J143:AG143))</f>
        <v>0</v>
      </c>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c r="AF143" s="263"/>
      <c r="AG143" s="263"/>
    </row>
    <row r="144" spans="1:33" s="632" customFormat="1" ht="16.5" customHeight="1" outlineLevel="2">
      <c r="A144" s="420"/>
      <c r="B144" s="709" t="s">
        <v>353</v>
      </c>
      <c r="C144" s="706" t="str">
        <f>CHOOSE(language,"Sale of "&amp;C126,"Disposal of "&amp;C126)</f>
        <v>Disposal of Financial Assets</v>
      </c>
      <c r="D144" s="428"/>
      <c r="E144" s="435"/>
      <c r="F144" s="435"/>
      <c r="G144" s="436"/>
      <c r="H144" s="435"/>
      <c r="I144" s="435"/>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431"/>
      <c r="AF144" s="431"/>
      <c r="AG144" s="431"/>
    </row>
    <row r="145" spans="1:33" s="632" customFormat="1" ht="16.5" customHeight="1" outlineLevel="2">
      <c r="A145" s="420"/>
      <c r="B145" s="420"/>
      <c r="C145" s="421" t="s">
        <v>368</v>
      </c>
      <c r="D145" s="422" t="str">
        <f>Currency_Label</f>
        <v>USD</v>
      </c>
      <c r="E145" s="435"/>
      <c r="F145" s="435"/>
      <c r="G145" s="436"/>
      <c r="H145" s="713"/>
      <c r="I145" s="71">
        <f>SUMPRODUCT((J$6:AG$6),(J145:AG145))</f>
        <v>0</v>
      </c>
      <c r="J145" s="263"/>
      <c r="K145" s="263"/>
      <c r="L145" s="263"/>
      <c r="M145" s="263"/>
      <c r="N145" s="263"/>
      <c r="O145" s="263"/>
      <c r="P145" s="263"/>
      <c r="Q145" s="263"/>
      <c r="R145" s="263"/>
      <c r="S145" s="263"/>
      <c r="T145" s="263"/>
      <c r="U145" s="263"/>
      <c r="V145" s="263"/>
      <c r="W145" s="263"/>
      <c r="X145" s="263"/>
      <c r="Y145" s="263"/>
      <c r="Z145" s="263"/>
      <c r="AA145" s="263"/>
      <c r="AB145" s="263"/>
      <c r="AC145" s="263"/>
      <c r="AD145" s="263"/>
      <c r="AE145" s="263"/>
      <c r="AF145" s="263"/>
      <c r="AG145" s="263"/>
    </row>
    <row r="146" spans="1:33" s="632" customFormat="1" ht="16.5" customHeight="1" outlineLevel="2">
      <c r="A146" s="420"/>
      <c r="B146" s="420"/>
      <c r="C146" s="421" t="s">
        <v>369</v>
      </c>
      <c r="D146" s="422" t="str">
        <f>Currency_Label</f>
        <v>USD</v>
      </c>
      <c r="E146" s="273" t="str">
        <f>IF(H136=0,"","Error: Please check inputs for sale of assets")</f>
        <v/>
      </c>
      <c r="F146" s="435"/>
      <c r="G146" s="436"/>
      <c r="H146" s="713"/>
      <c r="I146" s="71">
        <f>SUMPRODUCT((J$6:AG$6),(J146:AG146))</f>
        <v>0</v>
      </c>
      <c r="J146" s="263"/>
      <c r="K146" s="263"/>
      <c r="L146" s="263"/>
      <c r="M146" s="263"/>
      <c r="N146" s="263"/>
      <c r="O146" s="263"/>
      <c r="P146" s="263"/>
      <c r="Q146" s="263"/>
      <c r="R146" s="263"/>
      <c r="S146" s="263"/>
      <c r="T146" s="263"/>
      <c r="U146" s="263"/>
      <c r="V146" s="263"/>
      <c r="W146" s="263"/>
      <c r="X146" s="263"/>
      <c r="Y146" s="263"/>
      <c r="Z146" s="263"/>
      <c r="AA146" s="263"/>
      <c r="AB146" s="263"/>
      <c r="AC146" s="263"/>
      <c r="AD146" s="263"/>
      <c r="AE146" s="263"/>
      <c r="AF146" s="263"/>
      <c r="AG146" s="263"/>
    </row>
    <row r="147" spans="1:33" s="632" customFormat="1" ht="16.5" customHeight="1" outlineLevel="2">
      <c r="A147" s="420"/>
      <c r="B147" s="420"/>
      <c r="C147" s="421" t="s">
        <v>378</v>
      </c>
      <c r="D147" s="422" t="str">
        <f>Currency_Label</f>
        <v>USD</v>
      </c>
      <c r="E147" s="273" t="str">
        <f>IF(H136=0,"","Error: Please check inputs for sale of assets")</f>
        <v/>
      </c>
      <c r="F147" s="435"/>
      <c r="G147" s="436"/>
      <c r="H147" s="713"/>
      <c r="I147" s="71">
        <f>SUMPRODUCT((J$6:AG$6),(J147:AG147))</f>
        <v>0</v>
      </c>
      <c r="J147" s="263"/>
      <c r="K147" s="263"/>
      <c r="L147" s="263"/>
      <c r="M147" s="263"/>
      <c r="N147" s="263"/>
      <c r="O147" s="263"/>
      <c r="P147" s="263"/>
      <c r="Q147" s="263"/>
      <c r="R147" s="263"/>
      <c r="S147" s="263"/>
      <c r="T147" s="263"/>
      <c r="U147" s="263"/>
      <c r="V147" s="263"/>
      <c r="W147" s="263"/>
      <c r="X147" s="263"/>
      <c r="Y147" s="263"/>
      <c r="Z147" s="263"/>
      <c r="AA147" s="263"/>
      <c r="AB147" s="263"/>
      <c r="AC147" s="263"/>
      <c r="AD147" s="263"/>
      <c r="AE147" s="263"/>
      <c r="AF147" s="263"/>
      <c r="AG147" s="263"/>
    </row>
    <row r="148" spans="1:33" s="632" customFormat="1" ht="16.5" customHeight="1" outlineLevel="2">
      <c r="A148" s="420"/>
      <c r="B148" s="709" t="s">
        <v>354</v>
      </c>
      <c r="C148" s="706" t="str">
        <f>Name_VAT</f>
        <v>VAT</v>
      </c>
      <c r="D148" s="428"/>
      <c r="E148" s="435"/>
      <c r="F148" s="430"/>
      <c r="G148" s="430"/>
      <c r="H148" s="420"/>
      <c r="I148" s="420"/>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row>
    <row r="149" spans="1:33" s="632" customFormat="1" ht="16.5" customHeight="1" outlineLevel="2">
      <c r="A149" s="420"/>
      <c r="B149" s="420"/>
      <c r="C149" s="24" t="str">
        <f>Name_VAT &amp;" on "&amp;C126 &amp;" purchased &amp; leased"</f>
        <v>VAT on Financial Assets purchased &amp; leased</v>
      </c>
      <c r="D149" s="8" t="str">
        <f t="shared" ref="D149" si="448">Currency_Label</f>
        <v>USD</v>
      </c>
      <c r="E149" s="84">
        <f>F127</f>
        <v>1</v>
      </c>
      <c r="F149" s="721" t="s">
        <v>375</v>
      </c>
      <c r="G149" s="84">
        <f>H127</f>
        <v>0</v>
      </c>
      <c r="H149" s="333"/>
      <c r="I149" s="71">
        <f>SUM(J149:AG149)</f>
        <v>0</v>
      </c>
      <c r="J149" s="690">
        <f t="shared" ref="J149:AG149" si="449">(J133+J141)*$E149*$G149*J$6</f>
        <v>0</v>
      </c>
      <c r="K149" s="690">
        <f t="shared" si="449"/>
        <v>0</v>
      </c>
      <c r="L149" s="690">
        <f t="shared" si="449"/>
        <v>0</v>
      </c>
      <c r="M149" s="690">
        <f t="shared" si="449"/>
        <v>0</v>
      </c>
      <c r="N149" s="690">
        <f t="shared" si="449"/>
        <v>0</v>
      </c>
      <c r="O149" s="690">
        <f t="shared" si="449"/>
        <v>0</v>
      </c>
      <c r="P149" s="690">
        <f t="shared" si="449"/>
        <v>0</v>
      </c>
      <c r="Q149" s="690">
        <f t="shared" si="449"/>
        <v>0</v>
      </c>
      <c r="R149" s="690">
        <f t="shared" si="449"/>
        <v>0</v>
      </c>
      <c r="S149" s="690">
        <f t="shared" si="449"/>
        <v>0</v>
      </c>
      <c r="T149" s="690">
        <f t="shared" si="449"/>
        <v>0</v>
      </c>
      <c r="U149" s="690">
        <f t="shared" si="449"/>
        <v>0</v>
      </c>
      <c r="V149" s="690">
        <f t="shared" si="449"/>
        <v>0</v>
      </c>
      <c r="W149" s="690">
        <f t="shared" si="449"/>
        <v>0</v>
      </c>
      <c r="X149" s="690">
        <f t="shared" si="449"/>
        <v>0</v>
      </c>
      <c r="Y149" s="690">
        <f t="shared" si="449"/>
        <v>0</v>
      </c>
      <c r="Z149" s="690">
        <f t="shared" si="449"/>
        <v>0</v>
      </c>
      <c r="AA149" s="690">
        <f t="shared" si="449"/>
        <v>0</v>
      </c>
      <c r="AB149" s="690">
        <f t="shared" si="449"/>
        <v>0</v>
      </c>
      <c r="AC149" s="690">
        <f t="shared" si="449"/>
        <v>0</v>
      </c>
      <c r="AD149" s="690">
        <f t="shared" si="449"/>
        <v>0</v>
      </c>
      <c r="AE149" s="690">
        <f t="shared" si="449"/>
        <v>0</v>
      </c>
      <c r="AF149" s="690">
        <f t="shared" si="449"/>
        <v>0</v>
      </c>
      <c r="AG149" s="690">
        <f t="shared" si="449"/>
        <v>0</v>
      </c>
    </row>
    <row r="150" spans="1:33" s="632" customFormat="1" ht="16.5" customHeight="1" outlineLevel="2">
      <c r="A150" s="420"/>
      <c r="B150" s="709"/>
      <c r="C150" s="706"/>
      <c r="D150" s="428"/>
      <c r="E150" s="435"/>
      <c r="F150" s="430"/>
      <c r="G150" s="430"/>
      <c r="H150" s="420"/>
      <c r="I150" s="420"/>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row>
    <row r="151" spans="1:33" s="680" customFormat="1" ht="16.5" customHeight="1" outlineLevel="2">
      <c r="A151" s="420"/>
      <c r="B151" s="709"/>
      <c r="C151" s="706" t="str">
        <f>"BS Account: "&amp;C126</f>
        <v>BS Account: Financial Assets</v>
      </c>
      <c r="D151" s="428"/>
      <c r="E151" s="435"/>
      <c r="F151" s="430"/>
      <c r="G151" s="430"/>
      <c r="H151" s="420"/>
      <c r="I151" s="420"/>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431"/>
      <c r="AF151" s="431"/>
      <c r="AG151" s="431"/>
    </row>
    <row r="152" spans="1:33" s="632" customFormat="1" ht="16.5" customHeight="1" outlineLevel="2">
      <c r="A152" s="420"/>
      <c r="B152" s="420"/>
      <c r="C152" s="632" t="s">
        <v>140</v>
      </c>
      <c r="D152" s="422" t="str">
        <f>Currency_Label</f>
        <v>USD</v>
      </c>
      <c r="E152" s="418"/>
      <c r="F152" s="418"/>
      <c r="G152" s="418"/>
      <c r="H152" s="418"/>
      <c r="I152" s="418"/>
      <c r="J152" s="720">
        <f t="shared" ref="J152:K152" si="450">I155*J$6</f>
        <v>0</v>
      </c>
      <c r="K152" s="720">
        <f t="shared" si="450"/>
        <v>0</v>
      </c>
      <c r="L152" s="720">
        <f t="shared" ref="L152" si="451">K155*L$6</f>
        <v>0</v>
      </c>
      <c r="M152" s="720">
        <f t="shared" ref="M152" si="452">L155*M$6</f>
        <v>7500</v>
      </c>
      <c r="N152" s="720">
        <f t="shared" ref="N152" si="453">M155*N$6</f>
        <v>7500</v>
      </c>
      <c r="O152" s="720">
        <f t="shared" ref="O152" si="454">N155*O$6</f>
        <v>7500</v>
      </c>
      <c r="P152" s="720">
        <f t="shared" ref="P152" si="455">O155*P$6</f>
        <v>7500</v>
      </c>
      <c r="Q152" s="720">
        <f t="shared" ref="Q152" si="456">P155*Q$6</f>
        <v>7500</v>
      </c>
      <c r="R152" s="720">
        <f t="shared" ref="R152" si="457">Q155*R$6</f>
        <v>7500</v>
      </c>
      <c r="S152" s="720">
        <f t="shared" ref="S152" si="458">R155*S$6</f>
        <v>7500</v>
      </c>
      <c r="T152" s="720">
        <f t="shared" ref="T152" si="459">S155*T$6</f>
        <v>7500</v>
      </c>
      <c r="U152" s="720">
        <f t="shared" ref="U152" si="460">T155*U$6</f>
        <v>7500</v>
      </c>
      <c r="V152" s="720">
        <f t="shared" ref="V152" si="461">U155*V$6</f>
        <v>7500</v>
      </c>
      <c r="W152" s="720">
        <f t="shared" ref="W152" si="462">V155*W$6</f>
        <v>7500</v>
      </c>
      <c r="X152" s="720">
        <f t="shared" ref="X152" si="463">W155*X$6</f>
        <v>7500</v>
      </c>
      <c r="Y152" s="720">
        <f t="shared" ref="Y152" si="464">X155*Y$6</f>
        <v>7500</v>
      </c>
      <c r="Z152" s="720">
        <f t="shared" ref="Z152" si="465">Y155*Z$6</f>
        <v>19500</v>
      </c>
      <c r="AA152" s="720">
        <f t="shared" ref="AA152" si="466">Z155*AA$6</f>
        <v>19500</v>
      </c>
      <c r="AB152" s="720">
        <f t="shared" ref="AB152" si="467">AA155*AB$6</f>
        <v>19500</v>
      </c>
      <c r="AC152" s="720">
        <f t="shared" ref="AC152" si="468">AB155*AC$6</f>
        <v>19500</v>
      </c>
      <c r="AD152" s="720">
        <f t="shared" ref="AD152" si="469">AC155*AD$6</f>
        <v>19500</v>
      </c>
      <c r="AE152" s="720">
        <f t="shared" ref="AE152" si="470">AD155*AE$6</f>
        <v>19500</v>
      </c>
      <c r="AF152" s="720">
        <f t="shared" ref="AF152" si="471">AE155*AF$6</f>
        <v>0</v>
      </c>
      <c r="AG152" s="720">
        <f t="shared" ref="AG152" si="472">AF155*AG$6</f>
        <v>0</v>
      </c>
    </row>
    <row r="153" spans="1:33" s="632" customFormat="1" ht="16.5" customHeight="1" outlineLevel="2">
      <c r="A153" s="420"/>
      <c r="B153" s="420"/>
      <c r="C153" s="421" t="s">
        <v>371</v>
      </c>
      <c r="D153" s="422" t="str">
        <f>Currency_Label</f>
        <v>USD</v>
      </c>
      <c r="E153" s="418"/>
      <c r="F153" s="418"/>
      <c r="G153" s="418"/>
      <c r="H153" s="418"/>
      <c r="I153" s="71">
        <f>SUM(J153:AG153)</f>
        <v>19500</v>
      </c>
      <c r="J153" s="344">
        <f t="shared" ref="J153:AG153" si="473">J133+J139+J141</f>
        <v>0</v>
      </c>
      <c r="K153" s="344">
        <f t="shared" si="473"/>
        <v>0</v>
      </c>
      <c r="L153" s="344">
        <f t="shared" si="473"/>
        <v>7500</v>
      </c>
      <c r="M153" s="344">
        <f t="shared" si="473"/>
        <v>0</v>
      </c>
      <c r="N153" s="344">
        <f t="shared" si="473"/>
        <v>0</v>
      </c>
      <c r="O153" s="344">
        <f t="shared" si="473"/>
        <v>0</v>
      </c>
      <c r="P153" s="344">
        <f t="shared" si="473"/>
        <v>0</v>
      </c>
      <c r="Q153" s="344">
        <f t="shared" si="473"/>
        <v>0</v>
      </c>
      <c r="R153" s="344">
        <f t="shared" si="473"/>
        <v>0</v>
      </c>
      <c r="S153" s="344">
        <f t="shared" si="473"/>
        <v>0</v>
      </c>
      <c r="T153" s="344">
        <f t="shared" si="473"/>
        <v>0</v>
      </c>
      <c r="U153" s="344">
        <f t="shared" si="473"/>
        <v>0</v>
      </c>
      <c r="V153" s="344">
        <f t="shared" si="473"/>
        <v>0</v>
      </c>
      <c r="W153" s="344">
        <f t="shared" si="473"/>
        <v>0</v>
      </c>
      <c r="X153" s="344">
        <f t="shared" si="473"/>
        <v>0</v>
      </c>
      <c r="Y153" s="344">
        <f t="shared" si="473"/>
        <v>12000</v>
      </c>
      <c r="Z153" s="344">
        <f t="shared" si="473"/>
        <v>0</v>
      </c>
      <c r="AA153" s="344">
        <f t="shared" si="473"/>
        <v>0</v>
      </c>
      <c r="AB153" s="344">
        <f t="shared" si="473"/>
        <v>0</v>
      </c>
      <c r="AC153" s="344">
        <f t="shared" si="473"/>
        <v>0</v>
      </c>
      <c r="AD153" s="344">
        <f t="shared" si="473"/>
        <v>0</v>
      </c>
      <c r="AE153" s="344">
        <f t="shared" si="473"/>
        <v>0</v>
      </c>
      <c r="AF153" s="344">
        <f t="shared" si="473"/>
        <v>0</v>
      </c>
      <c r="AG153" s="344">
        <f t="shared" si="473"/>
        <v>0</v>
      </c>
    </row>
    <row r="154" spans="1:33" s="632" customFormat="1" ht="16.5" customHeight="1" outlineLevel="2">
      <c r="A154" s="420"/>
      <c r="B154" s="420"/>
      <c r="C154" s="421" t="s">
        <v>386</v>
      </c>
      <c r="D154" s="422" t="str">
        <f>Currency_Label</f>
        <v>USD</v>
      </c>
      <c r="E154" s="418"/>
      <c r="F154" s="418"/>
      <c r="G154" s="418"/>
      <c r="H154" s="418"/>
      <c r="I154" s="71">
        <f>SUM(J154:AG154)</f>
        <v>0</v>
      </c>
      <c r="J154" s="344">
        <f t="shared" ref="J154:AG154" si="474">-(J136+J146-J147)</f>
        <v>0</v>
      </c>
      <c r="K154" s="344">
        <f t="shared" si="474"/>
        <v>0</v>
      </c>
      <c r="L154" s="344">
        <f t="shared" si="474"/>
        <v>0</v>
      </c>
      <c r="M154" s="344">
        <f t="shared" si="474"/>
        <v>0</v>
      </c>
      <c r="N154" s="344">
        <f t="shared" si="474"/>
        <v>0</v>
      </c>
      <c r="O154" s="344">
        <f t="shared" si="474"/>
        <v>0</v>
      </c>
      <c r="P154" s="344">
        <f t="shared" si="474"/>
        <v>0</v>
      </c>
      <c r="Q154" s="344">
        <f t="shared" si="474"/>
        <v>0</v>
      </c>
      <c r="R154" s="344">
        <f t="shared" si="474"/>
        <v>0</v>
      </c>
      <c r="S154" s="344">
        <f t="shared" si="474"/>
        <v>0</v>
      </c>
      <c r="T154" s="344">
        <f t="shared" si="474"/>
        <v>0</v>
      </c>
      <c r="U154" s="344">
        <f t="shared" si="474"/>
        <v>0</v>
      </c>
      <c r="V154" s="344">
        <f t="shared" si="474"/>
        <v>0</v>
      </c>
      <c r="W154" s="344">
        <f t="shared" si="474"/>
        <v>0</v>
      </c>
      <c r="X154" s="344">
        <f t="shared" si="474"/>
        <v>0</v>
      </c>
      <c r="Y154" s="344">
        <f t="shared" si="474"/>
        <v>0</v>
      </c>
      <c r="Z154" s="344">
        <f t="shared" si="474"/>
        <v>0</v>
      </c>
      <c r="AA154" s="344">
        <f t="shared" si="474"/>
        <v>0</v>
      </c>
      <c r="AB154" s="344">
        <f t="shared" si="474"/>
        <v>0</v>
      </c>
      <c r="AC154" s="344">
        <f t="shared" si="474"/>
        <v>0</v>
      </c>
      <c r="AD154" s="344">
        <f t="shared" si="474"/>
        <v>0</v>
      </c>
      <c r="AE154" s="344">
        <f t="shared" si="474"/>
        <v>0</v>
      </c>
      <c r="AF154" s="344">
        <f t="shared" si="474"/>
        <v>0</v>
      </c>
      <c r="AG154" s="344">
        <f t="shared" si="474"/>
        <v>0</v>
      </c>
    </row>
    <row r="155" spans="1:33" s="632" customFormat="1" ht="16.5" customHeight="1" outlineLevel="2" thickBot="1">
      <c r="A155" s="420"/>
      <c r="B155" s="420"/>
      <c r="C155" s="632" t="s">
        <v>141</v>
      </c>
      <c r="D155" s="422" t="str">
        <f>Currency_Label</f>
        <v>USD</v>
      </c>
      <c r="E155" s="418"/>
      <c r="F155" s="430"/>
      <c r="G155" s="430"/>
      <c r="H155" s="420"/>
      <c r="I155" s="144">
        <f>Inputs!F264</f>
        <v>0</v>
      </c>
      <c r="J155" s="443">
        <f>IF(ABS(SUM(J152:J154))&lt;0.001,0,SUM(J152:J154))</f>
        <v>0</v>
      </c>
      <c r="K155" s="443">
        <f>IF(ABS(SUM(K152:K154))&lt;0.001,0,SUM(K152:K154))</f>
        <v>0</v>
      </c>
      <c r="L155" s="443">
        <f t="shared" ref="L155:AG155" si="475">IF(ABS(SUM(L152:L154))&lt;0.001,0,SUM(L152:L154))</f>
        <v>7500</v>
      </c>
      <c r="M155" s="443">
        <f t="shared" si="475"/>
        <v>7500</v>
      </c>
      <c r="N155" s="443">
        <f t="shared" si="475"/>
        <v>7500</v>
      </c>
      <c r="O155" s="443">
        <f t="shared" si="475"/>
        <v>7500</v>
      </c>
      <c r="P155" s="443">
        <f t="shared" si="475"/>
        <v>7500</v>
      </c>
      <c r="Q155" s="443">
        <f t="shared" si="475"/>
        <v>7500</v>
      </c>
      <c r="R155" s="443">
        <f t="shared" si="475"/>
        <v>7500</v>
      </c>
      <c r="S155" s="443">
        <f t="shared" si="475"/>
        <v>7500</v>
      </c>
      <c r="T155" s="443">
        <f t="shared" si="475"/>
        <v>7500</v>
      </c>
      <c r="U155" s="443">
        <f t="shared" si="475"/>
        <v>7500</v>
      </c>
      <c r="V155" s="443">
        <f t="shared" si="475"/>
        <v>7500</v>
      </c>
      <c r="W155" s="443">
        <f t="shared" si="475"/>
        <v>7500</v>
      </c>
      <c r="X155" s="443">
        <f t="shared" si="475"/>
        <v>7500</v>
      </c>
      <c r="Y155" s="443">
        <f t="shared" si="475"/>
        <v>19500</v>
      </c>
      <c r="Z155" s="443">
        <f t="shared" si="475"/>
        <v>19500</v>
      </c>
      <c r="AA155" s="443">
        <f t="shared" si="475"/>
        <v>19500</v>
      </c>
      <c r="AB155" s="443">
        <f t="shared" si="475"/>
        <v>19500</v>
      </c>
      <c r="AC155" s="443">
        <f t="shared" si="475"/>
        <v>19500</v>
      </c>
      <c r="AD155" s="443">
        <f t="shared" si="475"/>
        <v>19500</v>
      </c>
      <c r="AE155" s="443">
        <f t="shared" si="475"/>
        <v>19500</v>
      </c>
      <c r="AF155" s="443">
        <f t="shared" si="475"/>
        <v>0</v>
      </c>
      <c r="AG155" s="443">
        <f t="shared" si="475"/>
        <v>0</v>
      </c>
    </row>
    <row r="156" spans="1:33" s="632" customFormat="1" ht="16.5" customHeight="1" outlineLevel="2" thickTop="1">
      <c r="A156" s="420"/>
      <c r="B156" s="420"/>
      <c r="C156" s="434"/>
      <c r="D156" s="428"/>
      <c r="E156" s="435"/>
      <c r="F156" s="430"/>
      <c r="G156" s="430"/>
      <c r="H156" s="420"/>
      <c r="I156" s="420"/>
      <c r="J156" s="431"/>
      <c r="K156" s="431"/>
      <c r="L156" s="431"/>
      <c r="M156" s="431"/>
      <c r="N156" s="431"/>
      <c r="O156" s="431"/>
      <c r="P156" s="431"/>
      <c r="Q156" s="431"/>
      <c r="R156" s="431"/>
      <c r="S156" s="431"/>
      <c r="T156" s="431"/>
      <c r="U156" s="431"/>
      <c r="V156" s="431"/>
      <c r="W156" s="431"/>
      <c r="X156" s="431"/>
      <c r="Y156" s="431"/>
      <c r="Z156" s="431"/>
      <c r="AA156" s="431"/>
      <c r="AB156" s="431"/>
      <c r="AC156" s="431"/>
      <c r="AD156" s="431"/>
      <c r="AE156" s="431"/>
      <c r="AF156" s="431"/>
      <c r="AG156" s="431"/>
    </row>
    <row r="157" spans="1:33" s="632" customFormat="1" ht="16.5" customHeight="1" outlineLevel="1">
      <c r="A157" s="420"/>
      <c r="B157" s="420"/>
      <c r="C157" s="434"/>
      <c r="D157" s="428"/>
      <c r="E157" s="435"/>
      <c r="F157" s="430"/>
      <c r="G157" s="430"/>
      <c r="H157" s="420"/>
      <c r="I157" s="420"/>
      <c r="J157" s="431"/>
      <c r="K157" s="431"/>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row>
    <row r="158" spans="1:33" s="632" customFormat="1" ht="22.5" customHeight="1">
      <c r="A158" s="274"/>
      <c r="B158" s="274" t="s">
        <v>395</v>
      </c>
      <c r="C158" s="274" t="s">
        <v>1022</v>
      </c>
      <c r="D158" s="428"/>
      <c r="E158" s="431"/>
      <c r="F158" s="431"/>
      <c r="G158" s="431"/>
      <c r="H158" s="431"/>
      <c r="I158" s="431"/>
      <c r="J158" s="431"/>
      <c r="K158" s="431"/>
      <c r="L158" s="418"/>
      <c r="M158" s="418"/>
      <c r="N158" s="418"/>
      <c r="O158" s="418"/>
      <c r="P158" s="418"/>
      <c r="Q158" s="418"/>
      <c r="R158" s="418"/>
      <c r="S158" s="418"/>
      <c r="T158" s="418"/>
      <c r="U158" s="418"/>
      <c r="V158" s="418"/>
      <c r="W158" s="418"/>
      <c r="X158" s="418"/>
      <c r="Y158" s="418"/>
      <c r="Z158" s="418"/>
      <c r="AA158" s="418"/>
      <c r="AB158" s="418"/>
      <c r="AC158" s="418"/>
      <c r="AD158" s="418"/>
      <c r="AE158" s="418"/>
      <c r="AF158" s="418"/>
      <c r="AG158" s="418"/>
    </row>
    <row r="159" spans="1:33" s="632" customFormat="1" ht="16.5" customHeight="1" outlineLevel="1">
      <c r="A159" s="420"/>
      <c r="B159" s="420"/>
      <c r="C159" s="706" t="s">
        <v>389</v>
      </c>
      <c r="D159" s="428"/>
      <c r="E159" s="435"/>
      <c r="F159" s="430"/>
      <c r="G159" s="430"/>
      <c r="H159" s="420"/>
      <c r="I159" s="420"/>
      <c r="J159" s="431"/>
      <c r="K159" s="431"/>
      <c r="L159" s="418"/>
      <c r="M159" s="418"/>
      <c r="N159" s="418"/>
      <c r="O159" s="418"/>
      <c r="P159" s="418"/>
      <c r="Q159" s="418"/>
      <c r="R159" s="418"/>
      <c r="S159" s="418"/>
      <c r="T159" s="418"/>
      <c r="U159" s="418"/>
      <c r="V159" s="418"/>
      <c r="W159" s="418"/>
      <c r="X159" s="418"/>
      <c r="Y159" s="418"/>
      <c r="Z159" s="418"/>
      <c r="AA159" s="418"/>
      <c r="AB159" s="418"/>
      <c r="AC159" s="418"/>
      <c r="AD159" s="418"/>
      <c r="AE159" s="418"/>
      <c r="AF159" s="418"/>
      <c r="AG159" s="418"/>
    </row>
    <row r="160" spans="1:33" s="632" customFormat="1" ht="16.5" customHeight="1" outlineLevel="1">
      <c r="A160" s="420"/>
      <c r="B160" s="420"/>
      <c r="C160" s="421" t="s">
        <v>387</v>
      </c>
      <c r="D160" s="422" t="str">
        <f>Currency_Label</f>
        <v>USD</v>
      </c>
      <c r="E160" s="435"/>
      <c r="F160" s="430"/>
      <c r="G160" s="430"/>
      <c r="H160" s="420"/>
      <c r="I160" s="71">
        <f>SUM(J160:AG160)</f>
        <v>233450</v>
      </c>
      <c r="J160" s="344">
        <f>(J16+J49+J75+J101+J133)*J6</f>
        <v>10000</v>
      </c>
      <c r="K160" s="344">
        <f t="shared" ref="K160:AG160" si="476">(K16+K49+K75+K101+K133)*K6</f>
        <v>0</v>
      </c>
      <c r="L160" s="344">
        <f t="shared" si="476"/>
        <v>57500</v>
      </c>
      <c r="M160" s="344">
        <f t="shared" si="476"/>
        <v>0</v>
      </c>
      <c r="N160" s="344">
        <f t="shared" si="476"/>
        <v>0</v>
      </c>
      <c r="O160" s="344">
        <f t="shared" si="476"/>
        <v>0</v>
      </c>
      <c r="P160" s="344">
        <f t="shared" si="476"/>
        <v>15000</v>
      </c>
      <c r="Q160" s="344">
        <f t="shared" si="476"/>
        <v>88950</v>
      </c>
      <c r="R160" s="344">
        <f t="shared" si="476"/>
        <v>0</v>
      </c>
      <c r="S160" s="344">
        <f t="shared" si="476"/>
        <v>0</v>
      </c>
      <c r="T160" s="344">
        <f t="shared" si="476"/>
        <v>0</v>
      </c>
      <c r="U160" s="344">
        <f t="shared" si="476"/>
        <v>0</v>
      </c>
      <c r="V160" s="344">
        <f t="shared" si="476"/>
        <v>50000</v>
      </c>
      <c r="W160" s="344">
        <f t="shared" si="476"/>
        <v>0</v>
      </c>
      <c r="X160" s="344">
        <f t="shared" si="476"/>
        <v>0</v>
      </c>
      <c r="Y160" s="344">
        <f t="shared" si="476"/>
        <v>12000</v>
      </c>
      <c r="Z160" s="344">
        <f t="shared" si="476"/>
        <v>0</v>
      </c>
      <c r="AA160" s="344">
        <f t="shared" si="476"/>
        <v>0</v>
      </c>
      <c r="AB160" s="344">
        <f t="shared" si="476"/>
        <v>0</v>
      </c>
      <c r="AC160" s="344">
        <f t="shared" si="476"/>
        <v>0</v>
      </c>
      <c r="AD160" s="344">
        <f t="shared" si="476"/>
        <v>0</v>
      </c>
      <c r="AE160" s="344">
        <f t="shared" si="476"/>
        <v>0</v>
      </c>
      <c r="AF160" s="344">
        <f t="shared" si="476"/>
        <v>0</v>
      </c>
      <c r="AG160" s="344">
        <f t="shared" si="476"/>
        <v>0</v>
      </c>
    </row>
    <row r="161" spans="1:33" s="799" customFormat="1" ht="16.5" customHeight="1" outlineLevel="2">
      <c r="A161" s="420"/>
      <c r="B161" s="420"/>
      <c r="C161" s="421" t="s">
        <v>627</v>
      </c>
      <c r="D161" s="422" t="str">
        <f>Currency_Label</f>
        <v>USD</v>
      </c>
      <c r="E161" s="435"/>
      <c r="F161" s="430"/>
      <c r="G161" s="430"/>
      <c r="H161" s="420"/>
      <c r="I161" s="71">
        <f>SUM(J161:AG161)</f>
        <v>118950</v>
      </c>
      <c r="J161" s="344">
        <f>J16*J6</f>
        <v>0</v>
      </c>
      <c r="K161" s="344">
        <f t="shared" ref="K161:AG161" si="477">K16*K6</f>
        <v>0</v>
      </c>
      <c r="L161" s="344">
        <f t="shared" si="477"/>
        <v>30000</v>
      </c>
      <c r="M161" s="344">
        <f t="shared" si="477"/>
        <v>0</v>
      </c>
      <c r="N161" s="344">
        <f t="shared" si="477"/>
        <v>0</v>
      </c>
      <c r="O161" s="344">
        <f t="shared" si="477"/>
        <v>0</v>
      </c>
      <c r="P161" s="344">
        <f t="shared" si="477"/>
        <v>0</v>
      </c>
      <c r="Q161" s="344">
        <f t="shared" si="477"/>
        <v>88950</v>
      </c>
      <c r="R161" s="344">
        <f t="shared" si="477"/>
        <v>0</v>
      </c>
      <c r="S161" s="344">
        <f t="shared" si="477"/>
        <v>0</v>
      </c>
      <c r="T161" s="344">
        <f t="shared" si="477"/>
        <v>0</v>
      </c>
      <c r="U161" s="344">
        <f t="shared" si="477"/>
        <v>0</v>
      </c>
      <c r="V161" s="344">
        <f t="shared" si="477"/>
        <v>0</v>
      </c>
      <c r="W161" s="344">
        <f t="shared" si="477"/>
        <v>0</v>
      </c>
      <c r="X161" s="344">
        <f t="shared" si="477"/>
        <v>0</v>
      </c>
      <c r="Y161" s="344">
        <f t="shared" si="477"/>
        <v>0</v>
      </c>
      <c r="Z161" s="344">
        <f t="shared" si="477"/>
        <v>0</v>
      </c>
      <c r="AA161" s="344">
        <f t="shared" si="477"/>
        <v>0</v>
      </c>
      <c r="AB161" s="344">
        <f t="shared" si="477"/>
        <v>0</v>
      </c>
      <c r="AC161" s="344">
        <f t="shared" si="477"/>
        <v>0</v>
      </c>
      <c r="AD161" s="344">
        <f t="shared" si="477"/>
        <v>0</v>
      </c>
      <c r="AE161" s="344">
        <f t="shared" si="477"/>
        <v>0</v>
      </c>
      <c r="AF161" s="344">
        <f t="shared" si="477"/>
        <v>0</v>
      </c>
      <c r="AG161" s="344">
        <f t="shared" si="477"/>
        <v>0</v>
      </c>
    </row>
    <row r="162" spans="1:33" s="799" customFormat="1" ht="16.5" customHeight="1" outlineLevel="2">
      <c r="A162" s="420"/>
      <c r="B162" s="420"/>
      <c r="C162" s="421" t="s">
        <v>628</v>
      </c>
      <c r="D162" s="422" t="str">
        <f>Currency_Label</f>
        <v>USD</v>
      </c>
      <c r="E162" s="435"/>
      <c r="F162" s="430"/>
      <c r="G162" s="430"/>
      <c r="H162" s="420"/>
      <c r="I162" s="71">
        <f>SUM(J162:AG162)</f>
        <v>95000</v>
      </c>
      <c r="J162" s="344">
        <f>(J49+J75+J101)*J6</f>
        <v>10000</v>
      </c>
      <c r="K162" s="344">
        <f t="shared" ref="K162:AG162" si="478">(K49+K75+K101)*K6</f>
        <v>0</v>
      </c>
      <c r="L162" s="344">
        <f t="shared" si="478"/>
        <v>20000</v>
      </c>
      <c r="M162" s="344">
        <f t="shared" si="478"/>
        <v>0</v>
      </c>
      <c r="N162" s="344">
        <f t="shared" si="478"/>
        <v>0</v>
      </c>
      <c r="O162" s="344">
        <f t="shared" si="478"/>
        <v>0</v>
      </c>
      <c r="P162" s="344">
        <f t="shared" si="478"/>
        <v>15000</v>
      </c>
      <c r="Q162" s="344">
        <f t="shared" si="478"/>
        <v>0</v>
      </c>
      <c r="R162" s="344">
        <f t="shared" si="478"/>
        <v>0</v>
      </c>
      <c r="S162" s="344">
        <f t="shared" si="478"/>
        <v>0</v>
      </c>
      <c r="T162" s="344">
        <f t="shared" si="478"/>
        <v>0</v>
      </c>
      <c r="U162" s="344">
        <f t="shared" si="478"/>
        <v>0</v>
      </c>
      <c r="V162" s="344">
        <f t="shared" si="478"/>
        <v>50000</v>
      </c>
      <c r="W162" s="344">
        <f t="shared" si="478"/>
        <v>0</v>
      </c>
      <c r="X162" s="344">
        <f t="shared" si="478"/>
        <v>0</v>
      </c>
      <c r="Y162" s="344">
        <f t="shared" si="478"/>
        <v>0</v>
      </c>
      <c r="Z162" s="344">
        <f t="shared" si="478"/>
        <v>0</v>
      </c>
      <c r="AA162" s="344">
        <f t="shared" si="478"/>
        <v>0</v>
      </c>
      <c r="AB162" s="344">
        <f t="shared" si="478"/>
        <v>0</v>
      </c>
      <c r="AC162" s="344">
        <f t="shared" si="478"/>
        <v>0</v>
      </c>
      <c r="AD162" s="344">
        <f t="shared" si="478"/>
        <v>0</v>
      </c>
      <c r="AE162" s="344">
        <f t="shared" si="478"/>
        <v>0</v>
      </c>
      <c r="AF162" s="344">
        <f t="shared" si="478"/>
        <v>0</v>
      </c>
      <c r="AG162" s="344">
        <f t="shared" si="478"/>
        <v>0</v>
      </c>
    </row>
    <row r="163" spans="1:33" s="799" customFormat="1" ht="16.5" customHeight="1" outlineLevel="2">
      <c r="A163" s="420"/>
      <c r="B163" s="420"/>
      <c r="C163" s="421" t="s">
        <v>629</v>
      </c>
      <c r="D163" s="422" t="str">
        <f>Currency_Label</f>
        <v>USD</v>
      </c>
      <c r="E163" s="435"/>
      <c r="F163" s="430"/>
      <c r="G163" s="430"/>
      <c r="H163" s="420"/>
      <c r="I163" s="71">
        <f>SUM(J163:AG163)</f>
        <v>19500</v>
      </c>
      <c r="J163" s="344">
        <f>J133*J6</f>
        <v>0</v>
      </c>
      <c r="K163" s="344">
        <f t="shared" ref="K163:AG163" si="479">K133*K6</f>
        <v>0</v>
      </c>
      <c r="L163" s="344">
        <f t="shared" si="479"/>
        <v>7500</v>
      </c>
      <c r="M163" s="344">
        <f t="shared" si="479"/>
        <v>0</v>
      </c>
      <c r="N163" s="344">
        <f t="shared" si="479"/>
        <v>0</v>
      </c>
      <c r="O163" s="344">
        <f t="shared" si="479"/>
        <v>0</v>
      </c>
      <c r="P163" s="344">
        <f t="shared" si="479"/>
        <v>0</v>
      </c>
      <c r="Q163" s="344">
        <f t="shared" si="479"/>
        <v>0</v>
      </c>
      <c r="R163" s="344">
        <f t="shared" si="479"/>
        <v>0</v>
      </c>
      <c r="S163" s="344">
        <f t="shared" si="479"/>
        <v>0</v>
      </c>
      <c r="T163" s="344">
        <f t="shared" si="479"/>
        <v>0</v>
      </c>
      <c r="U163" s="344">
        <f t="shared" si="479"/>
        <v>0</v>
      </c>
      <c r="V163" s="344">
        <f t="shared" si="479"/>
        <v>0</v>
      </c>
      <c r="W163" s="344">
        <f t="shared" si="479"/>
        <v>0</v>
      </c>
      <c r="X163" s="344">
        <f t="shared" si="479"/>
        <v>0</v>
      </c>
      <c r="Y163" s="344">
        <f t="shared" si="479"/>
        <v>12000</v>
      </c>
      <c r="Z163" s="344">
        <f t="shared" si="479"/>
        <v>0</v>
      </c>
      <c r="AA163" s="344">
        <f t="shared" si="479"/>
        <v>0</v>
      </c>
      <c r="AB163" s="344">
        <f t="shared" si="479"/>
        <v>0</v>
      </c>
      <c r="AC163" s="344">
        <f t="shared" si="479"/>
        <v>0</v>
      </c>
      <c r="AD163" s="344">
        <f t="shared" si="479"/>
        <v>0</v>
      </c>
      <c r="AE163" s="344">
        <f t="shared" si="479"/>
        <v>0</v>
      </c>
      <c r="AF163" s="344">
        <f t="shared" si="479"/>
        <v>0</v>
      </c>
      <c r="AG163" s="344">
        <f t="shared" si="479"/>
        <v>0</v>
      </c>
    </row>
    <row r="164" spans="1:33" s="632" customFormat="1" ht="16.5" customHeight="1" outlineLevel="1">
      <c r="A164" s="420"/>
      <c r="B164" s="420"/>
      <c r="C164" s="421" t="str">
        <f>CHOOSE(language,"Depreciation &amp; Amortisation per period","Depreciation &amp; Amortization per period")</f>
        <v>Depreciation &amp; Amortization per period</v>
      </c>
      <c r="D164" s="422" t="str">
        <f>Currency_Label</f>
        <v>USD</v>
      </c>
      <c r="E164" s="435"/>
      <c r="F164" s="430"/>
      <c r="G164" s="430"/>
      <c r="H164" s="420"/>
      <c r="I164" s="71">
        <f>SUM(J164:AG164)</f>
        <v>37012.420634920622</v>
      </c>
      <c r="J164" s="344">
        <f t="shared" ref="J164:AG164" si="480">(J19+J52+J78+J104+J136)*J6</f>
        <v>59.523809523809518</v>
      </c>
      <c r="K164" s="344">
        <f t="shared" si="480"/>
        <v>178.57142857142856</v>
      </c>
      <c r="L164" s="344">
        <f t="shared" si="480"/>
        <v>178.57142857142856</v>
      </c>
      <c r="M164" s="344">
        <f t="shared" si="480"/>
        <v>706.34920634920627</v>
      </c>
      <c r="N164" s="344">
        <f t="shared" si="480"/>
        <v>706.34920634920627</v>
      </c>
      <c r="O164" s="344">
        <f t="shared" si="480"/>
        <v>706.34920634920627</v>
      </c>
      <c r="P164" s="344">
        <f t="shared" si="480"/>
        <v>706.34920634920627</v>
      </c>
      <c r="Q164" s="344">
        <f t="shared" si="480"/>
        <v>1162.6984126984125</v>
      </c>
      <c r="R164" s="344">
        <f t="shared" si="480"/>
        <v>1903.9484126984125</v>
      </c>
      <c r="S164" s="344">
        <f t="shared" si="480"/>
        <v>1903.9484126984125</v>
      </c>
      <c r="T164" s="344">
        <f t="shared" si="480"/>
        <v>1903.9484126984125</v>
      </c>
      <c r="U164" s="344">
        <f t="shared" si="480"/>
        <v>1903.9484126984125</v>
      </c>
      <c r="V164" s="344">
        <f t="shared" si="480"/>
        <v>1903.9484126984125</v>
      </c>
      <c r="W164" s="344">
        <f t="shared" si="480"/>
        <v>2598.3928571428569</v>
      </c>
      <c r="X164" s="344">
        <f t="shared" si="480"/>
        <v>2598.3928571428569</v>
      </c>
      <c r="Y164" s="344">
        <f t="shared" si="480"/>
        <v>2598.3928571428569</v>
      </c>
      <c r="Z164" s="344">
        <f t="shared" si="480"/>
        <v>2598.3928571428569</v>
      </c>
      <c r="AA164" s="344">
        <f t="shared" si="480"/>
        <v>2538.8690476190477</v>
      </c>
      <c r="AB164" s="344">
        <f t="shared" si="480"/>
        <v>2538.8690476190477</v>
      </c>
      <c r="AC164" s="344">
        <f t="shared" si="480"/>
        <v>2538.8690476190477</v>
      </c>
      <c r="AD164" s="344">
        <f t="shared" si="480"/>
        <v>2538.8690476190477</v>
      </c>
      <c r="AE164" s="344">
        <f t="shared" si="480"/>
        <v>2538.8690476190477</v>
      </c>
      <c r="AF164" s="344">
        <f t="shared" si="480"/>
        <v>0</v>
      </c>
      <c r="AG164" s="344">
        <f t="shared" si="480"/>
        <v>0</v>
      </c>
    </row>
    <row r="165" spans="1:33" s="632" customFormat="1" ht="16.5" customHeight="1" outlineLevel="1">
      <c r="A165" s="420"/>
      <c r="B165" s="420"/>
      <c r="C165" s="706" t="s">
        <v>405</v>
      </c>
      <c r="D165" s="428"/>
      <c r="E165" s="435"/>
      <c r="F165" s="430"/>
      <c r="G165" s="430"/>
      <c r="H165" s="420"/>
      <c r="I165" s="420"/>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row>
    <row r="166" spans="1:33" s="680" customFormat="1" ht="16.5" customHeight="1" outlineLevel="1">
      <c r="A166" s="420"/>
      <c r="B166" s="420"/>
      <c r="C166" s="421" t="s">
        <v>404</v>
      </c>
      <c r="D166" s="422" t="str">
        <f>Currency_Label</f>
        <v>USD</v>
      </c>
      <c r="E166" s="435"/>
      <c r="F166" s="430"/>
      <c r="G166" s="430"/>
      <c r="H166" s="420"/>
      <c r="I166" s="71">
        <f>SUM(J166:AG166)</f>
        <v>0</v>
      </c>
      <c r="J166" s="344">
        <f>(J22+J55+J81+J107+J139)*J6</f>
        <v>0</v>
      </c>
      <c r="K166" s="344">
        <f t="shared" ref="K166:AG166" si="481">(K22+K55+K81+K107+K139)*K6</f>
        <v>0</v>
      </c>
      <c r="L166" s="344">
        <f t="shared" si="481"/>
        <v>0</v>
      </c>
      <c r="M166" s="344">
        <f t="shared" si="481"/>
        <v>0</v>
      </c>
      <c r="N166" s="344">
        <f t="shared" si="481"/>
        <v>0</v>
      </c>
      <c r="O166" s="344">
        <f t="shared" si="481"/>
        <v>0</v>
      </c>
      <c r="P166" s="344">
        <f t="shared" si="481"/>
        <v>0</v>
      </c>
      <c r="Q166" s="344">
        <f t="shared" si="481"/>
        <v>0</v>
      </c>
      <c r="R166" s="344">
        <f t="shared" si="481"/>
        <v>0</v>
      </c>
      <c r="S166" s="344">
        <f t="shared" si="481"/>
        <v>0</v>
      </c>
      <c r="T166" s="344">
        <f t="shared" si="481"/>
        <v>0</v>
      </c>
      <c r="U166" s="344">
        <f t="shared" si="481"/>
        <v>0</v>
      </c>
      <c r="V166" s="344">
        <f t="shared" si="481"/>
        <v>0</v>
      </c>
      <c r="W166" s="344">
        <f t="shared" si="481"/>
        <v>0</v>
      </c>
      <c r="X166" s="344">
        <f t="shared" si="481"/>
        <v>0</v>
      </c>
      <c r="Y166" s="344">
        <f t="shared" si="481"/>
        <v>0</v>
      </c>
      <c r="Z166" s="344">
        <f t="shared" si="481"/>
        <v>0</v>
      </c>
      <c r="AA166" s="344">
        <f t="shared" si="481"/>
        <v>0</v>
      </c>
      <c r="AB166" s="344">
        <f t="shared" si="481"/>
        <v>0</v>
      </c>
      <c r="AC166" s="344">
        <f t="shared" si="481"/>
        <v>0</v>
      </c>
      <c r="AD166" s="344">
        <f t="shared" si="481"/>
        <v>0</v>
      </c>
      <c r="AE166" s="344">
        <f t="shared" si="481"/>
        <v>0</v>
      </c>
      <c r="AF166" s="344">
        <f t="shared" si="481"/>
        <v>0</v>
      </c>
      <c r="AG166" s="344">
        <f t="shared" si="481"/>
        <v>0</v>
      </c>
    </row>
    <row r="167" spans="1:33" s="680" customFormat="1" ht="16.5" customHeight="1" outlineLevel="1">
      <c r="A167" s="420"/>
      <c r="B167" s="420"/>
      <c r="C167" s="706" t="s">
        <v>390</v>
      </c>
      <c r="D167" s="428"/>
      <c r="E167" s="435"/>
      <c r="F167" s="430"/>
      <c r="G167" s="430"/>
      <c r="H167" s="420"/>
      <c r="I167" s="420"/>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row>
    <row r="168" spans="1:33" s="632" customFormat="1" ht="16.5" customHeight="1" outlineLevel="1">
      <c r="A168" s="420"/>
      <c r="B168" s="420"/>
      <c r="C168" s="421" t="s">
        <v>388</v>
      </c>
      <c r="D168" s="422" t="str">
        <f>Currency_Label</f>
        <v>USD</v>
      </c>
      <c r="E168" s="435"/>
      <c r="F168" s="430"/>
      <c r="G168" s="430"/>
      <c r="H168" s="420"/>
      <c r="I168" s="71">
        <f>SUM(J168:AG168)</f>
        <v>20000</v>
      </c>
      <c r="J168" s="344">
        <f t="shared" ref="J168:AG168" si="482">(J24+J57+J83+J109+J141)*J6</f>
        <v>0</v>
      </c>
      <c r="K168" s="344">
        <f t="shared" si="482"/>
        <v>0</v>
      </c>
      <c r="L168" s="344">
        <f t="shared" si="482"/>
        <v>0</v>
      </c>
      <c r="M168" s="344">
        <f t="shared" si="482"/>
        <v>0</v>
      </c>
      <c r="N168" s="344">
        <f t="shared" si="482"/>
        <v>0</v>
      </c>
      <c r="O168" s="344">
        <f t="shared" si="482"/>
        <v>0</v>
      </c>
      <c r="P168" s="344">
        <f t="shared" si="482"/>
        <v>20000</v>
      </c>
      <c r="Q168" s="344">
        <f t="shared" si="482"/>
        <v>0</v>
      </c>
      <c r="R168" s="344">
        <f t="shared" si="482"/>
        <v>0</v>
      </c>
      <c r="S168" s="344">
        <f t="shared" si="482"/>
        <v>0</v>
      </c>
      <c r="T168" s="344">
        <f t="shared" si="482"/>
        <v>0</v>
      </c>
      <c r="U168" s="344">
        <f t="shared" si="482"/>
        <v>0</v>
      </c>
      <c r="V168" s="344">
        <f t="shared" si="482"/>
        <v>0</v>
      </c>
      <c r="W168" s="344">
        <f t="shared" si="482"/>
        <v>0</v>
      </c>
      <c r="X168" s="344">
        <f t="shared" si="482"/>
        <v>0</v>
      </c>
      <c r="Y168" s="344">
        <f t="shared" si="482"/>
        <v>0</v>
      </c>
      <c r="Z168" s="344">
        <f t="shared" si="482"/>
        <v>0</v>
      </c>
      <c r="AA168" s="344">
        <f t="shared" si="482"/>
        <v>0</v>
      </c>
      <c r="AB168" s="344">
        <f t="shared" si="482"/>
        <v>0</v>
      </c>
      <c r="AC168" s="344">
        <f t="shared" si="482"/>
        <v>0</v>
      </c>
      <c r="AD168" s="344">
        <f t="shared" si="482"/>
        <v>0</v>
      </c>
      <c r="AE168" s="344">
        <f t="shared" si="482"/>
        <v>0</v>
      </c>
      <c r="AF168" s="344">
        <f t="shared" si="482"/>
        <v>0</v>
      </c>
      <c r="AG168" s="344">
        <f t="shared" si="482"/>
        <v>0</v>
      </c>
    </row>
    <row r="169" spans="1:33" s="632" customFormat="1" ht="16.5" customHeight="1" outlineLevel="1">
      <c r="A169" s="420"/>
      <c r="B169" s="420"/>
      <c r="C169" s="421" t="s">
        <v>366</v>
      </c>
      <c r="D169" s="422" t="str">
        <f>Currency_Label</f>
        <v>USD</v>
      </c>
      <c r="E169" s="435"/>
      <c r="F169" s="430"/>
      <c r="G169" s="430"/>
      <c r="H169" s="420"/>
      <c r="I169" s="71">
        <f>SUM(J169:AG169)</f>
        <v>4000</v>
      </c>
      <c r="J169" s="344">
        <f t="shared" ref="J169:AG169" si="483">(J25+J58+J84+J110+J142)*J6</f>
        <v>0</v>
      </c>
      <c r="K169" s="344">
        <f t="shared" si="483"/>
        <v>0</v>
      </c>
      <c r="L169" s="344">
        <f t="shared" si="483"/>
        <v>0</v>
      </c>
      <c r="M169" s="344">
        <f t="shared" si="483"/>
        <v>0</v>
      </c>
      <c r="N169" s="344">
        <f t="shared" si="483"/>
        <v>0</v>
      </c>
      <c r="O169" s="344">
        <f t="shared" si="483"/>
        <v>0</v>
      </c>
      <c r="P169" s="344">
        <f t="shared" si="483"/>
        <v>250</v>
      </c>
      <c r="Q169" s="344">
        <f t="shared" si="483"/>
        <v>250</v>
      </c>
      <c r="R169" s="344">
        <f t="shared" si="483"/>
        <v>250</v>
      </c>
      <c r="S169" s="344">
        <f t="shared" si="483"/>
        <v>250</v>
      </c>
      <c r="T169" s="344">
        <f t="shared" si="483"/>
        <v>250</v>
      </c>
      <c r="U169" s="344">
        <f t="shared" si="483"/>
        <v>250</v>
      </c>
      <c r="V169" s="344">
        <f t="shared" si="483"/>
        <v>250</v>
      </c>
      <c r="W169" s="344">
        <f t="shared" si="483"/>
        <v>250</v>
      </c>
      <c r="X169" s="344">
        <f t="shared" si="483"/>
        <v>250</v>
      </c>
      <c r="Y169" s="344">
        <f t="shared" si="483"/>
        <v>250</v>
      </c>
      <c r="Z169" s="344">
        <f t="shared" si="483"/>
        <v>250</v>
      </c>
      <c r="AA169" s="344">
        <f t="shared" si="483"/>
        <v>250</v>
      </c>
      <c r="AB169" s="344">
        <f t="shared" si="483"/>
        <v>250</v>
      </c>
      <c r="AC169" s="344">
        <f t="shared" si="483"/>
        <v>250</v>
      </c>
      <c r="AD169" s="344">
        <f t="shared" si="483"/>
        <v>250</v>
      </c>
      <c r="AE169" s="344">
        <f t="shared" si="483"/>
        <v>250</v>
      </c>
      <c r="AF169" s="344">
        <f t="shared" si="483"/>
        <v>0</v>
      </c>
      <c r="AG169" s="344">
        <f t="shared" si="483"/>
        <v>0</v>
      </c>
    </row>
    <row r="170" spans="1:33" s="632" customFormat="1" ht="16.5" customHeight="1" outlineLevel="1">
      <c r="A170" s="420"/>
      <c r="B170" s="420"/>
      <c r="C170" s="421" t="s">
        <v>367</v>
      </c>
      <c r="D170" s="422" t="str">
        <f>Currency_Label</f>
        <v>USD</v>
      </c>
      <c r="E170" s="435"/>
      <c r="F170" s="430"/>
      <c r="G170" s="430"/>
      <c r="H170" s="420"/>
      <c r="I170" s="71">
        <f>SUM(J170:AG170)</f>
        <v>15000</v>
      </c>
      <c r="J170" s="344">
        <f t="shared" ref="J170:AG170" si="484">(J26+J59+J85+J111+J143)*J6</f>
        <v>0</v>
      </c>
      <c r="K170" s="344">
        <f t="shared" si="484"/>
        <v>0</v>
      </c>
      <c r="L170" s="344">
        <f t="shared" si="484"/>
        <v>0</v>
      </c>
      <c r="M170" s="344">
        <f t="shared" si="484"/>
        <v>0</v>
      </c>
      <c r="N170" s="344">
        <f t="shared" si="484"/>
        <v>0</v>
      </c>
      <c r="O170" s="344">
        <f t="shared" si="484"/>
        <v>0</v>
      </c>
      <c r="P170" s="344">
        <f t="shared" si="484"/>
        <v>0</v>
      </c>
      <c r="Q170" s="344">
        <f t="shared" si="484"/>
        <v>1000</v>
      </c>
      <c r="R170" s="344">
        <f t="shared" si="484"/>
        <v>1000</v>
      </c>
      <c r="S170" s="344">
        <f t="shared" si="484"/>
        <v>1000</v>
      </c>
      <c r="T170" s="344">
        <f t="shared" si="484"/>
        <v>1000</v>
      </c>
      <c r="U170" s="344">
        <f t="shared" si="484"/>
        <v>1000</v>
      </c>
      <c r="V170" s="344">
        <f t="shared" si="484"/>
        <v>1000</v>
      </c>
      <c r="W170" s="344">
        <f t="shared" si="484"/>
        <v>1000</v>
      </c>
      <c r="X170" s="344">
        <f t="shared" si="484"/>
        <v>1000</v>
      </c>
      <c r="Y170" s="344">
        <f t="shared" si="484"/>
        <v>1000</v>
      </c>
      <c r="Z170" s="344">
        <f t="shared" si="484"/>
        <v>1000</v>
      </c>
      <c r="AA170" s="344">
        <f t="shared" si="484"/>
        <v>1000</v>
      </c>
      <c r="AB170" s="344">
        <f t="shared" si="484"/>
        <v>1000</v>
      </c>
      <c r="AC170" s="344">
        <f t="shared" si="484"/>
        <v>1000</v>
      </c>
      <c r="AD170" s="344">
        <f t="shared" si="484"/>
        <v>1000</v>
      </c>
      <c r="AE170" s="344">
        <f t="shared" si="484"/>
        <v>1000</v>
      </c>
      <c r="AF170" s="344">
        <f t="shared" si="484"/>
        <v>0</v>
      </c>
      <c r="AG170" s="344">
        <f t="shared" si="484"/>
        <v>0</v>
      </c>
    </row>
    <row r="171" spans="1:33" s="632" customFormat="1" ht="16.5" customHeight="1" outlineLevel="1">
      <c r="A171" s="420"/>
      <c r="B171" s="420"/>
      <c r="C171" s="706" t="s">
        <v>400</v>
      </c>
      <c r="D171" s="330"/>
      <c r="E171" s="282"/>
      <c r="F171" s="282"/>
      <c r="G171" s="282"/>
      <c r="H171" s="282"/>
      <c r="I171" s="282"/>
      <c r="J171" s="282"/>
      <c r="K171" s="431"/>
      <c r="L171" s="431"/>
      <c r="M171" s="431"/>
      <c r="N171" s="431"/>
      <c r="O171" s="431"/>
      <c r="P171" s="431"/>
      <c r="Q171" s="431"/>
      <c r="R171" s="431"/>
      <c r="S171" s="431"/>
      <c r="T171" s="431"/>
      <c r="U171" s="431"/>
      <c r="V171" s="431"/>
      <c r="W171" s="431"/>
      <c r="X171" s="431"/>
      <c r="Y171" s="431"/>
      <c r="Z171" s="431"/>
      <c r="AA171" s="431"/>
      <c r="AB171" s="431"/>
      <c r="AC171" s="431"/>
      <c r="AD171" s="431"/>
      <c r="AE171" s="431"/>
      <c r="AF171" s="431"/>
      <c r="AG171" s="431"/>
    </row>
    <row r="172" spans="1:33" s="680" customFormat="1" ht="16.5" customHeight="1" outlineLevel="1">
      <c r="A172" s="420"/>
      <c r="B172" s="420"/>
      <c r="C172" s="680" t="s">
        <v>140</v>
      </c>
      <c r="D172" s="8" t="str">
        <f>Currency_Label</f>
        <v>USD</v>
      </c>
      <c r="E172" s="282"/>
      <c r="F172" s="282"/>
      <c r="G172" s="282"/>
      <c r="H172" s="282"/>
      <c r="I172" s="282"/>
      <c r="J172" s="695">
        <f t="shared" ref="J172:AG172" si="485">I175*J6</f>
        <v>0</v>
      </c>
      <c r="K172" s="695">
        <f t="shared" si="485"/>
        <v>0</v>
      </c>
      <c r="L172" s="695">
        <f t="shared" si="485"/>
        <v>0</v>
      </c>
      <c r="M172" s="695">
        <f t="shared" si="485"/>
        <v>0</v>
      </c>
      <c r="N172" s="695">
        <f t="shared" si="485"/>
        <v>0</v>
      </c>
      <c r="O172" s="695">
        <f t="shared" si="485"/>
        <v>0</v>
      </c>
      <c r="P172" s="695">
        <f t="shared" si="485"/>
        <v>0</v>
      </c>
      <c r="Q172" s="695">
        <f t="shared" si="485"/>
        <v>20000</v>
      </c>
      <c r="R172" s="695">
        <f t="shared" si="485"/>
        <v>19000</v>
      </c>
      <c r="S172" s="695">
        <f t="shared" si="485"/>
        <v>18000</v>
      </c>
      <c r="T172" s="695">
        <f t="shared" si="485"/>
        <v>17000</v>
      </c>
      <c r="U172" s="695">
        <f t="shared" si="485"/>
        <v>16000</v>
      </c>
      <c r="V172" s="695">
        <f t="shared" si="485"/>
        <v>15000</v>
      </c>
      <c r="W172" s="695">
        <f t="shared" si="485"/>
        <v>14000</v>
      </c>
      <c r="X172" s="695">
        <f t="shared" si="485"/>
        <v>13000</v>
      </c>
      <c r="Y172" s="695">
        <f t="shared" si="485"/>
        <v>12000</v>
      </c>
      <c r="Z172" s="695">
        <f t="shared" si="485"/>
        <v>11000</v>
      </c>
      <c r="AA172" s="695">
        <f t="shared" si="485"/>
        <v>10000</v>
      </c>
      <c r="AB172" s="695">
        <f t="shared" si="485"/>
        <v>9000</v>
      </c>
      <c r="AC172" s="695">
        <f t="shared" si="485"/>
        <v>8000</v>
      </c>
      <c r="AD172" s="695">
        <f t="shared" si="485"/>
        <v>7000</v>
      </c>
      <c r="AE172" s="695">
        <f t="shared" si="485"/>
        <v>6000</v>
      </c>
      <c r="AF172" s="695">
        <f t="shared" si="485"/>
        <v>0</v>
      </c>
      <c r="AG172" s="695">
        <f t="shared" si="485"/>
        <v>0</v>
      </c>
    </row>
    <row r="173" spans="1:33" s="680" customFormat="1" ht="16.5" customHeight="1" outlineLevel="1">
      <c r="A173" s="420"/>
      <c r="B173" s="420"/>
      <c r="C173" s="40" t="s">
        <v>401</v>
      </c>
      <c r="D173" s="8" t="str">
        <f>Currency_Label</f>
        <v>USD</v>
      </c>
      <c r="E173" s="282"/>
      <c r="F173" s="282"/>
      <c r="G173" s="282"/>
      <c r="H173" s="282"/>
      <c r="I173" s="71">
        <f>SUM(J173:AG173)</f>
        <v>20000</v>
      </c>
      <c r="J173" s="697">
        <f>J168</f>
        <v>0</v>
      </c>
      <c r="K173" s="697">
        <f t="shared" ref="K173:AG173" si="486">K168</f>
        <v>0</v>
      </c>
      <c r="L173" s="697">
        <f t="shared" si="486"/>
        <v>0</v>
      </c>
      <c r="M173" s="697">
        <f t="shared" si="486"/>
        <v>0</v>
      </c>
      <c r="N173" s="697">
        <f t="shared" si="486"/>
        <v>0</v>
      </c>
      <c r="O173" s="697">
        <f t="shared" si="486"/>
        <v>0</v>
      </c>
      <c r="P173" s="697">
        <f t="shared" si="486"/>
        <v>20000</v>
      </c>
      <c r="Q173" s="697">
        <f t="shared" si="486"/>
        <v>0</v>
      </c>
      <c r="R173" s="697">
        <f t="shared" si="486"/>
        <v>0</v>
      </c>
      <c r="S173" s="697">
        <f t="shared" si="486"/>
        <v>0</v>
      </c>
      <c r="T173" s="697">
        <f t="shared" si="486"/>
        <v>0</v>
      </c>
      <c r="U173" s="697">
        <f t="shared" si="486"/>
        <v>0</v>
      </c>
      <c r="V173" s="697">
        <f t="shared" si="486"/>
        <v>0</v>
      </c>
      <c r="W173" s="697">
        <f t="shared" si="486"/>
        <v>0</v>
      </c>
      <c r="X173" s="697">
        <f t="shared" si="486"/>
        <v>0</v>
      </c>
      <c r="Y173" s="697">
        <f t="shared" si="486"/>
        <v>0</v>
      </c>
      <c r="Z173" s="697">
        <f t="shared" si="486"/>
        <v>0</v>
      </c>
      <c r="AA173" s="697">
        <f t="shared" si="486"/>
        <v>0</v>
      </c>
      <c r="AB173" s="697">
        <f t="shared" si="486"/>
        <v>0</v>
      </c>
      <c r="AC173" s="697">
        <f t="shared" si="486"/>
        <v>0</v>
      </c>
      <c r="AD173" s="697">
        <f t="shared" si="486"/>
        <v>0</v>
      </c>
      <c r="AE173" s="697">
        <f t="shared" si="486"/>
        <v>0</v>
      </c>
      <c r="AF173" s="697">
        <f t="shared" si="486"/>
        <v>0</v>
      </c>
      <c r="AG173" s="697">
        <f t="shared" si="486"/>
        <v>0</v>
      </c>
    </row>
    <row r="174" spans="1:33" s="680" customFormat="1" ht="16.5" customHeight="1" outlineLevel="1">
      <c r="A174" s="420"/>
      <c r="B174" s="420"/>
      <c r="C174" s="40" t="s">
        <v>402</v>
      </c>
      <c r="D174" s="8" t="str">
        <f>Currency_Label</f>
        <v>USD</v>
      </c>
      <c r="E174" s="282"/>
      <c r="F174" s="282"/>
      <c r="G174" s="282"/>
      <c r="H174" s="282"/>
      <c r="I174" s="71">
        <f>SUM(J174:AG174)</f>
        <v>-15000</v>
      </c>
      <c r="J174" s="695">
        <f>-J170</f>
        <v>0</v>
      </c>
      <c r="K174" s="695">
        <f t="shared" ref="K174:AG174" si="487">-K170</f>
        <v>0</v>
      </c>
      <c r="L174" s="695">
        <f t="shared" si="487"/>
        <v>0</v>
      </c>
      <c r="M174" s="695">
        <f t="shared" si="487"/>
        <v>0</v>
      </c>
      <c r="N174" s="695">
        <f t="shared" si="487"/>
        <v>0</v>
      </c>
      <c r="O174" s="695">
        <f t="shared" si="487"/>
        <v>0</v>
      </c>
      <c r="P174" s="695">
        <f t="shared" si="487"/>
        <v>0</v>
      </c>
      <c r="Q174" s="695">
        <f t="shared" si="487"/>
        <v>-1000</v>
      </c>
      <c r="R174" s="695">
        <f t="shared" si="487"/>
        <v>-1000</v>
      </c>
      <c r="S174" s="695">
        <f t="shared" si="487"/>
        <v>-1000</v>
      </c>
      <c r="T174" s="695">
        <f t="shared" si="487"/>
        <v>-1000</v>
      </c>
      <c r="U174" s="695">
        <f t="shared" si="487"/>
        <v>-1000</v>
      </c>
      <c r="V174" s="695">
        <f t="shared" si="487"/>
        <v>-1000</v>
      </c>
      <c r="W174" s="695">
        <f t="shared" si="487"/>
        <v>-1000</v>
      </c>
      <c r="X174" s="695">
        <f t="shared" si="487"/>
        <v>-1000</v>
      </c>
      <c r="Y174" s="695">
        <f t="shared" si="487"/>
        <v>-1000</v>
      </c>
      <c r="Z174" s="695">
        <f t="shared" si="487"/>
        <v>-1000</v>
      </c>
      <c r="AA174" s="695">
        <f t="shared" si="487"/>
        <v>-1000</v>
      </c>
      <c r="AB174" s="695">
        <f t="shared" si="487"/>
        <v>-1000</v>
      </c>
      <c r="AC174" s="695">
        <f t="shared" si="487"/>
        <v>-1000</v>
      </c>
      <c r="AD174" s="695">
        <f t="shared" si="487"/>
        <v>-1000</v>
      </c>
      <c r="AE174" s="695">
        <f t="shared" si="487"/>
        <v>-1000</v>
      </c>
      <c r="AF174" s="695">
        <f t="shared" si="487"/>
        <v>0</v>
      </c>
      <c r="AG174" s="695">
        <f t="shared" si="487"/>
        <v>0</v>
      </c>
    </row>
    <row r="175" spans="1:33" s="680" customFormat="1" ht="16.5" customHeight="1" outlineLevel="1" thickBot="1">
      <c r="A175" s="420"/>
      <c r="B175" s="420"/>
      <c r="C175" s="680" t="s">
        <v>141</v>
      </c>
      <c r="D175" s="8" t="str">
        <f>Currency_Label</f>
        <v>USD</v>
      </c>
      <c r="E175" s="282"/>
      <c r="F175" s="282"/>
      <c r="G175" s="282"/>
      <c r="H175" s="282"/>
      <c r="I175" s="122"/>
      <c r="J175" s="509">
        <f>SUM(J172:J174)</f>
        <v>0</v>
      </c>
      <c r="K175" s="509">
        <f t="shared" ref="K175:AG175" si="488">SUM(K172:K174)</f>
        <v>0</v>
      </c>
      <c r="L175" s="509">
        <f t="shared" si="488"/>
        <v>0</v>
      </c>
      <c r="M175" s="509">
        <f t="shared" si="488"/>
        <v>0</v>
      </c>
      <c r="N175" s="509">
        <f t="shared" si="488"/>
        <v>0</v>
      </c>
      <c r="O175" s="509">
        <f t="shared" si="488"/>
        <v>0</v>
      </c>
      <c r="P175" s="509">
        <f t="shared" si="488"/>
        <v>20000</v>
      </c>
      <c r="Q175" s="509">
        <f t="shared" si="488"/>
        <v>19000</v>
      </c>
      <c r="R175" s="509">
        <f t="shared" si="488"/>
        <v>18000</v>
      </c>
      <c r="S175" s="509">
        <f t="shared" si="488"/>
        <v>17000</v>
      </c>
      <c r="T175" s="509">
        <f t="shared" si="488"/>
        <v>16000</v>
      </c>
      <c r="U175" s="509">
        <f t="shared" si="488"/>
        <v>15000</v>
      </c>
      <c r="V175" s="509">
        <f t="shared" si="488"/>
        <v>14000</v>
      </c>
      <c r="W175" s="509">
        <f t="shared" si="488"/>
        <v>13000</v>
      </c>
      <c r="X175" s="509">
        <f t="shared" si="488"/>
        <v>12000</v>
      </c>
      <c r="Y175" s="509">
        <f t="shared" si="488"/>
        <v>11000</v>
      </c>
      <c r="Z175" s="509">
        <f t="shared" si="488"/>
        <v>10000</v>
      </c>
      <c r="AA175" s="509">
        <f t="shared" si="488"/>
        <v>9000</v>
      </c>
      <c r="AB175" s="509">
        <f t="shared" si="488"/>
        <v>8000</v>
      </c>
      <c r="AC175" s="509">
        <f t="shared" si="488"/>
        <v>7000</v>
      </c>
      <c r="AD175" s="509">
        <f t="shared" si="488"/>
        <v>6000</v>
      </c>
      <c r="AE175" s="509">
        <f t="shared" si="488"/>
        <v>5000</v>
      </c>
      <c r="AF175" s="509">
        <f t="shared" si="488"/>
        <v>0</v>
      </c>
      <c r="AG175" s="509">
        <f t="shared" si="488"/>
        <v>0</v>
      </c>
    </row>
    <row r="176" spans="1:33" s="680" customFormat="1" ht="16.5" customHeight="1" outlineLevel="1" thickTop="1">
      <c r="A176" s="420"/>
      <c r="B176" s="420"/>
      <c r="C176" s="706" t="str">
        <f>CHOOSE(language,"Sale of non-current (fixed) assets","Disposal of non-current (fixed) assets")</f>
        <v>Disposal of non-current (fixed) assets</v>
      </c>
      <c r="D176" s="428"/>
      <c r="E176" s="435"/>
      <c r="F176" s="430"/>
      <c r="G176" s="430"/>
      <c r="H176" s="420"/>
      <c r="I176" s="420"/>
      <c r="J176" s="431"/>
      <c r="K176" s="431"/>
      <c r="L176" s="431"/>
      <c r="M176" s="431"/>
      <c r="N176" s="431"/>
      <c r="O176" s="431"/>
      <c r="P176" s="431"/>
      <c r="Q176" s="431"/>
      <c r="R176" s="431"/>
      <c r="S176" s="431"/>
      <c r="T176" s="431"/>
      <c r="U176" s="431"/>
      <c r="V176" s="431"/>
      <c r="W176" s="431"/>
      <c r="X176" s="431"/>
      <c r="Y176" s="431"/>
      <c r="Z176" s="431"/>
      <c r="AA176" s="431"/>
      <c r="AB176" s="431"/>
      <c r="AC176" s="431"/>
      <c r="AD176" s="431"/>
      <c r="AE176" s="431"/>
      <c r="AF176" s="431"/>
      <c r="AG176" s="431"/>
    </row>
    <row r="177" spans="1:33" s="632" customFormat="1" ht="16.5" customHeight="1" outlineLevel="1">
      <c r="A177" s="420"/>
      <c r="B177" s="420"/>
      <c r="C177" s="421" t="s">
        <v>368</v>
      </c>
      <c r="D177" s="422" t="str">
        <f>Currency_Label</f>
        <v>USD</v>
      </c>
      <c r="E177" s="435"/>
      <c r="F177" s="430"/>
      <c r="G177" s="430"/>
      <c r="H177" s="420"/>
      <c r="I177" s="71">
        <f>SUM(J177:AG177)</f>
        <v>7500</v>
      </c>
      <c r="J177" s="344">
        <f t="shared" ref="J177:AG177" si="489">(J28+J61+J87+J113+J145)*J6</f>
        <v>0</v>
      </c>
      <c r="K177" s="344">
        <f t="shared" si="489"/>
        <v>0</v>
      </c>
      <c r="L177" s="344">
        <f t="shared" si="489"/>
        <v>0</v>
      </c>
      <c r="M177" s="344">
        <f t="shared" si="489"/>
        <v>0</v>
      </c>
      <c r="N177" s="344">
        <f t="shared" si="489"/>
        <v>0</v>
      </c>
      <c r="O177" s="344">
        <f t="shared" si="489"/>
        <v>0</v>
      </c>
      <c r="P177" s="344">
        <f t="shared" si="489"/>
        <v>0</v>
      </c>
      <c r="Q177" s="344">
        <f t="shared" si="489"/>
        <v>0</v>
      </c>
      <c r="R177" s="344">
        <f t="shared" si="489"/>
        <v>0</v>
      </c>
      <c r="S177" s="344">
        <f t="shared" si="489"/>
        <v>0</v>
      </c>
      <c r="T177" s="344">
        <f t="shared" si="489"/>
        <v>0</v>
      </c>
      <c r="U177" s="344">
        <f t="shared" si="489"/>
        <v>0</v>
      </c>
      <c r="V177" s="344">
        <f t="shared" ref="V177:Y177" si="490">(V28+V61+V87+V113+V145)*V6</f>
        <v>0</v>
      </c>
      <c r="W177" s="344">
        <f t="shared" si="490"/>
        <v>0</v>
      </c>
      <c r="X177" s="344">
        <f t="shared" si="490"/>
        <v>0</v>
      </c>
      <c r="Y177" s="344">
        <f t="shared" si="490"/>
        <v>0</v>
      </c>
      <c r="Z177" s="344">
        <f t="shared" si="489"/>
        <v>7500</v>
      </c>
      <c r="AA177" s="344">
        <f t="shared" si="489"/>
        <v>0</v>
      </c>
      <c r="AB177" s="344">
        <f t="shared" si="489"/>
        <v>0</v>
      </c>
      <c r="AC177" s="344">
        <f t="shared" si="489"/>
        <v>0</v>
      </c>
      <c r="AD177" s="344">
        <f t="shared" si="489"/>
        <v>0</v>
      </c>
      <c r="AE177" s="344">
        <f t="shared" si="489"/>
        <v>0</v>
      </c>
      <c r="AF177" s="344">
        <f t="shared" si="489"/>
        <v>0</v>
      </c>
      <c r="AG177" s="344">
        <f t="shared" si="489"/>
        <v>0</v>
      </c>
    </row>
    <row r="178" spans="1:33" s="632" customFormat="1" ht="16.5" customHeight="1" outlineLevel="1">
      <c r="A178" s="420"/>
      <c r="B178" s="420"/>
      <c r="C178" s="421" t="s">
        <v>369</v>
      </c>
      <c r="D178" s="422" t="str">
        <f>Currency_Label</f>
        <v>USD</v>
      </c>
      <c r="E178" s="435"/>
      <c r="F178" s="430"/>
      <c r="G178" s="430"/>
      <c r="H178" s="420"/>
      <c r="I178" s="71">
        <f>SUM(J178:AG178)</f>
        <v>5000</v>
      </c>
      <c r="J178" s="344">
        <f t="shared" ref="J178:AG178" si="491">(J29+J62+J88+J114+J146)*J6</f>
        <v>0</v>
      </c>
      <c r="K178" s="344">
        <f t="shared" si="491"/>
        <v>0</v>
      </c>
      <c r="L178" s="344">
        <f t="shared" si="491"/>
        <v>0</v>
      </c>
      <c r="M178" s="344">
        <f t="shared" si="491"/>
        <v>0</v>
      </c>
      <c r="N178" s="344">
        <f t="shared" si="491"/>
        <v>0</v>
      </c>
      <c r="O178" s="344">
        <f t="shared" si="491"/>
        <v>0</v>
      </c>
      <c r="P178" s="344">
        <f t="shared" si="491"/>
        <v>0</v>
      </c>
      <c r="Q178" s="344">
        <f t="shared" si="491"/>
        <v>0</v>
      </c>
      <c r="R178" s="344">
        <f t="shared" si="491"/>
        <v>0</v>
      </c>
      <c r="S178" s="344">
        <f t="shared" si="491"/>
        <v>0</v>
      </c>
      <c r="T178" s="344">
        <f t="shared" si="491"/>
        <v>0</v>
      </c>
      <c r="U178" s="344">
        <f t="shared" si="491"/>
        <v>0</v>
      </c>
      <c r="V178" s="344">
        <f t="shared" ref="V178:Y178" si="492">(V29+V62+V88+V114+V146)*V6</f>
        <v>0</v>
      </c>
      <c r="W178" s="344">
        <f t="shared" si="492"/>
        <v>0</v>
      </c>
      <c r="X178" s="344">
        <f t="shared" si="492"/>
        <v>0</v>
      </c>
      <c r="Y178" s="344">
        <f t="shared" si="492"/>
        <v>0</v>
      </c>
      <c r="Z178" s="344">
        <f t="shared" si="491"/>
        <v>5000</v>
      </c>
      <c r="AA178" s="344">
        <f t="shared" si="491"/>
        <v>0</v>
      </c>
      <c r="AB178" s="344">
        <f t="shared" si="491"/>
        <v>0</v>
      </c>
      <c r="AC178" s="344">
        <f t="shared" si="491"/>
        <v>0</v>
      </c>
      <c r="AD178" s="344">
        <f t="shared" si="491"/>
        <v>0</v>
      </c>
      <c r="AE178" s="344">
        <f t="shared" si="491"/>
        <v>0</v>
      </c>
      <c r="AF178" s="344">
        <f t="shared" si="491"/>
        <v>0</v>
      </c>
      <c r="AG178" s="344">
        <f t="shared" si="491"/>
        <v>0</v>
      </c>
    </row>
    <row r="179" spans="1:33" s="632" customFormat="1" ht="16.5" customHeight="1" outlineLevel="1">
      <c r="A179" s="420"/>
      <c r="B179" s="420"/>
      <c r="C179" s="421" t="s">
        <v>391</v>
      </c>
      <c r="D179" s="422" t="str">
        <f>Currency_Label</f>
        <v>USD</v>
      </c>
      <c r="E179" s="435"/>
      <c r="F179" s="430"/>
      <c r="G179" s="430"/>
      <c r="H179" s="420"/>
      <c r="I179" s="71">
        <f>SUM(J179:AG179)</f>
        <v>2000</v>
      </c>
      <c r="J179" s="344">
        <f t="shared" ref="J179:AG179" si="493">(J30+J63+J89+J115+J147)*J6</f>
        <v>0</v>
      </c>
      <c r="K179" s="344">
        <f t="shared" si="493"/>
        <v>0</v>
      </c>
      <c r="L179" s="344">
        <f t="shared" si="493"/>
        <v>0</v>
      </c>
      <c r="M179" s="344">
        <f t="shared" si="493"/>
        <v>0</v>
      </c>
      <c r="N179" s="344">
        <f t="shared" si="493"/>
        <v>0</v>
      </c>
      <c r="O179" s="344">
        <f t="shared" si="493"/>
        <v>0</v>
      </c>
      <c r="P179" s="344">
        <f t="shared" si="493"/>
        <v>0</v>
      </c>
      <c r="Q179" s="344">
        <f t="shared" si="493"/>
        <v>0</v>
      </c>
      <c r="R179" s="344">
        <f t="shared" si="493"/>
        <v>0</v>
      </c>
      <c r="S179" s="344">
        <f t="shared" si="493"/>
        <v>0</v>
      </c>
      <c r="T179" s="344">
        <f t="shared" si="493"/>
        <v>0</v>
      </c>
      <c r="U179" s="344">
        <f t="shared" si="493"/>
        <v>0</v>
      </c>
      <c r="V179" s="344">
        <f t="shared" ref="V179:Y179" si="494">(V30+V63+V89+V115+V147)*V6</f>
        <v>0</v>
      </c>
      <c r="W179" s="344">
        <f t="shared" si="494"/>
        <v>0</v>
      </c>
      <c r="X179" s="344">
        <f t="shared" si="494"/>
        <v>0</v>
      </c>
      <c r="Y179" s="344">
        <f t="shared" si="494"/>
        <v>0</v>
      </c>
      <c r="Z179" s="344">
        <f t="shared" si="493"/>
        <v>2000</v>
      </c>
      <c r="AA179" s="344">
        <f t="shared" si="493"/>
        <v>0</v>
      </c>
      <c r="AB179" s="344">
        <f t="shared" si="493"/>
        <v>0</v>
      </c>
      <c r="AC179" s="344">
        <f t="shared" si="493"/>
        <v>0</v>
      </c>
      <c r="AD179" s="344">
        <f t="shared" si="493"/>
        <v>0</v>
      </c>
      <c r="AE179" s="344">
        <f t="shared" si="493"/>
        <v>0</v>
      </c>
      <c r="AF179" s="344">
        <f t="shared" si="493"/>
        <v>0</v>
      </c>
      <c r="AG179" s="344">
        <f t="shared" si="493"/>
        <v>0</v>
      </c>
    </row>
    <row r="180" spans="1:33" s="632" customFormat="1" ht="16.5" customHeight="1" outlineLevel="1">
      <c r="A180" s="420"/>
      <c r="B180" s="420"/>
      <c r="C180" s="421" t="str">
        <f>CHOOSE(language,"Profit/Loss sale of fixed assets","Profit/Loss disposal of fixed assets")</f>
        <v>Profit/Loss disposal of fixed assets</v>
      </c>
      <c r="D180" s="422" t="str">
        <f>Currency_Label</f>
        <v>USD</v>
      </c>
      <c r="E180" s="435"/>
      <c r="F180" s="430"/>
      <c r="G180" s="430"/>
      <c r="H180" s="420"/>
      <c r="I180" s="71">
        <f>SUM(J180:AG180)</f>
        <v>4500</v>
      </c>
      <c r="J180" s="344">
        <f t="shared" ref="J180:AG180" si="495">(J177-J178+J179)*H6</f>
        <v>0</v>
      </c>
      <c r="K180" s="344">
        <f t="shared" si="495"/>
        <v>0</v>
      </c>
      <c r="L180" s="344">
        <f t="shared" si="495"/>
        <v>0</v>
      </c>
      <c r="M180" s="344">
        <f t="shared" si="495"/>
        <v>0</v>
      </c>
      <c r="N180" s="344">
        <f t="shared" si="495"/>
        <v>0</v>
      </c>
      <c r="O180" s="344">
        <f t="shared" si="495"/>
        <v>0</v>
      </c>
      <c r="P180" s="344">
        <f t="shared" si="495"/>
        <v>0</v>
      </c>
      <c r="Q180" s="344">
        <f t="shared" si="495"/>
        <v>0</v>
      </c>
      <c r="R180" s="344">
        <f t="shared" si="495"/>
        <v>0</v>
      </c>
      <c r="S180" s="344">
        <f t="shared" si="495"/>
        <v>0</v>
      </c>
      <c r="T180" s="344">
        <f t="shared" si="495"/>
        <v>0</v>
      </c>
      <c r="U180" s="344">
        <f t="shared" si="495"/>
        <v>0</v>
      </c>
      <c r="V180" s="344">
        <f t="shared" ref="V180" si="496">(V177-V178+V179)*T6</f>
        <v>0</v>
      </c>
      <c r="W180" s="344">
        <f t="shared" ref="W180" si="497">(W177-W178+W179)*U6</f>
        <v>0</v>
      </c>
      <c r="X180" s="344">
        <f t="shared" ref="X180" si="498">(X177-X178+X179)*V6</f>
        <v>0</v>
      </c>
      <c r="Y180" s="344">
        <f t="shared" ref="Y180" si="499">(Y177-Y178+Y179)*W6</f>
        <v>0</v>
      </c>
      <c r="Z180" s="344">
        <f t="shared" si="495"/>
        <v>4500</v>
      </c>
      <c r="AA180" s="344">
        <f t="shared" si="495"/>
        <v>0</v>
      </c>
      <c r="AB180" s="344">
        <f t="shared" si="495"/>
        <v>0</v>
      </c>
      <c r="AC180" s="344">
        <f t="shared" si="495"/>
        <v>0</v>
      </c>
      <c r="AD180" s="344">
        <f t="shared" si="495"/>
        <v>0</v>
      </c>
      <c r="AE180" s="344">
        <f t="shared" si="495"/>
        <v>0</v>
      </c>
      <c r="AF180" s="344">
        <f t="shared" si="495"/>
        <v>0</v>
      </c>
      <c r="AG180" s="344">
        <f t="shared" si="495"/>
        <v>0</v>
      </c>
    </row>
    <row r="181" spans="1:33" s="632" customFormat="1" ht="16.5" customHeight="1" outlineLevel="1">
      <c r="A181" s="420"/>
      <c r="B181" s="420"/>
      <c r="C181" s="706" t="str">
        <f>Name_VAT</f>
        <v>VAT</v>
      </c>
      <c r="D181" s="428"/>
      <c r="E181" s="435"/>
      <c r="F181" s="430"/>
      <c r="G181" s="430"/>
      <c r="H181" s="420"/>
      <c r="I181" s="420"/>
      <c r="J181" s="431"/>
      <c r="K181" s="431"/>
      <c r="L181" s="418"/>
      <c r="M181" s="418"/>
      <c r="N181" s="418"/>
      <c r="O181" s="418"/>
      <c r="P181" s="418"/>
      <c r="Q181" s="418"/>
      <c r="R181" s="418"/>
      <c r="S181" s="418"/>
      <c r="T181" s="418"/>
      <c r="U181" s="418"/>
      <c r="V181" s="418"/>
      <c r="W181" s="418"/>
      <c r="X181" s="418"/>
      <c r="Y181" s="418"/>
      <c r="Z181" s="418"/>
      <c r="AA181" s="418"/>
      <c r="AB181" s="418"/>
      <c r="AC181" s="418"/>
      <c r="AD181" s="418"/>
      <c r="AE181" s="418"/>
      <c r="AF181" s="418"/>
      <c r="AG181" s="418"/>
    </row>
    <row r="182" spans="1:33" s="632" customFormat="1" ht="16.5" customHeight="1" outlineLevel="1">
      <c r="A182" s="420"/>
      <c r="B182" s="420"/>
      <c r="C182" s="421" t="str">
        <f>Name_VAT &amp;" on non-current (fixed) assets"</f>
        <v>VAT on non-current (fixed) assets</v>
      </c>
      <c r="D182" s="422" t="str">
        <f>Currency_Label</f>
        <v>USD</v>
      </c>
      <c r="E182" s="435"/>
      <c r="F182" s="430"/>
      <c r="G182" s="430"/>
      <c r="H182" s="420"/>
      <c r="I182" s="71">
        <f>SUM(J182:AG182)</f>
        <v>33690</v>
      </c>
      <c r="J182" s="344">
        <f t="shared" ref="J182:AG182" si="500">(J32+J65+J91+J117+J149)*J6</f>
        <v>1800</v>
      </c>
      <c r="K182" s="344">
        <f t="shared" si="500"/>
        <v>0</v>
      </c>
      <c r="L182" s="344">
        <f t="shared" si="500"/>
        <v>7200</v>
      </c>
      <c r="M182" s="344">
        <f t="shared" si="500"/>
        <v>0</v>
      </c>
      <c r="N182" s="344">
        <f t="shared" si="500"/>
        <v>0</v>
      </c>
      <c r="O182" s="344">
        <f t="shared" si="500"/>
        <v>0</v>
      </c>
      <c r="P182" s="344">
        <f t="shared" si="500"/>
        <v>3900</v>
      </c>
      <c r="Q182" s="344">
        <f t="shared" si="500"/>
        <v>17790</v>
      </c>
      <c r="R182" s="344">
        <f t="shared" si="500"/>
        <v>0</v>
      </c>
      <c r="S182" s="344">
        <f t="shared" si="500"/>
        <v>0</v>
      </c>
      <c r="T182" s="344">
        <f t="shared" si="500"/>
        <v>0</v>
      </c>
      <c r="U182" s="344">
        <f t="shared" si="500"/>
        <v>0</v>
      </c>
      <c r="V182" s="344">
        <f t="shared" si="500"/>
        <v>3000</v>
      </c>
      <c r="W182" s="344">
        <f t="shared" si="500"/>
        <v>0</v>
      </c>
      <c r="X182" s="344">
        <f t="shared" si="500"/>
        <v>0</v>
      </c>
      <c r="Y182" s="344">
        <f t="shared" si="500"/>
        <v>0</v>
      </c>
      <c r="Z182" s="344">
        <f t="shared" si="500"/>
        <v>0</v>
      </c>
      <c r="AA182" s="344">
        <f t="shared" si="500"/>
        <v>0</v>
      </c>
      <c r="AB182" s="344">
        <f t="shared" si="500"/>
        <v>0</v>
      </c>
      <c r="AC182" s="344">
        <f t="shared" si="500"/>
        <v>0</v>
      </c>
      <c r="AD182" s="344">
        <f t="shared" si="500"/>
        <v>0</v>
      </c>
      <c r="AE182" s="344">
        <f t="shared" si="500"/>
        <v>0</v>
      </c>
      <c r="AF182" s="344">
        <f t="shared" si="500"/>
        <v>0</v>
      </c>
      <c r="AG182" s="344">
        <f t="shared" si="500"/>
        <v>0</v>
      </c>
    </row>
    <row r="183" spans="1:33" s="632" customFormat="1" ht="16.5" customHeight="1" outlineLevel="1">
      <c r="A183" s="420"/>
      <c r="B183" s="420"/>
      <c r="C183" s="434"/>
      <c r="D183" s="428"/>
      <c r="E183" s="435"/>
      <c r="F183" s="430"/>
      <c r="G183" s="430"/>
      <c r="H183" s="420"/>
      <c r="I183" s="420"/>
      <c r="J183" s="431"/>
      <c r="K183" s="431"/>
      <c r="L183" s="418"/>
      <c r="M183" s="418"/>
      <c r="N183" s="418"/>
      <c r="O183" s="418"/>
      <c r="P183" s="418"/>
      <c r="Q183" s="418"/>
      <c r="R183" s="418"/>
      <c r="S183" s="418"/>
      <c r="T183" s="418"/>
      <c r="U183" s="418"/>
      <c r="V183" s="418"/>
      <c r="W183" s="418"/>
      <c r="X183" s="418"/>
      <c r="Y183" s="418"/>
      <c r="Z183" s="418"/>
      <c r="AA183" s="418"/>
      <c r="AB183" s="418"/>
      <c r="AC183" s="418"/>
      <c r="AD183" s="418"/>
      <c r="AE183" s="418"/>
      <c r="AF183" s="418"/>
      <c r="AG183" s="418"/>
    </row>
    <row r="184" spans="1:33" s="799" customFormat="1" ht="16.5" customHeight="1" outlineLevel="1">
      <c r="A184" s="420"/>
      <c r="B184" s="420"/>
      <c r="C184" s="421" t="s">
        <v>556</v>
      </c>
      <c r="D184" s="422" t="s">
        <v>555</v>
      </c>
      <c r="E184" s="435"/>
      <c r="F184" s="430"/>
      <c r="G184" s="430"/>
      <c r="H184" s="668">
        <f>H19+H52+H78+H104+H136</f>
        <v>0</v>
      </c>
      <c r="I184" s="420"/>
      <c r="J184" s="431"/>
      <c r="K184" s="431"/>
      <c r="L184" s="786"/>
      <c r="M184" s="786"/>
      <c r="N184" s="786"/>
      <c r="O184" s="786"/>
      <c r="P184" s="786"/>
      <c r="Q184" s="786"/>
      <c r="R184" s="786"/>
      <c r="S184" s="786"/>
      <c r="T184" s="786"/>
      <c r="U184" s="786"/>
      <c r="V184" s="786"/>
      <c r="W184" s="786"/>
      <c r="X184" s="786"/>
      <c r="Y184" s="786"/>
      <c r="Z184" s="786"/>
      <c r="AA184" s="786"/>
      <c r="AB184" s="786"/>
      <c r="AC184" s="786"/>
      <c r="AD184" s="786"/>
      <c r="AE184" s="786"/>
      <c r="AF184" s="786"/>
      <c r="AG184" s="786"/>
    </row>
    <row r="185" spans="1:33" s="632" customFormat="1" ht="16.5" customHeight="1">
      <c r="A185" s="420"/>
      <c r="B185" s="420"/>
      <c r="C185" s="434"/>
      <c r="D185" s="428"/>
      <c r="E185" s="435"/>
      <c r="F185" s="430"/>
      <c r="G185" s="430"/>
      <c r="H185" s="420"/>
      <c r="I185" s="420"/>
      <c r="J185" s="431"/>
      <c r="K185" s="431"/>
      <c r="L185" s="418"/>
      <c r="M185" s="418"/>
      <c r="N185" s="418"/>
      <c r="O185" s="418"/>
      <c r="P185" s="418"/>
      <c r="Q185" s="418"/>
      <c r="R185" s="418"/>
      <c r="S185" s="418"/>
      <c r="T185" s="418"/>
      <c r="U185" s="418"/>
      <c r="V185" s="418"/>
      <c r="W185" s="418"/>
      <c r="X185" s="418"/>
      <c r="Y185" s="418"/>
      <c r="Z185" s="418"/>
      <c r="AA185" s="418"/>
      <c r="AB185" s="418"/>
      <c r="AC185" s="418"/>
      <c r="AD185" s="418"/>
      <c r="AE185" s="418"/>
      <c r="AF185" s="418"/>
      <c r="AG185" s="418"/>
    </row>
    <row r="186" spans="1:33" s="632" customFormat="1" ht="16.5" customHeight="1">
      <c r="A186" s="420"/>
      <c r="B186" s="420"/>
      <c r="C186" s="434"/>
      <c r="D186" s="428"/>
      <c r="E186" s="435"/>
      <c r="F186" s="430"/>
      <c r="G186" s="430"/>
      <c r="H186" s="420"/>
      <c r="I186" s="420"/>
      <c r="J186" s="431"/>
      <c r="K186" s="431"/>
      <c r="L186" s="418"/>
      <c r="M186" s="418"/>
      <c r="N186" s="418"/>
      <c r="O186" s="418"/>
      <c r="P186" s="418"/>
      <c r="Q186" s="418"/>
      <c r="R186" s="418"/>
      <c r="S186" s="418"/>
      <c r="T186" s="418"/>
      <c r="U186" s="418"/>
      <c r="V186" s="418"/>
      <c r="W186" s="418"/>
      <c r="X186" s="418"/>
      <c r="Y186" s="418"/>
      <c r="Z186" s="418"/>
      <c r="AA186" s="418"/>
      <c r="AB186" s="418"/>
      <c r="AC186" s="418"/>
      <c r="AD186" s="418"/>
      <c r="AE186" s="418"/>
      <c r="AF186" s="418"/>
      <c r="AG186" s="418"/>
    </row>
    <row r="187" spans="1:33" s="632" customFormat="1" ht="22.5" customHeight="1">
      <c r="A187" s="420"/>
      <c r="B187" s="420"/>
      <c r="C187" s="434"/>
      <c r="D187" s="428"/>
      <c r="E187" s="435"/>
      <c r="F187" s="430"/>
      <c r="G187" s="430"/>
      <c r="H187" s="420"/>
      <c r="I187" s="420"/>
      <c r="J187" s="431"/>
      <c r="K187" s="431"/>
      <c r="L187" s="418"/>
      <c r="M187" s="418"/>
      <c r="N187" s="418"/>
      <c r="O187" s="418"/>
      <c r="P187" s="418"/>
      <c r="Q187" s="418"/>
      <c r="R187" s="418"/>
      <c r="S187" s="418"/>
      <c r="T187" s="418"/>
      <c r="U187" s="418"/>
      <c r="V187" s="418"/>
      <c r="W187" s="418"/>
      <c r="X187" s="418"/>
      <c r="Y187" s="418"/>
      <c r="Z187" s="418"/>
      <c r="AA187" s="418"/>
      <c r="AB187" s="418"/>
      <c r="AC187" s="418"/>
      <c r="AD187" s="418"/>
      <c r="AE187" s="418"/>
      <c r="AF187" s="418"/>
      <c r="AG187" s="418"/>
    </row>
    <row r="188" spans="1:33" s="235" customFormat="1" ht="17.25" customHeight="1">
      <c r="A188" s="861"/>
    </row>
    <row r="189" spans="1:33" s="235" customFormat="1" ht="17.25" customHeight="1">
      <c r="A189" s="861"/>
    </row>
    <row r="190" spans="1:33" s="235" customFormat="1" ht="17.25" customHeight="1">
      <c r="A190" s="861"/>
    </row>
    <row r="191" spans="1:33" s="235" customFormat="1" ht="17.25" customHeight="1">
      <c r="A191" s="861"/>
    </row>
    <row r="192" spans="1:33" s="235" customFormat="1" ht="17.25" customHeight="1">
      <c r="A192" s="861"/>
    </row>
    <row r="193" spans="1:33" s="235" customFormat="1" ht="17.25" customHeight="1">
      <c r="A193" s="861"/>
    </row>
    <row r="194" spans="1:33" s="235" customFormat="1" ht="17.25" customHeight="1">
      <c r="A194" s="861"/>
    </row>
    <row r="195" spans="1:33" s="235" customFormat="1" ht="17.25" customHeight="1"/>
    <row r="196" spans="1:33" s="235" customFormat="1" ht="17.25" customHeight="1"/>
    <row r="197" spans="1:33" s="235" customFormat="1" ht="17.25" customHeight="1"/>
    <row r="198" spans="1:33" s="235" customFormat="1" ht="17.25" customHeight="1"/>
    <row r="199" spans="1:33" s="235" customFormat="1" ht="17.2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row>
    <row r="200" spans="1:33" s="235" customFormat="1" ht="17.2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row>
    <row r="201" spans="1:33" ht="17.2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row>
    <row r="202" spans="1:33" ht="17.2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row>
    <row r="203" spans="1:33" ht="17.2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row>
    <row r="204" spans="1:33" ht="17.2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row>
    <row r="205" spans="1:33" ht="17.2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row>
    <row r="206" spans="1:33" ht="17.2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row>
    <row r="207" spans="1:33" ht="17.2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row>
    <row r="208" spans="1:33" ht="17.2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row>
    <row r="209" spans="1:33" ht="17.2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row>
    <row r="210" spans="1:33" ht="17.2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row>
    <row r="211" spans="1:33" ht="17.2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row>
    <row r="212" spans="1:33" ht="17.2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row>
    <row r="213" spans="1:33" ht="17.2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row>
    <row r="214" spans="1:33" ht="17.2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row>
    <row r="215" spans="1:33" ht="17.2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row>
    <row r="216" spans="1:33" ht="17.2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row>
    <row r="217" spans="1:33" ht="17.2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row>
    <row r="218" spans="1:33" ht="17.2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row>
    <row r="219" spans="1:33" ht="17.2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row>
    <row r="220" spans="1:33" ht="17.25" customHeight="1"/>
    <row r="221" spans="1:33" ht="17.25" customHeight="1"/>
    <row r="222" spans="1:33" ht="17.25" customHeight="1"/>
    <row r="223" spans="1:33" ht="17.25" customHeight="1"/>
    <row r="224" spans="1:33" ht="17.25" customHeight="1"/>
    <row r="225" ht="17.25" customHeight="1"/>
    <row r="226" ht="17.25" customHeight="1"/>
    <row r="227" ht="17.25" customHeight="1"/>
    <row r="228" ht="17.25" customHeight="1"/>
    <row r="229" ht="17.25" customHeight="1"/>
    <row r="230" ht="17.25" customHeight="1"/>
    <row r="231" ht="17.25" customHeight="1"/>
    <row r="232" ht="17.25" customHeight="1"/>
    <row r="233" ht="17.25" customHeight="1"/>
    <row r="234" ht="17.25" customHeight="1"/>
    <row r="235" ht="17.25" customHeight="1"/>
    <row r="236" ht="17.25" customHeight="1"/>
    <row r="237" ht="17.25" customHeight="1"/>
    <row r="238" ht="17.25" customHeight="1"/>
    <row r="239" ht="17.25" customHeight="1"/>
    <row r="240" ht="17.25" customHeight="1"/>
    <row r="241" ht="17.25" customHeight="1"/>
    <row r="242" ht="17.25" customHeight="1"/>
    <row r="243" ht="17.25" customHeight="1"/>
    <row r="244" ht="17.25" customHeight="1"/>
  </sheetData>
  <sheetProtection password="F66A" sheet="1"/>
  <conditionalFormatting sqref="D3">
    <cfRule type="cellIs" dxfId="228" priority="151" operator="notEqual">
      <formula>0</formula>
    </cfRule>
  </conditionalFormatting>
  <conditionalFormatting sqref="J73:AG74 J11:AG15 K28:AG30 J22:AG22 J24:AG24 K61:AG63 K25:AG26 J44:AG48 J55:AG55 J57:AG57 K58:AG59 K87:AG89 J81:AG81 J83:AG83 K84:AG85 K128:AG132 K145:AG147 K139:AG139 K141:AG143 M113:AG115 M96:AG100 M107:AG107 M109:AG111 J70:AG70">
    <cfRule type="expression" dxfId="227" priority="140" stopIfTrue="1">
      <formula>J$6=0</formula>
    </cfRule>
  </conditionalFormatting>
  <conditionalFormatting sqref="F19">
    <cfRule type="expression" dxfId="226" priority="138" stopIfTrue="1">
      <formula>E$6=0</formula>
    </cfRule>
  </conditionalFormatting>
  <conditionalFormatting sqref="J29">
    <cfRule type="expression" dxfId="225" priority="95" stopIfTrue="1">
      <formula>J$6=0</formula>
    </cfRule>
  </conditionalFormatting>
  <conditionalFormatting sqref="J30">
    <cfRule type="expression" dxfId="224" priority="93" stopIfTrue="1">
      <formula>J$6=0</formula>
    </cfRule>
  </conditionalFormatting>
  <conditionalFormatting sqref="J28">
    <cfRule type="expression" dxfId="223" priority="97" stopIfTrue="1">
      <formula>J$6=0</formula>
    </cfRule>
  </conditionalFormatting>
  <conditionalFormatting sqref="J25">
    <cfRule type="expression" dxfId="222" priority="101" stopIfTrue="1">
      <formula>J$6=0</formula>
    </cfRule>
  </conditionalFormatting>
  <conditionalFormatting sqref="J26">
    <cfRule type="expression" dxfId="221" priority="99" stopIfTrue="1">
      <formula>J$6=0</formula>
    </cfRule>
  </conditionalFormatting>
  <conditionalFormatting sqref="F52">
    <cfRule type="expression" dxfId="220" priority="90" stopIfTrue="1">
      <formula>E$6=0</formula>
    </cfRule>
  </conditionalFormatting>
  <conditionalFormatting sqref="J58">
    <cfRule type="expression" dxfId="219" priority="85" stopIfTrue="1">
      <formula>J$6=0</formula>
    </cfRule>
  </conditionalFormatting>
  <conditionalFormatting sqref="J59">
    <cfRule type="expression" dxfId="218" priority="83" stopIfTrue="1">
      <formula>J$6=0</formula>
    </cfRule>
  </conditionalFormatting>
  <conditionalFormatting sqref="J61">
    <cfRule type="expression" dxfId="217" priority="81" stopIfTrue="1">
      <formula>J$6=0</formula>
    </cfRule>
  </conditionalFormatting>
  <conditionalFormatting sqref="J62">
    <cfRule type="expression" dxfId="216" priority="79" stopIfTrue="1">
      <formula>J$6=0</formula>
    </cfRule>
  </conditionalFormatting>
  <conditionalFormatting sqref="J63">
    <cfRule type="expression" dxfId="215" priority="77" stopIfTrue="1">
      <formula>J$6=0</formula>
    </cfRule>
  </conditionalFormatting>
  <conditionalFormatting sqref="J72:AG72 J71:P71 S71:AG71">
    <cfRule type="expression" dxfId="214" priority="75" stopIfTrue="1">
      <formula>J$6=0</formula>
    </cfRule>
  </conditionalFormatting>
  <conditionalFormatting sqref="F78">
    <cfRule type="expression" dxfId="213" priority="74" stopIfTrue="1">
      <formula>E$6=0</formula>
    </cfRule>
  </conditionalFormatting>
  <conditionalFormatting sqref="H78">
    <cfRule type="cellIs" dxfId="212" priority="72" operator="notEqual">
      <formula>0</formula>
    </cfRule>
  </conditionalFormatting>
  <conditionalFormatting sqref="J84">
    <cfRule type="expression" dxfId="211" priority="69" stopIfTrue="1">
      <formula>J$6=0</formula>
    </cfRule>
  </conditionalFormatting>
  <conditionalFormatting sqref="J85">
    <cfRule type="expression" dxfId="210" priority="67" stopIfTrue="1">
      <formula>J$6=0</formula>
    </cfRule>
  </conditionalFormatting>
  <conditionalFormatting sqref="J87">
    <cfRule type="expression" dxfId="209" priority="65" stopIfTrue="1">
      <formula>J$6=0</formula>
    </cfRule>
  </conditionalFormatting>
  <conditionalFormatting sqref="J88">
    <cfRule type="expression" dxfId="208" priority="63" stopIfTrue="1">
      <formula>J$6=0</formula>
    </cfRule>
  </conditionalFormatting>
  <conditionalFormatting sqref="J89">
    <cfRule type="expression" dxfId="207" priority="61" stopIfTrue="1">
      <formula>J$6=0</formula>
    </cfRule>
  </conditionalFormatting>
  <conditionalFormatting sqref="K114:L114">
    <cfRule type="expression" dxfId="206" priority="46" stopIfTrue="1">
      <formula>K$6=0</formula>
    </cfRule>
  </conditionalFormatting>
  <conditionalFormatting sqref="J97:L100">
    <cfRule type="expression" dxfId="205" priority="59" stopIfTrue="1">
      <formula>J$6=0</formula>
    </cfRule>
  </conditionalFormatting>
  <conditionalFormatting sqref="F104">
    <cfRule type="expression" dxfId="204" priority="58" stopIfTrue="1">
      <formula>E$6=0</formula>
    </cfRule>
  </conditionalFormatting>
  <conditionalFormatting sqref="J96:L96">
    <cfRule type="expression" dxfId="203" priority="57" stopIfTrue="1">
      <formula>J$6=0</formula>
    </cfRule>
  </conditionalFormatting>
  <conditionalFormatting sqref="J107:L107">
    <cfRule type="expression" dxfId="202" priority="55" stopIfTrue="1">
      <formula>J$6=0</formula>
    </cfRule>
  </conditionalFormatting>
  <conditionalFormatting sqref="J109:L109">
    <cfRule type="expression" dxfId="201" priority="54" stopIfTrue="1">
      <formula>J$6=0</formula>
    </cfRule>
  </conditionalFormatting>
  <conditionalFormatting sqref="J110">
    <cfRule type="expression" dxfId="200" priority="53" stopIfTrue="1">
      <formula>J$6=0</formula>
    </cfRule>
  </conditionalFormatting>
  <conditionalFormatting sqref="K110:L110">
    <cfRule type="expression" dxfId="199" priority="52" stopIfTrue="1">
      <formula>K$6=0</formula>
    </cfRule>
  </conditionalFormatting>
  <conditionalFormatting sqref="J111">
    <cfRule type="expression" dxfId="198" priority="51" stopIfTrue="1">
      <formula>J$6=0</formula>
    </cfRule>
  </conditionalFormatting>
  <conditionalFormatting sqref="K111:L111">
    <cfRule type="expression" dxfId="197" priority="50" stopIfTrue="1">
      <formula>K$6=0</formula>
    </cfRule>
  </conditionalFormatting>
  <conditionalFormatting sqref="J113">
    <cfRule type="expression" dxfId="196" priority="49" stopIfTrue="1">
      <formula>J$6=0</formula>
    </cfRule>
  </conditionalFormatting>
  <conditionalFormatting sqref="K113:L113">
    <cfRule type="expression" dxfId="195" priority="48" stopIfTrue="1">
      <formula>K$6=0</formula>
    </cfRule>
  </conditionalFormatting>
  <conditionalFormatting sqref="J114">
    <cfRule type="expression" dxfId="194" priority="47" stopIfTrue="1">
      <formula>J$6=0</formula>
    </cfRule>
  </conditionalFormatting>
  <conditionalFormatting sqref="J115">
    <cfRule type="expression" dxfId="193" priority="45" stopIfTrue="1">
      <formula>J$6=0</formula>
    </cfRule>
  </conditionalFormatting>
  <conditionalFormatting sqref="K115:L115">
    <cfRule type="expression" dxfId="192" priority="44" stopIfTrue="1">
      <formula>K$6=0</formula>
    </cfRule>
  </conditionalFormatting>
  <conditionalFormatting sqref="J129:J132">
    <cfRule type="expression" dxfId="191" priority="43" stopIfTrue="1">
      <formula>J$6=0</formula>
    </cfRule>
  </conditionalFormatting>
  <conditionalFormatting sqref="F136">
    <cfRule type="expression" dxfId="190" priority="42" stopIfTrue="1">
      <formula>E$6=0</formula>
    </cfRule>
  </conditionalFormatting>
  <conditionalFormatting sqref="J146">
    <cfRule type="expression" dxfId="189" priority="34" stopIfTrue="1">
      <formula>J$6=0</formula>
    </cfRule>
  </conditionalFormatting>
  <conditionalFormatting sqref="J147">
    <cfRule type="expression" dxfId="188" priority="33" stopIfTrue="1">
      <formula>J$6=0</formula>
    </cfRule>
  </conditionalFormatting>
  <conditionalFormatting sqref="J145">
    <cfRule type="expression" dxfId="187" priority="35" stopIfTrue="1">
      <formula>J$6=0</formula>
    </cfRule>
  </conditionalFormatting>
  <conditionalFormatting sqref="J128">
    <cfRule type="expression" dxfId="186" priority="41" stopIfTrue="1">
      <formula>J$6=0</formula>
    </cfRule>
  </conditionalFormatting>
  <conditionalFormatting sqref="J139">
    <cfRule type="expression" dxfId="185" priority="39" stopIfTrue="1">
      <formula>J$6=0</formula>
    </cfRule>
  </conditionalFormatting>
  <conditionalFormatting sqref="J141">
    <cfRule type="expression" dxfId="184" priority="38" stopIfTrue="1">
      <formula>J$6=0</formula>
    </cfRule>
  </conditionalFormatting>
  <conditionalFormatting sqref="J142">
    <cfRule type="expression" dxfId="183" priority="37" stopIfTrue="1">
      <formula>J$6=0</formula>
    </cfRule>
  </conditionalFormatting>
  <conditionalFormatting sqref="J143">
    <cfRule type="expression" dxfId="182" priority="36" stopIfTrue="1">
      <formula>J$6=0</formula>
    </cfRule>
  </conditionalFormatting>
  <conditionalFormatting sqref="H184">
    <cfRule type="cellIs" dxfId="181" priority="14" operator="notEqual">
      <formula>0</formula>
    </cfRule>
  </conditionalFormatting>
  <conditionalFormatting sqref="H52">
    <cfRule type="cellIs" dxfId="180" priority="13" operator="notEqual">
      <formula>0</formula>
    </cfRule>
  </conditionalFormatting>
  <conditionalFormatting sqref="H19">
    <cfRule type="cellIs" dxfId="179" priority="12" operator="notEqual">
      <formula>0</formula>
    </cfRule>
  </conditionalFormatting>
  <conditionalFormatting sqref="H104">
    <cfRule type="cellIs" dxfId="178" priority="11" operator="notEqual">
      <formula>0</formula>
    </cfRule>
  </conditionalFormatting>
  <conditionalFormatting sqref="H136">
    <cfRule type="cellIs" dxfId="177" priority="10" operator="notEqual">
      <formula>0</formula>
    </cfRule>
  </conditionalFormatting>
  <conditionalFormatting sqref="Q71">
    <cfRule type="expression" dxfId="176" priority="7" stopIfTrue="1">
      <formula>Q$6=0</formula>
    </cfRule>
  </conditionalFormatting>
  <conditionalFormatting sqref="R71">
    <cfRule type="expression" dxfId="175" priority="6" stopIfTrue="1">
      <formula>R$6=0</formula>
    </cfRule>
  </conditionalFormatting>
  <conditionalFormatting sqref="K6:L6 R6:AG6">
    <cfRule type="cellIs" dxfId="174" priority="5" stopIfTrue="1" operator="equal">
      <formula>1</formula>
    </cfRule>
  </conditionalFormatting>
  <conditionalFormatting sqref="J4 K4:AG5">
    <cfRule type="expression" dxfId="173" priority="4" stopIfTrue="1">
      <formula>J$6=1</formula>
    </cfRule>
  </conditionalFormatting>
  <conditionalFormatting sqref="M6:Q6">
    <cfRule type="cellIs" dxfId="172" priority="3" stopIfTrue="1" operator="equal">
      <formula>1</formula>
    </cfRule>
  </conditionalFormatting>
  <conditionalFormatting sqref="J5">
    <cfRule type="expression" dxfId="171" priority="2" stopIfTrue="1">
      <formula>J$6=1</formula>
    </cfRule>
  </conditionalFormatting>
  <conditionalFormatting sqref="J6:AG6">
    <cfRule type="cellIs" dxfId="170" priority="1" stopIfTrue="1" operator="equal">
      <formula>1</formula>
    </cfRule>
  </conditionalFormatting>
  <dataValidations count="3">
    <dataValidation type="list" allowBlank="1" showInputMessage="1" showErrorMessage="1" sqref="G10 G42 G68 G94 G127">
      <formula1>VAT_Rates</formula1>
    </dataValidation>
    <dataValidation type="list" allowBlank="1" showInputMessage="1" showErrorMessage="1" sqref="F20 F53 F79 F105 F137">
      <formula1>"1,2"</formula1>
    </dataValidation>
    <dataValidation type="decimal" operator="greaterThanOrEqual" allowBlank="1" showInputMessage="1" showErrorMessage="1" errorTitle="Inputs" error="Positive numbers/inputs only !" sqref="J109:AG111 J141:AG143 J145:AG147 J83:AG85 J57:AG59 J24:AG26 J113:AG115 J87:AG89 J61:AG63 J28:AG30">
      <formula1>0</formula1>
    </dataValidation>
  </dataValidations>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inanzierung">
    <tabColor rgb="FFFFFF00"/>
    <pageSetUpPr autoPageBreaks="0"/>
  </sheetPr>
  <dimension ref="A1:NE189"/>
  <sheetViews>
    <sheetView showGridLines="0" zoomScaleNormal="100"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outlineLevelRow="2"/>
  <cols>
    <col min="1" max="1" width="2.85546875" style="116" customWidth="1"/>
    <col min="2" max="2" width="3.28515625" style="116" customWidth="1"/>
    <col min="3" max="3" width="56.42578125" style="116" customWidth="1"/>
    <col min="4" max="4" width="13" style="116" customWidth="1"/>
    <col min="5" max="5" width="14.7109375" style="116" customWidth="1"/>
    <col min="6" max="6" width="13" style="116" customWidth="1"/>
    <col min="7" max="7" width="14" style="116" customWidth="1"/>
    <col min="8" max="8" width="11.42578125" style="116" customWidth="1"/>
    <col min="9" max="9" width="12.42578125" style="116" customWidth="1"/>
    <col min="10" max="33" width="12.5703125" style="116" customWidth="1"/>
    <col min="34" max="369" width="0" style="116" hidden="1" customWidth="1"/>
    <col min="370" max="16384" width="11.42578125" style="116" hidden="1"/>
  </cols>
  <sheetData>
    <row r="1" spans="1:33" ht="20.25">
      <c r="A1" s="41" t="s">
        <v>288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
      <c r="A2" s="127"/>
      <c r="B2" s="127"/>
      <c r="C2" s="268" t="str">
        <f>Timing!C2</f>
        <v>Model: Fictitious 5 Year Forecast</v>
      </c>
      <c r="D2" s="268"/>
      <c r="E2" s="429" t="s">
        <v>148</v>
      </c>
      <c r="F2" s="127"/>
      <c r="G2" s="127"/>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row>
    <row r="3" spans="1:33" ht="20.25">
      <c r="A3" s="127"/>
      <c r="B3" s="127"/>
      <c r="C3" s="268" t="str">
        <f>Timing!C3</f>
        <v>Model Integrity:</v>
      </c>
      <c r="D3" s="668">
        <f ca="1">Timing!D3</f>
        <v>0</v>
      </c>
      <c r="E3" s="429" t="s">
        <v>149</v>
      </c>
      <c r="F3" s="127"/>
      <c r="G3" s="280"/>
      <c r="H3" s="280"/>
      <c r="I3" s="277"/>
      <c r="J3" s="281"/>
      <c r="K3" s="235"/>
      <c r="L3" s="281"/>
      <c r="M3" s="235"/>
      <c r="N3" s="281"/>
      <c r="O3" s="235"/>
      <c r="P3" s="281"/>
      <c r="Q3" s="235"/>
      <c r="R3" s="281"/>
      <c r="S3" s="235"/>
      <c r="T3" s="281"/>
      <c r="U3" s="235"/>
      <c r="V3" s="281"/>
      <c r="W3" s="235"/>
      <c r="X3" s="281"/>
      <c r="Y3" s="235"/>
      <c r="Z3" s="281"/>
      <c r="AA3" s="235"/>
      <c r="AB3" s="281"/>
      <c r="AC3" s="235"/>
      <c r="AD3" s="281"/>
      <c r="AE3" s="235"/>
      <c r="AF3" s="281"/>
      <c r="AG3" s="235"/>
    </row>
    <row r="4" spans="1:33">
      <c r="A4" s="127"/>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c r="A7" s="861"/>
      <c r="B7" s="861"/>
      <c r="C7" s="282" t="str">
        <f>Timing!C14</f>
        <v>Financial Month</v>
      </c>
      <c r="D7" s="270"/>
      <c r="E7" s="282"/>
      <c r="F7" s="282"/>
      <c r="G7" s="282"/>
      <c r="H7" s="282"/>
      <c r="I7" s="282"/>
      <c r="J7" s="282">
        <f>Timing!J14</f>
        <v>3</v>
      </c>
      <c r="K7" s="282">
        <f>Timing!K14</f>
        <v>4</v>
      </c>
      <c r="L7" s="282">
        <f>Timing!L14</f>
        <v>5</v>
      </c>
      <c r="M7" s="282">
        <f>Timing!M14</f>
        <v>6</v>
      </c>
      <c r="N7" s="282">
        <f>Timing!N14</f>
        <v>7</v>
      </c>
      <c r="O7" s="282">
        <f>Timing!O14</f>
        <v>8</v>
      </c>
      <c r="P7" s="282">
        <f>Timing!P14</f>
        <v>9</v>
      </c>
      <c r="Q7" s="282">
        <f>Timing!Q14</f>
        <v>10</v>
      </c>
      <c r="R7" s="282">
        <f>Timing!R14</f>
        <v>11</v>
      </c>
      <c r="S7" s="282">
        <f>Timing!S14</f>
        <v>12</v>
      </c>
      <c r="T7" s="282">
        <f>Timing!T14</f>
        <v>1</v>
      </c>
      <c r="U7" s="282">
        <f>Timing!U14</f>
        <v>2</v>
      </c>
      <c r="V7" s="282">
        <f>Timing!V14</f>
        <v>3</v>
      </c>
      <c r="W7" s="282">
        <f>Timing!W14</f>
        <v>4</v>
      </c>
      <c r="X7" s="282">
        <f>Timing!X14</f>
        <v>5</v>
      </c>
      <c r="Y7" s="282">
        <f>Timing!Y14</f>
        <v>6</v>
      </c>
      <c r="Z7" s="282">
        <f>Timing!Z14</f>
        <v>7</v>
      </c>
      <c r="AA7" s="282">
        <f>Timing!AA14</f>
        <v>8</v>
      </c>
      <c r="AB7" s="282">
        <f>Timing!AB14</f>
        <v>9</v>
      </c>
      <c r="AC7" s="282">
        <f>Timing!AC14</f>
        <v>10</v>
      </c>
      <c r="AD7" s="282">
        <f>Timing!AD14</f>
        <v>11</v>
      </c>
      <c r="AE7" s="282">
        <f>Timing!AE14</f>
        <v>12</v>
      </c>
      <c r="AF7" s="282">
        <f>Timing!AF14</f>
        <v>1</v>
      </c>
      <c r="AG7" s="282">
        <f>Timing!AG14</f>
        <v>2</v>
      </c>
    </row>
    <row r="8" spans="1:33" s="680" customFormat="1">
      <c r="A8" s="861"/>
      <c r="B8" s="861"/>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row>
    <row r="9" spans="1:33" ht="24" thickBot="1">
      <c r="A9" s="316"/>
      <c r="B9" s="316"/>
      <c r="C9" s="316" t="s">
        <v>288</v>
      </c>
      <c r="D9" s="323" t="str">
        <f>"(all figures in " &amp;Currency_Label &amp;")"</f>
        <v>(all figures in USD)</v>
      </c>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row>
    <row r="10" spans="1:33" ht="21" customHeight="1" outlineLevel="1">
      <c r="A10" s="861"/>
      <c r="B10" s="861"/>
      <c r="C10" s="274" t="s">
        <v>491</v>
      </c>
      <c r="D10" s="317" t="s">
        <v>490</v>
      </c>
      <c r="E10" s="235"/>
      <c r="F10" s="235"/>
      <c r="G10" s="235"/>
      <c r="H10" s="235"/>
      <c r="I10" s="235"/>
      <c r="J10" s="691">
        <f t="shared" ref="J10:AG10" si="0">J$4</f>
        <v>43132</v>
      </c>
      <c r="K10" s="691">
        <f t="shared" si="0"/>
        <v>43160</v>
      </c>
      <c r="L10" s="691">
        <f t="shared" si="0"/>
        <v>43191</v>
      </c>
      <c r="M10" s="691">
        <f t="shared" si="0"/>
        <v>43221</v>
      </c>
      <c r="N10" s="691">
        <f t="shared" si="0"/>
        <v>43252</v>
      </c>
      <c r="O10" s="691">
        <f t="shared" si="0"/>
        <v>43282</v>
      </c>
      <c r="P10" s="691">
        <f t="shared" si="0"/>
        <v>43313</v>
      </c>
      <c r="Q10" s="691">
        <f t="shared" si="0"/>
        <v>43344</v>
      </c>
      <c r="R10" s="691">
        <f t="shared" si="0"/>
        <v>43374</v>
      </c>
      <c r="S10" s="691">
        <f t="shared" si="0"/>
        <v>43405</v>
      </c>
      <c r="T10" s="691">
        <f t="shared" si="0"/>
        <v>43435</v>
      </c>
      <c r="U10" s="691">
        <f t="shared" si="0"/>
        <v>43466</v>
      </c>
      <c r="V10" s="691">
        <f t="shared" si="0"/>
        <v>43497</v>
      </c>
      <c r="W10" s="691">
        <f t="shared" si="0"/>
        <v>43525</v>
      </c>
      <c r="X10" s="691">
        <f t="shared" si="0"/>
        <v>43556</v>
      </c>
      <c r="Y10" s="691">
        <f t="shared" si="0"/>
        <v>43586</v>
      </c>
      <c r="Z10" s="691">
        <f t="shared" si="0"/>
        <v>43617</v>
      </c>
      <c r="AA10" s="691">
        <f t="shared" si="0"/>
        <v>43647</v>
      </c>
      <c r="AB10" s="691">
        <f t="shared" si="0"/>
        <v>43678</v>
      </c>
      <c r="AC10" s="691">
        <f t="shared" si="0"/>
        <v>43709</v>
      </c>
      <c r="AD10" s="691">
        <f t="shared" si="0"/>
        <v>43739</v>
      </c>
      <c r="AE10" s="691">
        <f t="shared" si="0"/>
        <v>43770</v>
      </c>
      <c r="AF10" s="691">
        <f t="shared" si="0"/>
        <v>43800</v>
      </c>
      <c r="AG10" s="691">
        <f t="shared" si="0"/>
        <v>43831</v>
      </c>
    </row>
    <row r="11" spans="1:33" ht="17.25" customHeight="1" outlineLevel="2">
      <c r="A11" s="861"/>
      <c r="B11" s="861"/>
      <c r="C11" s="116" t="str">
        <f>"Cash collected from sales (incl. "&amp;Name_VAT &amp;")"</f>
        <v>Cash collected from sales (incl. VAT)</v>
      </c>
      <c r="D11" s="632"/>
      <c r="E11" s="878"/>
      <c r="F11" s="878"/>
      <c r="H11" s="878"/>
      <c r="I11" s="236">
        <f t="shared" ref="I11:I34" ca="1" si="1">SUM(J11:AG11)</f>
        <v>1809114.4386490954</v>
      </c>
      <c r="J11" s="141">
        <f ca="1">-'Debtors+Creditors'!J20+('Offering 1'!J40+'Offering 1'!J42+'Offering 1'!J47+'Offering 1'!J57)+('Offering 2'!J40+'Offering 2'!J42+'Offering 2'!J47+'Offering 2'!J57)+('Offering 3'!J40+'Offering 3'!J42+'Offering 3'!J47+'Offering 3'!J57)+('Offering 4'!J40+'Offering 4'!J42+'Offering 4'!J47+'Offering 4'!J57)</f>
        <v>2654.5333333333333</v>
      </c>
      <c r="K11" s="141">
        <f ca="1">-'Debtors+Creditors'!K20+('Offering 1'!K40+'Offering 1'!K42+'Offering 1'!K47+'Offering 1'!K57)+('Offering 2'!K40+'Offering 2'!K42+'Offering 2'!K47+'Offering 2'!K57)+('Offering 3'!K40+'Offering 3'!K42+'Offering 3'!K47+'Offering 3'!K57)+('Offering 4'!K40+'Offering 4'!K42+'Offering 4'!K47+'Offering 4'!K57)</f>
        <v>2306.5333333333333</v>
      </c>
      <c r="L11" s="141">
        <f ca="1">-'Debtors+Creditors'!L20+('Offering 1'!L40+'Offering 1'!L42+'Offering 1'!L47+'Offering 1'!L57)+('Offering 2'!L40+'Offering 2'!L42+'Offering 2'!L47+'Offering 2'!L57)+('Offering 3'!L40+'Offering 3'!L42+'Offering 3'!L47+'Offering 3'!L57)+('Offering 4'!L40+'Offering 4'!L42+'Offering 4'!L47+'Offering 4'!L57)</f>
        <v>2422.5333333333333</v>
      </c>
      <c r="M11" s="141">
        <f ca="1">-'Debtors+Creditors'!M20+('Offering 1'!M40+'Offering 1'!M42+'Offering 1'!M47+'Offering 1'!M57)+('Offering 2'!M40+'Offering 2'!M42+'Offering 2'!M47+'Offering 2'!M57)+('Offering 3'!M40+'Offering 3'!M42+'Offering 3'!M47+'Offering 3'!M57)+('Offering 4'!M40+'Offering 4'!M42+'Offering 4'!M47+'Offering 4'!M57)</f>
        <v>58640.135333333332</v>
      </c>
      <c r="N11" s="141">
        <f ca="1">-'Debtors+Creditors'!N20+('Offering 1'!N40+'Offering 1'!N42+'Offering 1'!N47+'Offering 1'!N57)+('Offering 2'!N40+'Offering 2'!N42+'Offering 2'!N47+'Offering 2'!N57)+('Offering 3'!N40+'Offering 3'!N42+'Offering 3'!N47+'Offering 3'!N57)+('Offering 4'!N40+'Offering 4'!N42+'Offering 4'!N47+'Offering 4'!N57)</f>
        <v>2654.5333333333333</v>
      </c>
      <c r="O11" s="141">
        <f ca="1">-'Debtors+Creditors'!O20+('Offering 1'!O40+'Offering 1'!O42+'Offering 1'!O47+'Offering 1'!O57)+('Offering 2'!O40+'Offering 2'!O42+'Offering 2'!O47+'Offering 2'!O57)+('Offering 3'!O40+'Offering 3'!O42+'Offering 3'!O47+'Offering 3'!O57)+('Offering 4'!O40+'Offering 4'!O42+'Offering 4'!O47+'Offering 4'!O57)</f>
        <v>2654.5333333333333</v>
      </c>
      <c r="P11" s="141">
        <f ca="1">-'Debtors+Creditors'!P20+('Offering 1'!P40+'Offering 1'!P42+'Offering 1'!P47+'Offering 1'!P57)+('Offering 2'!P40+'Offering 2'!P42+'Offering 2'!P47+'Offering 2'!P57)+('Offering 3'!P40+'Offering 3'!P42+'Offering 3'!P47+'Offering 3'!P57)+('Offering 4'!P40+'Offering 4'!P42+'Offering 4'!P47+'Offering 4'!P57)</f>
        <v>119840.23196800001</v>
      </c>
      <c r="Q11" s="141">
        <f ca="1">-'Debtors+Creditors'!Q20+('Offering 1'!Q40+'Offering 1'!Q42+'Offering 1'!Q47+'Offering 1'!Q57)+('Offering 2'!Q40+'Offering 2'!Q42+'Offering 2'!Q47+'Offering 2'!Q57)+('Offering 3'!Q40+'Offering 3'!Q42+'Offering 3'!Q47+'Offering 3'!Q57)+('Offering 4'!Q40+'Offering 4'!Q42+'Offering 4'!Q47+'Offering 4'!Q57)</f>
        <v>1821.2</v>
      </c>
      <c r="R11" s="141">
        <f ca="1">-'Debtors+Creditors'!R20+('Offering 1'!R40+'Offering 1'!R42+'Offering 1'!R47+'Offering 1'!R57)+('Offering 2'!R40+'Offering 2'!R42+'Offering 2'!R47+'Offering 2'!R57)+('Offering 3'!R40+'Offering 3'!R42+'Offering 3'!R47+'Offering 3'!R57)+('Offering 4'!R40+'Offering 4'!R42+'Offering 4'!R47+'Offering 4'!R57)</f>
        <v>1821.2</v>
      </c>
      <c r="S11" s="141">
        <f ca="1">-'Debtors+Creditors'!S20+('Offering 1'!S40+'Offering 1'!S42+'Offering 1'!S47+'Offering 1'!S57)+('Offering 2'!S40+'Offering 2'!S42+'Offering 2'!S47+'Offering 2'!S57)+('Offering 3'!S40+'Offering 3'!S42+'Offering 3'!S47+'Offering 3'!S57)+('Offering 4'!S40+'Offering 4'!S42+'Offering 4'!S47+'Offering 4'!S57)</f>
        <v>192001.91030456123</v>
      </c>
      <c r="T11" s="141">
        <f ca="1">-'Debtors+Creditors'!T20+('Offering 1'!T40+'Offering 1'!T42+'Offering 1'!T47+'Offering 1'!T57)+('Offering 2'!T40+'Offering 2'!T42+'Offering 2'!T47+'Offering 2'!T57)+('Offering 3'!T40+'Offering 3'!T42+'Offering 3'!T47+'Offering 3'!T57)+('Offering 4'!T40+'Offering 4'!T42+'Offering 4'!T47+'Offering 4'!T57)</f>
        <v>1821.2</v>
      </c>
      <c r="U11" s="141">
        <f ca="1">-'Debtors+Creditors'!U20+('Offering 1'!U40+'Offering 1'!U42+'Offering 1'!U47+'Offering 1'!U57)+('Offering 2'!U40+'Offering 2'!U42+'Offering 2'!U47+'Offering 2'!U57)+('Offering 3'!U40+'Offering 3'!U42+'Offering 3'!U47+'Offering 3'!U57)+('Offering 4'!U40+'Offering 4'!U42+'Offering 4'!U47+'Offering 4'!U57)</f>
        <v>2088</v>
      </c>
      <c r="V11" s="141">
        <f ca="1">-'Debtors+Creditors'!V20+('Offering 1'!V40+'Offering 1'!V42+'Offering 1'!V47+'Offering 1'!V57)+('Offering 2'!V40+'Offering 2'!V42+'Offering 2'!V47+'Offering 2'!V57)+('Offering 3'!V40+'Offering 3'!V42+'Offering 3'!V47+'Offering 3'!V57)+('Offering 4'!V40+'Offering 4'!V42+'Offering 4'!V47+'Offering 4'!V57)</f>
        <v>259052.75128602763</v>
      </c>
      <c r="W11" s="141">
        <f ca="1">-'Debtors+Creditors'!W20+('Offering 1'!W40+'Offering 1'!W42+'Offering 1'!W47+'Offering 1'!W57)+('Offering 2'!W40+'Offering 2'!W42+'Offering 2'!W47+'Offering 2'!W57)+('Offering 3'!W40+'Offering 3'!W42+'Offering 3'!W47+'Offering 3'!W57)+('Offering 4'!W40+'Offering 4'!W42+'Offering 4'!W47+'Offering 4'!W57)</f>
        <v>1821.2</v>
      </c>
      <c r="X11" s="141">
        <f ca="1">-'Debtors+Creditors'!X20+('Offering 1'!X40+'Offering 1'!X42+'Offering 1'!X47+'Offering 1'!X57)+('Offering 2'!X40+'Offering 2'!X42+'Offering 2'!X47+'Offering 2'!X57)+('Offering 3'!X40+'Offering 3'!X42+'Offering 3'!X47+'Offering 3'!X57)+('Offering 4'!X40+'Offering 4'!X42+'Offering 4'!X47+'Offering 4'!X57)</f>
        <v>1821.2</v>
      </c>
      <c r="Y11" s="141">
        <f ca="1">-'Debtors+Creditors'!Y20+('Offering 1'!Y40+'Offering 1'!Y42+'Offering 1'!Y47+'Offering 1'!Y57)+('Offering 2'!Y40+'Offering 2'!Y42+'Offering 2'!Y47+'Offering 2'!Y57)+('Offering 3'!Y40+'Offering 3'!Y42+'Offering 3'!Y47+'Offering 3'!Y57)+('Offering 4'!Y40+'Offering 4'!Y42+'Offering 4'!Y47+'Offering 4'!Y57)</f>
        <v>317432.11096511409</v>
      </c>
      <c r="Z11" s="141">
        <f ca="1">-'Debtors+Creditors'!Z20+('Offering 1'!Z40+'Offering 1'!Z42+'Offering 1'!Z47+'Offering 1'!Z57)+('Offering 2'!Z40+'Offering 2'!Z42+'Offering 2'!Z47+'Offering 2'!Z57)+('Offering 3'!Z40+'Offering 3'!Z42+'Offering 3'!Z47+'Offering 3'!Z57)+('Offering 4'!Z40+'Offering 4'!Z42+'Offering 4'!Z47+'Offering 4'!Z57)</f>
        <v>1821.2</v>
      </c>
      <c r="AA11" s="141">
        <f ca="1">-'Debtors+Creditors'!AA20+('Offering 1'!AA40+'Offering 1'!AA42+'Offering 1'!AA47+'Offering 1'!AA57)+('Offering 2'!AA40+'Offering 2'!AA42+'Offering 2'!AA47+'Offering 2'!AA57)+('Offering 3'!AA40+'Offering 3'!AA42+'Offering 3'!AA47+'Offering 3'!AA57)+('Offering 4'!AA40+'Offering 4'!AA42+'Offering 4'!AA47+'Offering 4'!AA57)</f>
        <v>1821.2</v>
      </c>
      <c r="AB11" s="141">
        <f ca="1">-'Debtors+Creditors'!AB20+('Offering 1'!AB40+'Offering 1'!AB42+'Offering 1'!AB47+'Offering 1'!AB57)+('Offering 2'!AB40+'Offering 2'!AB42+'Offering 2'!AB47+'Offering 2'!AB57)+('Offering 3'!AB40+'Offering 3'!AB42+'Offering 3'!AB47+'Offering 3'!AB57)+('Offering 4'!AB40+'Offering 4'!AB42+'Offering 4'!AB47+'Offering 4'!AB57)</f>
        <v>382216.81280937139</v>
      </c>
      <c r="AC11" s="141">
        <f ca="1">-'Debtors+Creditors'!AC20+('Offering 1'!AC40+'Offering 1'!AC42+'Offering 1'!AC47+'Offering 1'!AC57)+('Offering 2'!AC40+'Offering 2'!AC42+'Offering 2'!AC47+'Offering 2'!AC57)+('Offering 3'!AC40+'Offering 3'!AC42+'Offering 3'!AC47+'Offering 3'!AC57)+('Offering 4'!AC40+'Offering 4'!AC42+'Offering 4'!AC47+'Offering 4'!AC57)</f>
        <v>1821.2</v>
      </c>
      <c r="AD11" s="141">
        <f ca="1">-'Debtors+Creditors'!AD20+('Offering 1'!AD40+'Offering 1'!AD42+'Offering 1'!AD47+'Offering 1'!AD57)+('Offering 2'!AD40+'Offering 2'!AD42+'Offering 2'!AD47+'Offering 2'!AD57)+('Offering 3'!AD40+'Offering 3'!AD42+'Offering 3'!AD47+'Offering 3'!AD57)+('Offering 4'!AD40+'Offering 4'!AD42+'Offering 4'!AD47+'Offering 4'!AD57)</f>
        <v>1821.2</v>
      </c>
      <c r="AE11" s="141">
        <f ca="1">-'Debtors+Creditors'!AE20+('Offering 1'!AE40+'Offering 1'!AE42+'Offering 1'!AE47+'Offering 1'!AE57)+('Offering 2'!AE40+'Offering 2'!AE42+'Offering 2'!AE47+'Offering 2'!AE57)+('Offering 3'!AE40+'Offering 3'!AE42+'Offering 3'!AE47+'Offering 3'!AE57)+('Offering 4'!AE40+'Offering 4'!AE42+'Offering 4'!AE47+'Offering 4'!AE57)</f>
        <v>448759.01931602112</v>
      </c>
      <c r="AF11" s="141">
        <f ca="1">-'Debtors+Creditors'!AF20+('Offering 1'!AF40+'Offering 1'!AF42+'Offering 1'!AF47+'Offering 1'!AF57)+('Offering 2'!AF40+'Offering 2'!AF42+'Offering 2'!AF47+'Offering 2'!AF57)+('Offering 3'!AF40+'Offering 3'!AF42+'Offering 3'!AF47+'Offering 3'!AF57)+('Offering 4'!AF40+'Offering 4'!AF42+'Offering 4'!AF47+'Offering 4'!AF57)</f>
        <v>0</v>
      </c>
      <c r="AG11" s="141">
        <f ca="1">-'Debtors+Creditors'!AG20+('Offering 1'!AG40+'Offering 1'!AG42+'Offering 1'!AG47+'Offering 1'!AG57)+('Offering 2'!AG40+'Offering 2'!AG42+'Offering 2'!AG47+'Offering 2'!AG57)+('Offering 3'!AG40+'Offering 3'!AG42+'Offering 3'!AG47+'Offering 3'!AG57)+('Offering 4'!AG40+'Offering 4'!AG42+'Offering 4'!AG47+'Offering 4'!AG57)</f>
        <v>0</v>
      </c>
    </row>
    <row r="12" spans="1:33" s="199" customFormat="1" ht="17.25" customHeight="1" outlineLevel="2">
      <c r="A12" s="861"/>
      <c r="B12" s="861"/>
      <c r="C12" s="333" t="s">
        <v>339</v>
      </c>
      <c r="D12" s="632"/>
      <c r="E12" s="632"/>
      <c r="F12" s="632"/>
      <c r="G12" s="632"/>
      <c r="H12" s="878"/>
      <c r="I12" s="236">
        <f t="shared" si="1"/>
        <v>4250</v>
      </c>
      <c r="J12" s="141">
        <f>(Inputs!J346+Inputs!J347)*J6</f>
        <v>0</v>
      </c>
      <c r="K12" s="141">
        <f>(Inputs!K346+Inputs!K347)*K6</f>
        <v>0</v>
      </c>
      <c r="L12" s="141">
        <f>(Inputs!L346+Inputs!L347)*L6</f>
        <v>3500</v>
      </c>
      <c r="M12" s="141">
        <f>(Inputs!M346+Inputs!M347)*M6</f>
        <v>0</v>
      </c>
      <c r="N12" s="141">
        <f>(Inputs!N346+Inputs!N347)*N6</f>
        <v>0</v>
      </c>
      <c r="O12" s="141">
        <f>(Inputs!O346+Inputs!O347)*O6</f>
        <v>0</v>
      </c>
      <c r="P12" s="141">
        <f>(Inputs!P346+Inputs!P347)*P6</f>
        <v>0</v>
      </c>
      <c r="Q12" s="141">
        <f>(Inputs!Q346+Inputs!Q347)*Q6</f>
        <v>0</v>
      </c>
      <c r="R12" s="141">
        <f>(Inputs!R346+Inputs!R347)*R6</f>
        <v>-2000</v>
      </c>
      <c r="S12" s="141">
        <f>(Inputs!S346+Inputs!S347)*S6</f>
        <v>0</v>
      </c>
      <c r="T12" s="141">
        <f>(Inputs!T346+Inputs!T347)*T6</f>
        <v>0</v>
      </c>
      <c r="U12" s="141">
        <f>(Inputs!U346+Inputs!U347)*U6</f>
        <v>0</v>
      </c>
      <c r="V12" s="141">
        <f>(Inputs!V346+Inputs!V347)*V6</f>
        <v>0</v>
      </c>
      <c r="W12" s="141">
        <f>(Inputs!W346+Inputs!W347)*W6</f>
        <v>0</v>
      </c>
      <c r="X12" s="141">
        <f>(Inputs!X346+Inputs!X347)*X6</f>
        <v>0</v>
      </c>
      <c r="Y12" s="141">
        <f>(Inputs!Y346+Inputs!Y347)*Y6</f>
        <v>0</v>
      </c>
      <c r="Z12" s="141">
        <f>(Inputs!Z346+Inputs!Z347)*Z6</f>
        <v>0</v>
      </c>
      <c r="AA12" s="141">
        <f>(Inputs!AA346+Inputs!AA347)*AA6</f>
        <v>0</v>
      </c>
      <c r="AB12" s="141">
        <f>(Inputs!AB346+Inputs!AB347)*AB6</f>
        <v>0</v>
      </c>
      <c r="AC12" s="141">
        <f>(Inputs!AC346+Inputs!AC347)*AC6</f>
        <v>2750</v>
      </c>
      <c r="AD12" s="141">
        <f>(Inputs!AD346+Inputs!AD347)*AD6</f>
        <v>0</v>
      </c>
      <c r="AE12" s="141">
        <f>(Inputs!AE346+Inputs!AE347)*AE6</f>
        <v>0</v>
      </c>
      <c r="AF12" s="141">
        <f>(Inputs!AF346+Inputs!AF347)*AF6</f>
        <v>0</v>
      </c>
      <c r="AG12" s="141">
        <f>(Inputs!AG346+Inputs!AG347)*AG6</f>
        <v>0</v>
      </c>
    </row>
    <row r="13" spans="1:33" ht="17.25" customHeight="1" outlineLevel="2">
      <c r="A13" s="861"/>
      <c r="B13" s="861"/>
      <c r="C13" s="116" t="s">
        <v>296</v>
      </c>
      <c r="D13" s="680"/>
      <c r="E13" s="680"/>
      <c r="F13" s="680"/>
      <c r="G13" s="680"/>
      <c r="H13" s="878"/>
      <c r="I13" s="236">
        <f t="shared" si="1"/>
        <v>7300</v>
      </c>
      <c r="J13" s="141">
        <f>(Inputs!J333+Inputs!J335)*J6</f>
        <v>0</v>
      </c>
      <c r="K13" s="141">
        <f>(Inputs!K333+Inputs!K335)*K6</f>
        <v>0</v>
      </c>
      <c r="L13" s="141">
        <f>(Inputs!L333+Inputs!L335)*L6</f>
        <v>2750</v>
      </c>
      <c r="M13" s="141">
        <f>(Inputs!M333+Inputs!M335)*M6</f>
        <v>0</v>
      </c>
      <c r="N13" s="141">
        <f>(Inputs!N333+Inputs!N335)*N6</f>
        <v>0</v>
      </c>
      <c r="O13" s="141">
        <f>(Inputs!O333+Inputs!O335)*O6</f>
        <v>0</v>
      </c>
      <c r="P13" s="141">
        <f>(Inputs!P333+Inputs!P335)*P6</f>
        <v>0</v>
      </c>
      <c r="Q13" s="141">
        <f>(Inputs!Q333+Inputs!Q335)*Q6</f>
        <v>0</v>
      </c>
      <c r="R13" s="141">
        <f>(Inputs!R333+Inputs!R335)*R6</f>
        <v>0</v>
      </c>
      <c r="S13" s="141">
        <f>(Inputs!S333+Inputs!S335)*S6</f>
        <v>0</v>
      </c>
      <c r="T13" s="141">
        <f>(Inputs!T333+Inputs!T335)*T6</f>
        <v>0</v>
      </c>
      <c r="U13" s="141">
        <f>(Inputs!U333+Inputs!U335)*U6</f>
        <v>0</v>
      </c>
      <c r="V13" s="141">
        <f>(Inputs!V333+Inputs!V335)*V6</f>
        <v>0</v>
      </c>
      <c r="W13" s="141">
        <f>(Inputs!W333+Inputs!W335)*W6</f>
        <v>0</v>
      </c>
      <c r="X13" s="141">
        <f>(Inputs!X333+Inputs!X335)*X6</f>
        <v>0</v>
      </c>
      <c r="Y13" s="141">
        <f>(Inputs!Y333+Inputs!Y335)*Y6</f>
        <v>0</v>
      </c>
      <c r="Z13" s="141">
        <f>(Inputs!Z333+Inputs!Z335)*Z6</f>
        <v>0</v>
      </c>
      <c r="AA13" s="141">
        <f>(Inputs!AA333+Inputs!AA335)*AA6</f>
        <v>0</v>
      </c>
      <c r="AB13" s="141">
        <f>(Inputs!AB333+Inputs!AB335)*AB6</f>
        <v>4550</v>
      </c>
      <c r="AC13" s="141">
        <f>(Inputs!AC333+Inputs!AC335)*AC6</f>
        <v>0</v>
      </c>
      <c r="AD13" s="141">
        <f>(Inputs!AD333+Inputs!AD335)*AD6</f>
        <v>0</v>
      </c>
      <c r="AE13" s="141">
        <f>(Inputs!AE333+Inputs!AE335)*AE6</f>
        <v>0</v>
      </c>
      <c r="AF13" s="141">
        <f>(Inputs!AF333+Inputs!AF335)*AF6</f>
        <v>0</v>
      </c>
      <c r="AG13" s="141">
        <f>(Inputs!AG333+Inputs!AG335)*AG6</f>
        <v>0</v>
      </c>
    </row>
    <row r="14" spans="1:33" ht="17.25" customHeight="1" outlineLevel="2">
      <c r="A14" s="861"/>
      <c r="B14" s="861"/>
      <c r="C14" s="116" t="s">
        <v>298</v>
      </c>
      <c r="D14" s="680"/>
      <c r="E14" s="11" t="s">
        <v>406</v>
      </c>
      <c r="F14" s="11" t="s">
        <v>407</v>
      </c>
      <c r="G14" s="253"/>
      <c r="H14" s="878"/>
      <c r="I14" s="236">
        <f t="shared" si="1"/>
        <v>7500</v>
      </c>
      <c r="J14" s="141">
        <f>Capex!J177</f>
        <v>0</v>
      </c>
      <c r="K14" s="141">
        <f>Capex!K177</f>
        <v>0</v>
      </c>
      <c r="L14" s="141">
        <f>Capex!L177</f>
        <v>0</v>
      </c>
      <c r="M14" s="141">
        <f>Capex!M177</f>
        <v>0</v>
      </c>
      <c r="N14" s="141">
        <f>Capex!N177</f>
        <v>0</v>
      </c>
      <c r="O14" s="141">
        <f>Capex!O177</f>
        <v>0</v>
      </c>
      <c r="P14" s="141">
        <f>Capex!P177</f>
        <v>0</v>
      </c>
      <c r="Q14" s="141">
        <f>Capex!Q177</f>
        <v>0</v>
      </c>
      <c r="R14" s="141">
        <f>Capex!R177</f>
        <v>0</v>
      </c>
      <c r="S14" s="141">
        <f>Capex!S177</f>
        <v>0</v>
      </c>
      <c r="T14" s="141">
        <f>Capex!T177</f>
        <v>0</v>
      </c>
      <c r="U14" s="141">
        <f>Capex!U177</f>
        <v>0</v>
      </c>
      <c r="V14" s="141">
        <f>Capex!V177</f>
        <v>0</v>
      </c>
      <c r="W14" s="141">
        <f>Capex!W177</f>
        <v>0</v>
      </c>
      <c r="X14" s="141">
        <f>Capex!X177</f>
        <v>0</v>
      </c>
      <c r="Y14" s="141">
        <f>Capex!Y177</f>
        <v>0</v>
      </c>
      <c r="Z14" s="141">
        <f>Capex!Z177</f>
        <v>7500</v>
      </c>
      <c r="AA14" s="141">
        <f>Capex!AA177</f>
        <v>0</v>
      </c>
      <c r="AB14" s="141">
        <f>Capex!AB177</f>
        <v>0</v>
      </c>
      <c r="AC14" s="141">
        <f>Capex!AC177</f>
        <v>0</v>
      </c>
      <c r="AD14" s="141">
        <f>Capex!AD177</f>
        <v>0</v>
      </c>
      <c r="AE14" s="141">
        <f>Capex!AE177</f>
        <v>0</v>
      </c>
      <c r="AF14" s="141">
        <f>Capex!AF177</f>
        <v>0</v>
      </c>
      <c r="AG14" s="141">
        <f>Capex!AG177</f>
        <v>0</v>
      </c>
    </row>
    <row r="15" spans="1:33" s="632" customFormat="1" ht="17.25" customHeight="1" outlineLevel="2">
      <c r="A15" s="861"/>
      <c r="B15" s="861"/>
      <c r="C15" s="116" t="s">
        <v>297</v>
      </c>
      <c r="E15" s="114">
        <f>Inputs!F229</f>
        <v>1.4999999999999999E-2</v>
      </c>
      <c r="F15" s="118">
        <f>E15/months_yr</f>
        <v>1.25E-3</v>
      </c>
      <c r="G15" s="253"/>
      <c r="H15" s="878"/>
      <c r="I15" s="236">
        <f t="shared" ca="1" si="1"/>
        <v>1613.9309957741468</v>
      </c>
      <c r="J15" s="141">
        <f t="shared" ref="J15:AG15" si="2">MAX(0,$F15*I76)*J6</f>
        <v>0</v>
      </c>
      <c r="K15" s="141">
        <f t="shared" ca="1" si="2"/>
        <v>0</v>
      </c>
      <c r="L15" s="141">
        <f t="shared" ca="1" si="2"/>
        <v>0</v>
      </c>
      <c r="M15" s="141">
        <f t="shared" ca="1" si="2"/>
        <v>112.76995380952383</v>
      </c>
      <c r="N15" s="141">
        <f t="shared" ca="1" si="2"/>
        <v>135.66872078825526</v>
      </c>
      <c r="O15" s="141">
        <f t="shared" ca="1" si="2"/>
        <v>87.893928030075188</v>
      </c>
      <c r="P15" s="141">
        <f t="shared" ca="1" si="2"/>
        <v>37.093430759216716</v>
      </c>
      <c r="Q15" s="141">
        <f t="shared" ca="1" si="2"/>
        <v>97.140572712524701</v>
      </c>
      <c r="R15" s="141">
        <f t="shared" ca="1" si="2"/>
        <v>19.480965519885757</v>
      </c>
      <c r="S15" s="141">
        <f t="shared" ca="1" si="2"/>
        <v>0</v>
      </c>
      <c r="T15" s="141">
        <f t="shared" ca="1" si="2"/>
        <v>184.14425725274884</v>
      </c>
      <c r="U15" s="141">
        <f t="shared" ca="1" si="2"/>
        <v>99.52161929653488</v>
      </c>
      <c r="V15" s="141">
        <f t="shared" ca="1" si="2"/>
        <v>12.403248372971339</v>
      </c>
      <c r="W15" s="141">
        <f t="shared" ca="1" si="2"/>
        <v>155.22670974795466</v>
      </c>
      <c r="X15" s="141">
        <f t="shared" ca="1" si="2"/>
        <v>28.449633562132675</v>
      </c>
      <c r="Y15" s="141">
        <f t="shared" ca="1" si="2"/>
        <v>0</v>
      </c>
      <c r="Z15" s="141">
        <f t="shared" ca="1" si="2"/>
        <v>181.3017019757622</v>
      </c>
      <c r="AA15" s="141">
        <f t="shared" ca="1" si="2"/>
        <v>30.524829941458776</v>
      </c>
      <c r="AB15" s="141">
        <f t="shared" ca="1" si="2"/>
        <v>0</v>
      </c>
      <c r="AC15" s="141">
        <f t="shared" ca="1" si="2"/>
        <v>312.50694783579138</v>
      </c>
      <c r="AD15" s="141">
        <f t="shared" ca="1" si="2"/>
        <v>119.80447616931055</v>
      </c>
      <c r="AE15" s="141">
        <f t="shared" ca="1" si="2"/>
        <v>0</v>
      </c>
      <c r="AF15" s="141">
        <f t="shared" ca="1" si="2"/>
        <v>0</v>
      </c>
      <c r="AG15" s="141">
        <f t="shared" ca="1" si="2"/>
        <v>0</v>
      </c>
    </row>
    <row r="16" spans="1:33" s="632" customFormat="1" ht="17.25" customHeight="1" outlineLevel="2">
      <c r="A16" s="861"/>
      <c r="B16" s="861"/>
      <c r="C16" s="632" t="s">
        <v>249</v>
      </c>
      <c r="E16" s="878"/>
      <c r="F16" s="878"/>
      <c r="G16" s="253"/>
      <c r="H16" s="878"/>
      <c r="I16" s="236">
        <f t="shared" ca="1" si="1"/>
        <v>-39860.222540356524</v>
      </c>
      <c r="J16" s="141">
        <f ca="1">-'Debtors+Creditors'!J103-'Offering 1'!J77*(1-'Offering 1'!$F78)-'Offering 2'!J77*(1-'Offering 2'!$F78)-'Offering 3'!J77*(1-'Offering 3'!$F78)-'Offering 4'!J77*(1-'Offering 4'!$F78)</f>
        <v>-255</v>
      </c>
      <c r="K16" s="141">
        <f ca="1">-'Debtors+Creditors'!K103-'Offering 1'!K77*(1-'Offering 1'!$F78)-'Offering 2'!K77*(1-'Offering 2'!$F78)-'Offering 3'!K77*(1-'Offering 3'!$F78)-'Offering 4'!K77*(1-'Offering 4'!$F78)</f>
        <v>-405</v>
      </c>
      <c r="L16" s="141">
        <f ca="1">-'Debtors+Creditors'!L103-'Offering 1'!L77*(1-'Offering 1'!$F78)-'Offering 2'!L77*(1-'Offering 2'!$F78)-'Offering 3'!L77*(1-'Offering 3'!$F78)-'Offering 4'!L77*(1-'Offering 4'!$F78)</f>
        <v>-592.5</v>
      </c>
      <c r="M16" s="141">
        <f ca="1">-'Debtors+Creditors'!M103-'Offering 1'!M77*(1-'Offering 1'!$F78)-'Offering 2'!M77*(1-'Offering 2'!$F78)-'Offering 3'!M77*(1-'Offering 3'!$F78)-'Offering 4'!M77*(1-'Offering 4'!$F78)</f>
        <v>-726.3</v>
      </c>
      <c r="N16" s="141">
        <f ca="1">-'Debtors+Creditors'!N103-'Offering 1'!N77*(1-'Offering 1'!$F78)-'Offering 2'!N77*(1-'Offering 2'!$F78)-'Offering 3'!N77*(1-'Offering 3'!$F78)-'Offering 4'!N77*(1-'Offering 4'!$F78)</f>
        <v>-893.10000000000014</v>
      </c>
      <c r="O16" s="141">
        <f ca="1">-'Debtors+Creditors'!O103-'Offering 1'!O77*(1-'Offering 1'!$F78)-'Offering 2'!O77*(1-'Offering 2'!$F78)-'Offering 3'!O77*(1-'Offering 3'!$F78)-'Offering 4'!O77*(1-'Offering 4'!$F78)</f>
        <v>-1059.0120000000002</v>
      </c>
      <c r="P16" s="141">
        <f ca="1">-'Debtors+Creditors'!P103-'Offering 1'!P77*(1-'Offering 1'!$F78)-'Offering 2'!P77*(1-'Offering 2'!$F78)-'Offering 3'!P77*(1-'Offering 3'!$F78)-'Offering 4'!P77*(1-'Offering 4'!$F78)</f>
        <v>-1185.0484800000002</v>
      </c>
      <c r="Q16" s="141">
        <f ca="1">-'Debtors+Creditors'!Q103-'Offering 1'!Q77*(1-'Offering 1'!$F78)-'Offering 2'!Q77*(1-'Offering 2'!$F78)-'Offering 3'!Q77*(1-'Offering 3'!$F78)-'Offering 4'!Q77*(1-'Offering 4'!$F78)</f>
        <v>-1337.1388992000002</v>
      </c>
      <c r="R16" s="141">
        <f ca="1">-'Debtors+Creditors'!R103-'Offering 1'!R77*(1-'Offering 1'!$F78)-'Offering 2'!R77*(1-'Offering 2'!$F78)-'Offering 3'!R77*(1-'Offering 3'!$F78)-'Offering 4'!R77*(1-'Offering 4'!$F78)</f>
        <v>-1489.5673351680002</v>
      </c>
      <c r="S16" s="141">
        <f ca="1">-'Debtors+Creditors'!S103-'Offering 1'!S77*(1-'Offering 1'!$F78)-'Offering 2'!S77*(1-'Offering 2'!$F78)-'Offering 3'!S77*(1-'Offering 3'!$F78)-'Offering 4'!S77*(1-'Offering 4'!$F78)</f>
        <v>-1612.7437885747199</v>
      </c>
      <c r="T16" s="141">
        <f ca="1">-'Debtors+Creditors'!T103-'Offering 1'!T77*(1-'Offering 1'!$F78)-'Offering 2'!T77*(1-'Offering 2'!$F78)-'Offering 3'!T77*(1-'Offering 3'!$F78)-'Offering 4'!T77*(1-'Offering 4'!$F78)</f>
        <v>-1756.8167849177091</v>
      </c>
      <c r="U16" s="141">
        <f ca="1">-'Debtors+Creditors'!U103-'Offering 1'!U77*(1-'Offering 1'!$F78)-'Offering 2'!U77*(1-'Offering 2'!$F78)-'Offering 3'!U77*(1-'Offering 3'!$F78)-'Offering 4'!U77*(1-'Offering 4'!$F78)</f>
        <v>-1902.2860451144177</v>
      </c>
      <c r="V16" s="141">
        <f ca="1">-'Debtors+Creditors'!V103-'Offering 1'!V77*(1-'Offering 1'!$F78)-'Offering 2'!V77*(1-'Offering 2'!$F78)-'Offering 3'!V77*(1-'Offering 3'!$F78)-'Offering 4'!V77*(1-'Offering 4'!$F78)</f>
        <v>-2026.7087445189943</v>
      </c>
      <c r="W16" s="141">
        <f ca="1">-'Debtors+Creditors'!W103-'Offering 1'!W77*(1-'Offering 1'!$F78)-'Offering 2'!W77*(1-'Offering 2'!$F78)-'Offering 3'!W77*(1-'Offering 3'!$F78)-'Offering 4'!W77*(1-'Offering 4'!$F78)</f>
        <v>-2168.2451603477543</v>
      </c>
      <c r="X16" s="141">
        <f ca="1">-'Debtors+Creditors'!X103-'Offering 1'!X77*(1-'Offering 1'!$F78)-'Offering 2'!X77*(1-'Offering 2'!$F78)-'Offering 3'!X77*(1-'Offering 3'!$F78)-'Offering 4'!X77*(1-'Offering 4'!$F78)</f>
        <v>-2312.1243742496645</v>
      </c>
      <c r="Y16" s="141">
        <f ca="1">-'Debtors+Creditors'!Y103-'Offering 1'!Y77*(1-'Offering 1'!$F78)-'Offering 2'!Y77*(1-'Offering 2'!$F78)-'Offering 3'!Y77*(1-'Offering 3'!$F78)-'Offering 4'!Y77*(1-'Offering 4'!$F78)</f>
        <v>-2441.3411049956508</v>
      </c>
      <c r="Z16" s="141">
        <f ca="1">-'Debtors+Creditors'!Z103-'Offering 1'!Z77*(1-'Offering 1'!$F78)-'Offering 2'!Z77*(1-'Offering 2'!$F78)-'Offering 3'!Z77*(1-'Offering 3'!$F78)-'Offering 4'!Z77*(1-'Offering 4'!$F78)</f>
        <v>-2584.9504793919573</v>
      </c>
      <c r="AA16" s="141">
        <f ca="1">-'Debtors+Creditors'!AA103-'Offering 1'!AA77*(1-'Offering 1'!$F78)-'Offering 2'!AA77*(1-'Offering 2'!$F78)-'Offering 3'!AA77*(1-'Offering 3'!$F78)-'Offering 4'!AA77*(1-'Offering 4'!$F78)</f>
        <v>-2731.7820482585153</v>
      </c>
      <c r="AB16" s="141">
        <f ca="1">-'Debtors+Creditors'!AB103-'Offering 1'!AB77*(1-'Offering 1'!$F78)-'Offering 2'!AB77*(1-'Offering 2'!$F78)-'Offering 3'!AB77*(1-'Offering 3'!$F78)-'Offering 4'!AB77*(1-'Offering 4'!$F78)</f>
        <v>-2868.9694645786162</v>
      </c>
      <c r="AC16" s="141">
        <f ca="1">-'Debtors+Creditors'!AC103-'Offering 1'!AC77*(1-'Offering 1'!$F78)-'Offering 2'!AC77*(1-'Offering 2'!$F78)-'Offering 3'!AC77*(1-'Offering 3'!$F78)-'Offering 4'!AC77*(1-'Offering 4'!$F78)</f>
        <v>-3018.6545981110853</v>
      </c>
      <c r="AD16" s="141">
        <f ca="1">-'Debtors+Creditors'!AD103-'Offering 1'!AD77*(1-'Offering 1'!$F78)-'Offering 2'!AD77*(1-'Offering 2'!$F78)-'Offering 3'!AD77*(1-'Offering 3'!$F78)-'Offering 4'!AD77*(1-'Offering 4'!$F78)</f>
        <v>-3172.4102798005979</v>
      </c>
      <c r="AE16" s="141">
        <f ca="1">-'Debtors+Creditors'!AE103-'Offering 1'!AE77*(1-'Offering 1'!$F78)-'Offering 2'!AE77*(1-'Offering 2'!$F78)-'Offering 3'!AE77*(1-'Offering 3'!$F78)-'Offering 4'!AE77*(1-'Offering 4'!$F78)</f>
        <v>-3320.5229531288401</v>
      </c>
      <c r="AF16" s="141">
        <f ca="1">-'Debtors+Creditors'!AF103-'Offering 1'!AF77*(1-'Offering 1'!$F78)-'Offering 2'!AF77*(1-'Offering 2'!$F78)-'Offering 3'!AF77*(1-'Offering 3'!$F78)-'Offering 4'!AF77*(1-'Offering 4'!$F78)</f>
        <v>0</v>
      </c>
      <c r="AG16" s="141">
        <f ca="1">-'Debtors+Creditors'!AG103-'Offering 1'!AG77*(1-'Offering 1'!$F78)-'Offering 2'!AG77*(1-'Offering 2'!$F78)-'Offering 3'!AG77*(1-'Offering 3'!$F78)-'Offering 4'!AG77*(1-'Offering 4'!$F78)</f>
        <v>0</v>
      </c>
    </row>
    <row r="17" spans="1:33" s="632" customFormat="1" ht="17.25" customHeight="1" outlineLevel="2">
      <c r="A17" s="861"/>
      <c r="B17" s="861"/>
      <c r="C17" s="800" t="str">
        <f>"Cost of Sales (incl. "&amp;Name_VAT &amp;")"</f>
        <v>Cost of Sales (incl. VAT)</v>
      </c>
      <c r="E17" s="878"/>
      <c r="F17" s="878"/>
      <c r="G17" s="253"/>
      <c r="H17" s="878"/>
      <c r="I17" s="236">
        <f t="shared" ca="1" si="1"/>
        <v>-184197.61157293114</v>
      </c>
      <c r="J17" s="141">
        <f ca="1">-('Offering 1'!J70-'Offering 1'!J69-'Offering 1'!J66+'Offering 1'!J72)-('Offering 2'!J70-'Offering 2'!J69-'Offering 2'!J66+'Offering 2'!J72)-('Offering 3'!J70-'Offering 3'!J69-'Offering 3'!J66+'Offering 3'!J72)-('Offering 4'!J70-'Offering 4'!J69-'Offering 4'!J66+'Offering 4'!J72)</f>
        <v>-912.4559999999999</v>
      </c>
      <c r="K17" s="141">
        <f ca="1">-('Offering 1'!K70-'Offering 1'!K69-'Offering 1'!K66+'Offering 1'!K72)-('Offering 2'!K70-'Offering 2'!K69-'Offering 2'!K66+'Offering 2'!K72)-('Offering 3'!K70-'Offering 3'!K69-'Offering 3'!K66+'Offering 3'!K72)-('Offering 4'!K70-'Offering 4'!K69-'Offering 4'!K66+'Offering 4'!K72)</f>
        <v>-1353.2559999999999</v>
      </c>
      <c r="L17" s="141">
        <f ca="1">-('Offering 1'!L70-'Offering 1'!L69-'Offering 1'!L66+'Offering 1'!L72)-('Offering 2'!L70-'Offering 2'!L69-'Offering 2'!L66+'Offering 2'!L72)-('Offering 3'!L70-'Offering 3'!L69-'Offering 3'!L66+'Offering 3'!L72)-('Offering 4'!L70-'Offering 4'!L69-'Offering 4'!L66+'Offering 4'!L72)</f>
        <v>-1904.2560000000005</v>
      </c>
      <c r="M17" s="141">
        <f ca="1">-('Offering 1'!M70-'Offering 1'!M69-'Offering 1'!M66+'Offering 1'!M72)-('Offering 2'!M70-'Offering 2'!M69-'Offering 2'!M66+'Offering 2'!M72)-('Offering 3'!M70-'Offering 3'!M69-'Offering 3'!M66+'Offering 3'!M72)-('Offering 4'!M70-'Offering 4'!M69-'Offering 4'!M66+'Offering 4'!M72)</f>
        <v>-3560.6652399999994</v>
      </c>
      <c r="N17" s="141">
        <f ca="1">-('Offering 1'!N70-'Offering 1'!N69-'Offering 1'!N66+'Offering 1'!N72)-('Offering 2'!N70-'Offering 2'!N69-'Offering 2'!N66+'Offering 2'!N72)-('Offering 3'!N70-'Offering 3'!N69-'Offering 3'!N66+'Offering 3'!N72)-('Offering 4'!N70-'Offering 4'!N69-'Offering 4'!N66+'Offering 4'!N72)</f>
        <v>-3005.5947999999999</v>
      </c>
      <c r="O17" s="141">
        <f ca="1">-('Offering 1'!O70-'Offering 1'!O69-'Offering 1'!O66+'Offering 1'!O72)-('Offering 2'!O70-'Offering 2'!O69-'Offering 2'!O66+'Offering 2'!O72)-('Offering 3'!O70-'Offering 3'!O69-'Offering 3'!O66+'Offering 3'!O72)-('Offering 4'!O70-'Offering 4'!O69-'Offering 4'!O66+'Offering 4'!O72)</f>
        <v>-3597.8448639999992</v>
      </c>
      <c r="P17" s="141">
        <f ca="1">-('Offering 1'!P70-'Offering 1'!P69-'Offering 1'!P66+'Offering 1'!P72)-('Offering 2'!P70-'Offering 2'!P69-'Offering 2'!P66+'Offering 2'!P72)-('Offering 3'!P70-'Offering 3'!P69-'Offering 3'!P66+'Offering 3'!P72)-('Offering 4'!P70-'Offering 4'!P69-'Offering 4'!P66+'Offering 4'!P72)</f>
        <v>-6529.1999099200011</v>
      </c>
      <c r="Q17" s="141">
        <f ca="1">-('Offering 1'!Q70-'Offering 1'!Q69-'Offering 1'!Q66+'Offering 1'!Q72)-('Offering 2'!Q70-'Offering 2'!Q69-'Offering 2'!Q66+'Offering 2'!Q72)-('Offering 3'!Q70-'Offering 3'!Q69-'Offering 3'!Q66+'Offering 3'!Q72)-('Offering 4'!Q70-'Offering 4'!Q69-'Offering 4'!Q66+'Offering 4'!Q72)</f>
        <v>-4790.0829397824009</v>
      </c>
      <c r="R17" s="141">
        <f ca="1">-('Offering 1'!R70-'Offering 1'!R69-'Offering 1'!R66+'Offering 1'!R72)-('Offering 2'!R70-'Offering 2'!R69-'Offering 2'!R66+'Offering 2'!R72)-('Offering 3'!R70-'Offering 3'!R69-'Offering 3'!R66+'Offering 3'!R72)-('Offering 4'!R70-'Offering 4'!R69-'Offering 4'!R66+'Offering 4'!R72)</f>
        <v>-5430.1112157736961</v>
      </c>
      <c r="S17" s="141">
        <f ca="1">-('Offering 1'!S70-'Offering 1'!S69-'Offering 1'!S66+'Offering 1'!S72)-('Offering 2'!S70-'Offering 2'!S69-'Offering 2'!S66+'Offering 2'!S72)-('Offering 3'!S70-'Offering 3'!S69-'Offering 3'!S66+'Offering 3'!S72)-('Offering 4'!S70-'Offering 4'!S69-'Offering 4'!S66+'Offering 4'!S72)</f>
        <v>-9729.6837458958689</v>
      </c>
      <c r="T17" s="141">
        <f ca="1">-('Offering 1'!T70-'Offering 1'!T69-'Offering 1'!T66+'Offering 1'!T72)-('Offering 2'!T70-'Offering 2'!T69-'Offering 2'!T66+'Offering 2'!T72)-('Offering 3'!T70-'Offering 3'!T69-'Offering 3'!T66+'Offering 3'!T72)-('Offering 4'!T70-'Offering 4'!T69-'Offering 4'!T66+'Offering 4'!T72)</f>
        <v>-6522.8468431168303</v>
      </c>
      <c r="U17" s="141">
        <f ca="1">-('Offering 1'!U70-'Offering 1'!U69-'Offering 1'!U66+'Offering 1'!U72)-('Offering 2'!U70-'Offering 2'!U69-'Offering 2'!U66+'Offering 2'!U72)-('Offering 3'!U70-'Offering 3'!U69-'Offering 3'!U66+'Offering 3'!U72)-('Offering 4'!U70-'Offering 4'!U69-'Offering 4'!U66+'Offering 4'!U72)</f>
        <v>-7123.4450097615036</v>
      </c>
      <c r="V17" s="141">
        <f ca="1">-('Offering 1'!V70-'Offering 1'!V69-'Offering 1'!V66+'Offering 1'!V72)-('Offering 2'!V70-'Offering 2'!V69-'Offering 2'!V66+'Offering 2'!V72)-('Offering 3'!V70-'Offering 3'!V69-'Offering 3'!V66+'Offering 3'!V72)-('Offering 4'!V70-'Offering 4'!V69-'Offering 4'!V66+'Offering 4'!V72)</f>
        <v>-12762.349761382517</v>
      </c>
      <c r="W17" s="141">
        <f ca="1">-('Offering 1'!W70-'Offering 1'!W69-'Offering 1'!W66+'Offering 1'!W72)-('Offering 2'!W70-'Offering 2'!W69-'Offering 2'!W66+'Offering 2'!W72)-('Offering 3'!W70-'Offering 3'!W69-'Offering 3'!W66+'Offering 3'!W72)-('Offering 4'!W70-'Offering 4'!W69-'Offering 4'!W66+'Offering 4'!W72)</f>
        <v>-8194.7629799048427</v>
      </c>
      <c r="X17" s="141">
        <f ca="1">-('Offering 1'!X70-'Offering 1'!X69-'Offering 1'!X66+'Offering 1'!X72)-('Offering 2'!X70-'Offering 2'!X69-'Offering 2'!X66+'Offering 2'!X72)-('Offering 3'!X70-'Offering 3'!X69-'Offering 3'!X66+'Offering 3'!X72)-('Offering 4'!X70-'Offering 4'!X69-'Offering 4'!X66+'Offering 4'!X72)</f>
        <v>-8779.6508200294356</v>
      </c>
      <c r="Y17" s="141">
        <f ca="1">-('Offering 1'!Y70-'Offering 1'!Y69-'Offering 1'!Y66+'Offering 1'!Y72)-('Offering 2'!Y70-'Offering 2'!Y69-'Offering 2'!Y66+'Offering 2'!Y72)-('Offering 3'!Y70-'Offering 3'!Y69-'Offering 3'!Y66+'Offering 3'!Y72)-('Offering 4'!Y70-'Offering 4'!Y69-'Offering 4'!Y66+'Offering 4'!Y72)</f>
        <v>-15599.759206716199</v>
      </c>
      <c r="Z17" s="141">
        <f ca="1">-('Offering 1'!Z70-'Offering 1'!Z69-'Offering 1'!Z66+'Offering 1'!Z72)-('Offering 2'!Z70-'Offering 2'!Z69-'Offering 2'!Z66+'Offering 2'!Z72)-('Offering 3'!Z70-'Offering 3'!Z69-'Offering 3'!Z66+'Offering 3'!Z72)-('Offering 4'!Z70-'Offering 4'!Z69-'Offering 4'!Z66+'Offering 4'!Z72)</f>
        <v>-9865.0079983646738</v>
      </c>
      <c r="AA17" s="141">
        <f ca="1">-('Offering 1'!AA70-'Offering 1'!AA69-'Offering 1'!AA66+'Offering 1'!AA72)-('Offering 2'!AA70-'Offering 2'!AA69-'Offering 2'!AA66+'Offering 2'!AA72)-('Offering 3'!AA70-'Offering 3'!AA69-'Offering 3'!AA66+'Offering 3'!AA72)-('Offering 4'!AA70-'Offering 4'!AA69-'Offering 4'!AA66+'Offering 4'!AA72)</f>
        <v>-10453.99267759859</v>
      </c>
      <c r="AB17" s="141">
        <f ca="1">-('Offering 1'!AB70-'Offering 1'!AB69-'Offering 1'!AB66+'Offering 1'!AB72)-('Offering 2'!AB70-'Offering 2'!AB69-'Offering 2'!AB66+'Offering 2'!AB72)-('Offering 3'!AB70-'Offering 3'!AB69-'Offering 3'!AB66+'Offering 3'!AB72)-('Offering 4'!AB70-'Offering 4'!AB69-'Offering 4'!AB66+'Offering 4'!AB72)</f>
        <v>-18596.888172809184</v>
      </c>
      <c r="AC17" s="141">
        <f ca="1">-('Offering 1'!AC70-'Offering 1'!AC69-'Offering 1'!AC66+'Offering 1'!AC72)-('Offering 2'!AC70-'Offering 2'!AC69-'Offering 2'!AC66+'Offering 2'!AC72)-('Offering 3'!AC70-'Offering 3'!AC69-'Offering 3'!AC66+'Offering 3'!AC72)-('Offering 4'!AC70-'Offering 4'!AC69-'Offering 4'!AC66+'Offering 4'!AC72)</f>
        <v>-11584.109511215871</v>
      </c>
      <c r="AD17" s="141">
        <f ca="1">-('Offering 1'!AD70-'Offering 1'!AD69-'Offering 1'!AD66+'Offering 1'!AD72)-('Offering 2'!AD70-'Offering 2'!AD69-'Offering 2'!AD66+'Offering 2'!AD72)-('Offering 3'!AD70-'Offering 3'!AD69-'Offering 3'!AD66+'Offering 3'!AD72)-('Offering 4'!AD70-'Offering 4'!AD69-'Offering 4'!AD66+'Offering 4'!AD72)</f>
        <v>-12194.24688035605</v>
      </c>
      <c r="AE17" s="141">
        <f ca="1">-('Offering 1'!AE70-'Offering 1'!AE69-'Offering 1'!AE66+'Offering 1'!AE72)-('Offering 2'!AE70-'Offering 2'!AE69-'Offering 2'!AE66+'Offering 2'!AE72)-('Offering 3'!AE70-'Offering 3'!AE69-'Offering 3'!AE66+'Offering 3'!AE72)-('Offering 4'!AE70-'Offering 4'!AE69-'Offering 4'!AE66+'Offering 4'!AE72)</f>
        <v>-21707.40099630344</v>
      </c>
      <c r="AF17" s="141">
        <f ca="1">-('Offering 1'!AF70-'Offering 1'!AF69-'Offering 1'!AF66+'Offering 1'!AF72)-('Offering 2'!AF70-'Offering 2'!AF69-'Offering 2'!AF66+'Offering 2'!AF72)-('Offering 3'!AF70-'Offering 3'!AF69-'Offering 3'!AF66+'Offering 3'!AF72)-('Offering 4'!AF70-'Offering 4'!AF69-'Offering 4'!AF66+'Offering 4'!AF72)</f>
        <v>0</v>
      </c>
      <c r="AG17" s="141">
        <f ca="1">-('Offering 1'!AG70-'Offering 1'!AG69-'Offering 1'!AG66+'Offering 1'!AG72)-('Offering 2'!AG70-'Offering 2'!AG69-'Offering 2'!AG66+'Offering 2'!AG72)-('Offering 3'!AG70-'Offering 3'!AG69-'Offering 3'!AG66+'Offering 3'!AG72)-('Offering 4'!AG70-'Offering 4'!AG69-'Offering 4'!AG66+'Offering 4'!AG72)</f>
        <v>0</v>
      </c>
    </row>
    <row r="18" spans="1:33" s="878" customFormat="1" ht="17.25" customHeight="1" outlineLevel="2">
      <c r="A18" s="861"/>
      <c r="B18" s="861"/>
      <c r="C18" s="800" t="str">
        <f>"Changes in inventory (incl. "&amp;Name_VAT &amp;")"</f>
        <v>Changes in inventory (incl. VAT)</v>
      </c>
      <c r="G18" s="253"/>
      <c r="I18" s="236">
        <f t="shared" ca="1" si="1"/>
        <v>-51832.919156826101</v>
      </c>
      <c r="J18" s="141">
        <f ca="1">-(IFS!J206+IFS!J211)</f>
        <v>-2206.0714285714289</v>
      </c>
      <c r="K18" s="141">
        <f ca="1">-(IFS!K206+IFS!K211)</f>
        <v>-1301.9930875576031</v>
      </c>
      <c r="L18" s="141">
        <f ca="1">-(IFS!L206+IFS!L211)</f>
        <v>-2354.7688172043008</v>
      </c>
      <c r="M18" s="141">
        <f ca="1">-(IFS!M206+IFS!M211)</f>
        <v>-1885.8544086021502</v>
      </c>
      <c r="N18" s="141">
        <f ca="1">-(IFS!N206+IFS!N211)</f>
        <v>-2803.0202580645182</v>
      </c>
      <c r="O18" s="141">
        <f ca="1">-(IFS!O206+IFS!O211)</f>
        <v>-1921.1014451612898</v>
      </c>
      <c r="P18" s="141">
        <f ca="1">-(IFS!P206+IFS!P211)</f>
        <v>-2662.6057455483915</v>
      </c>
      <c r="Q18" s="141">
        <f ca="1">-(IFS!Q206+IFS!Q211)</f>
        <v>-3351.976052639654</v>
      </c>
      <c r="R18" s="141">
        <f ca="1">-(IFS!R206+IFS!R211)</f>
        <v>-2135.4898180861251</v>
      </c>
      <c r="S18" s="141">
        <f ca="1">-(IFS!S206+IFS!S211)</f>
        <v>-3007.9480867205139</v>
      </c>
      <c r="T18" s="141">
        <f ca="1">-(IFS!T206+IFS!T211)</f>
        <v>-1766.9926446823006</v>
      </c>
      <c r="U18" s="141">
        <f ca="1">-(IFS!U206+IFS!U211)</f>
        <v>-1421.2661761990589</v>
      </c>
      <c r="V18" s="141">
        <f ca="1">-(IFS!V206+IFS!V211)</f>
        <v>-5331.9328447270873</v>
      </c>
      <c r="W18" s="141">
        <f ca="1">-(IFS!W206+IFS!W211)</f>
        <v>867.27906519938188</v>
      </c>
      <c r="X18" s="141">
        <f ca="1">-(IFS!X206+IFS!X211)</f>
        <v>-3632.3568612780409</v>
      </c>
      <c r="Y18" s="141">
        <f ca="1">-(IFS!Y206+IFS!Y211)</f>
        <v>-862.11878039673525</v>
      </c>
      <c r="Z18" s="141">
        <f ca="1">-(IFS!Z206+IFS!Z211)</f>
        <v>-3744.8689246570998</v>
      </c>
      <c r="AA18" s="141">
        <f ca="1">-(IFS!AA206+IFS!AA211)</f>
        <v>-1063.0844116864741</v>
      </c>
      <c r="AB18" s="141">
        <f ca="1">-(IFS!AB206+IFS!AB211)</f>
        <v>-2185.2276612255528</v>
      </c>
      <c r="AC18" s="141">
        <f ca="1">-(IFS!AC206+IFS!AC211)</f>
        <v>-4047.1676901187211</v>
      </c>
      <c r="AD18" s="141">
        <f ca="1">-(IFS!AD206+IFS!AD211)</f>
        <v>-909.14503631415255</v>
      </c>
      <c r="AE18" s="141">
        <f ca="1">-(IFS!AE206+IFS!AE211)</f>
        <v>-4105.2080425842769</v>
      </c>
      <c r="AF18" s="141">
        <f ca="1">-(IFS!AF206+IFS!AF211)</f>
        <v>0</v>
      </c>
      <c r="AG18" s="141">
        <f ca="1">-(IFS!AG206+IFS!AG211)</f>
        <v>0</v>
      </c>
    </row>
    <row r="19" spans="1:33" s="632" customFormat="1" ht="17.25" customHeight="1" outlineLevel="2">
      <c r="A19" s="861"/>
      <c r="B19" s="861"/>
      <c r="C19" s="632" t="str">
        <f>"Overheads (incl. "&amp;Name_VAT &amp;")"</f>
        <v>Overheads (incl. VAT)</v>
      </c>
      <c r="G19" s="253"/>
      <c r="H19" s="878"/>
      <c r="I19" s="236">
        <f t="shared" ca="1" si="1"/>
        <v>-906980.52447950386</v>
      </c>
      <c r="J19" s="141">
        <f ca="1">-('Debtors+Creditors'!J87+'Debtors+Creditors'!J98+'Human Resources'!J81+'Human Resources'!J156+'Debtors+Creditors'!J89)*J6</f>
        <v>-13772.273333333333</v>
      </c>
      <c r="K19" s="141">
        <f ca="1">-('Debtors+Creditors'!K87+'Debtors+Creditors'!K98+'Human Resources'!K81+'Human Resources'!K156+'Debtors+Creditors'!K89)*K6</f>
        <v>-19894.406666666666</v>
      </c>
      <c r="L19" s="141">
        <f ca="1">-('Debtors+Creditors'!L87+'Debtors+Creditors'!L98+'Human Resources'!L81+'Human Resources'!L156+'Debtors+Creditors'!L89)*L6</f>
        <v>-21592.906666666669</v>
      </c>
      <c r="M19" s="141">
        <f ca="1">-('Debtors+Creditors'!M87+'Debtors+Creditors'!M98+'Human Resources'!M81+'Human Resources'!M156+'Debtors+Creditors'!M89)*M6</f>
        <v>-27095.934666666668</v>
      </c>
      <c r="N19" s="141">
        <f ca="1">-('Debtors+Creditors'!N87+'Debtors+Creditors'!N98+'Human Resources'!N81+'Human Resources'!N156+'Debtors+Creditors'!N89)*N6</f>
        <v>-32149.641999999996</v>
      </c>
      <c r="O19" s="141">
        <f ca="1">-('Debtors+Creditors'!O87+'Debtors+Creditors'!O98+'Human Resources'!O81+'Human Resources'!O156+'Debtors+Creditors'!O89)*O6</f>
        <v>-28683.911160000003</v>
      </c>
      <c r="P19" s="141">
        <f ca="1">-('Debtors+Creditors'!P87+'Debtors+Creditors'!P98+'Human Resources'!P81+'Human Resources'!P156+'Debtors+Creditors'!P89)*P6</f>
        <v>-31268.645165733335</v>
      </c>
      <c r="Q19" s="141">
        <f ca="1">-('Debtors+Creditors'!Q87+'Debtors+Creditors'!Q98+'Human Resources'!Q81+'Human Resources'!Q156+'Debtors+Creditors'!Q89)*Q6</f>
        <v>-37351.496138489332</v>
      </c>
      <c r="R19" s="141">
        <f ca="1">-('Debtors+Creditors'!R87+'Debtors+Creditors'!R98+'Human Resources'!R81+'Human Resources'!R156+'Debtors+Creditors'!R89)*R6</f>
        <v>-36646.445210656842</v>
      </c>
      <c r="S19" s="141">
        <f ca="1">-('Debtors+Creditors'!S87+'Debtors+Creditors'!S98+'Human Resources'!S81+'Human Resources'!S156+'Debtors+Creditors'!S89)*S6</f>
        <v>-37568.430613617325</v>
      </c>
      <c r="T19" s="141">
        <f ca="1">-('Debtors+Creditors'!T87+'Debtors+Creditors'!T98+'Human Resources'!T81+'Human Resources'!T156+'Debtors+Creditors'!T89)*T6</f>
        <v>-38683.070276948245</v>
      </c>
      <c r="U19" s="141">
        <f ca="1">-('Debtors+Creditors'!U87+'Debtors+Creditors'!U98+'Human Resources'!U81+'Human Resources'!U156+'Debtors+Creditors'!U89)*U6</f>
        <v>-41911.683229719223</v>
      </c>
      <c r="V19" s="141">
        <f ca="1">-('Debtors+Creditors'!V87+'Debtors+Creditors'!V98+'Human Resources'!V81+'Human Resources'!V156+'Debtors+Creditors'!V89)*V6</f>
        <v>-41069.112996355703</v>
      </c>
      <c r="W19" s="141">
        <f ca="1">-('Debtors+Creditors'!W87+'Debtors+Creditors'!W98+'Human Resources'!W81+'Human Resources'!W156+'Debtors+Creditors'!W89)*W6</f>
        <v>-48548.910871465567</v>
      </c>
      <c r="X19" s="141">
        <f ca="1">-('Debtors+Creditors'!X87+'Debtors+Creditors'!X98+'Human Resources'!X81+'Human Resources'!X156+'Debtors+Creditors'!X89)*X6</f>
        <v>-46966.838116025967</v>
      </c>
      <c r="Y19" s="141">
        <f ca="1">-('Debtors+Creditors'!Y87+'Debtors+Creditors'!Y98+'Human Resources'!Y81+'Human Resources'!Y156+'Debtors+Creditors'!Y89)*Y6</f>
        <v>-50974.22652239586</v>
      </c>
      <c r="Z19" s="141">
        <f ca="1">-('Debtors+Creditors'!Z87+'Debtors+Creditors'!Z98+'Human Resources'!Z81+'Human Resources'!Z156+'Debtors+Creditors'!Z89)*Z6</f>
        <v>-50916.973811657335</v>
      </c>
      <c r="AA19" s="141">
        <f ca="1">-('Debtors+Creditors'!AA87+'Debtors+Creditors'!AA98+'Human Resources'!AA81+'Human Resources'!AA156+'Debtors+Creditors'!AA89)*AA6</f>
        <v>-51838.831904547493</v>
      </c>
      <c r="AB19" s="141">
        <f ca="1">-('Debtors+Creditors'!AB87+'Debtors+Creditors'!AB98+'Human Resources'!AB81+'Human Resources'!AB156+'Debtors+Creditors'!AB89)*AB6</f>
        <v>-63691.585403596153</v>
      </c>
      <c r="AC19" s="141">
        <f ca="1">-('Debtors+Creditors'!AC87+'Debtors+Creditors'!AC98+'Human Resources'!AC81+'Human Resources'!AC156+'Debtors+Creditors'!AC89)*AC6</f>
        <v>-58589.402760347795</v>
      </c>
      <c r="AD19" s="141">
        <f ca="1">-('Debtors+Creditors'!AD87+'Debtors+Creditors'!AD98+'Human Resources'!AD81+'Human Resources'!AD156+'Debtors+Creditors'!AD89)*AD6</f>
        <v>-61074.572735004971</v>
      </c>
      <c r="AE19" s="141">
        <f ca="1">-('Debtors+Creditors'!AE87+'Debtors+Creditors'!AE98+'Human Resources'!AE81+'Human Resources'!AE156+'Debtors+Creditors'!AE89)*AE6</f>
        <v>-66691.224229609405</v>
      </c>
      <c r="AF19" s="141">
        <f ca="1">-('Debtors+Creditors'!AF87+'Debtors+Creditors'!AF98+'Human Resources'!AF81+'Human Resources'!AF156+'Debtors+Creditors'!AF89)*AF6</f>
        <v>0</v>
      </c>
      <c r="AG19" s="141">
        <f ca="1">-('Debtors+Creditors'!AG87+'Debtors+Creditors'!AG98+'Human Resources'!AG81+'Human Resources'!AG156+'Debtors+Creditors'!AG89)*AG6</f>
        <v>0</v>
      </c>
    </row>
    <row r="20" spans="1:33" s="632" customFormat="1" ht="17.25" customHeight="1" outlineLevel="2">
      <c r="A20" s="861"/>
      <c r="B20" s="861"/>
      <c r="C20" s="632" t="str">
        <f>CHOOSE(language,"Direct labour costs (w/o social insurance+income tax)","Direct labor costs (w/o social insurance+income tax)")</f>
        <v>Direct labor costs (w/o social insurance+income tax)</v>
      </c>
      <c r="E20" s="680"/>
      <c r="H20" s="878"/>
      <c r="I20" s="236">
        <f t="shared" ca="1" si="1"/>
        <v>-207224.83861747268</v>
      </c>
      <c r="J20" s="141">
        <f ca="1">-('Human Resources'!J51+'Human Resources'!J126)*J6</f>
        <v>-1260.6300000000001</v>
      </c>
      <c r="K20" s="141">
        <f ca="1">-('Human Resources'!K51+'Human Resources'!K126)*K6</f>
        <v>-1869.63</v>
      </c>
      <c r="L20" s="141">
        <f ca="1">-('Human Resources'!L51+'Human Resources'!L126)*L6</f>
        <v>-2630.8800000000006</v>
      </c>
      <c r="M20" s="141">
        <f ca="1">-('Human Resources'!M51+'Human Resources'!M126)*M6</f>
        <v>-3359.5484999999999</v>
      </c>
      <c r="N20" s="141">
        <f ca="1">-('Human Resources'!N51+'Human Resources'!N126)*N6</f>
        <v>-4152.4665000000005</v>
      </c>
      <c r="O20" s="141">
        <f ca="1">-('Human Resources'!O51+'Human Resources'!O126)*O6</f>
        <v>-4970.7067200000001</v>
      </c>
      <c r="P20" s="141">
        <f ca="1">-('Human Resources'!P51+'Human Resources'!P126)*P6</f>
        <v>-5761.7966237999999</v>
      </c>
      <c r="Q20" s="141">
        <f ca="1">-('Human Resources'!Q51+'Human Resources'!Q126)*Q6</f>
        <v>-6617.8777457520018</v>
      </c>
      <c r="R20" s="141">
        <f ca="1">-('Human Resources'!R51+'Human Resources'!R126)*R6</f>
        <v>-7502.127337582082</v>
      </c>
      <c r="S20" s="141">
        <f ca="1">-('Human Resources'!S51+'Human Resources'!S126)*S6</f>
        <v>-8187.3329168353639</v>
      </c>
      <c r="T20" s="141">
        <f ca="1">-('Human Resources'!T51+'Human Resources'!T126)*T6</f>
        <v>-9011.8278753587801</v>
      </c>
      <c r="U20" s="141">
        <f ca="1">-('Human Resources'!U51+'Human Resources'!U126)*U6</f>
        <v>-9940.0176748053636</v>
      </c>
      <c r="V20" s="141">
        <f ca="1">-('Human Resources'!V51+'Human Resources'!V126)*V6</f>
        <v>-10629.724630486204</v>
      </c>
      <c r="W20" s="141">
        <f ca="1">-('Human Resources'!W51+'Human Resources'!W126)*W6</f>
        <v>-11434.929131827745</v>
      </c>
      <c r="X20" s="141">
        <f ca="1">-('Human Resources'!X51+'Human Resources'!X126)*X6</f>
        <v>-12251.078545580551</v>
      </c>
      <c r="Y20" s="141">
        <f ca="1">-('Human Resources'!Y51+'Human Resources'!Y126)*Y6</f>
        <v>-12959.785812042708</v>
      </c>
      <c r="Z20" s="141">
        <f ca="1">-('Human Resources'!Z51+'Human Resources'!Z126)*Z6</f>
        <v>-13765.580239823339</v>
      </c>
      <c r="AA20" s="141">
        <f ca="1">-('Human Resources'!AA51+'Human Resources'!AA126)*AA6</f>
        <v>-14587.446361306977</v>
      </c>
      <c r="AB20" s="141">
        <f ca="1">-('Human Resources'!AB51+'Human Resources'!AB126)*AB6</f>
        <v>-15333.959157338648</v>
      </c>
      <c r="AC20" s="141">
        <f ca="1">-('Human Resources'!AC51+'Human Resources'!AC126)*AC6</f>
        <v>-16164.405442953203</v>
      </c>
      <c r="AD20" s="141">
        <f ca="1">-('Human Resources'!AD51+'Human Resources'!AD126)*AD6</f>
        <v>-17015.78791660209</v>
      </c>
      <c r="AE20" s="141">
        <f ca="1">-('Human Resources'!AE51+'Human Resources'!AE126)*AE6</f>
        <v>-17817.299485377622</v>
      </c>
      <c r="AF20" s="141">
        <f ca="1">-('Human Resources'!AF51+'Human Resources'!AF126)*AF6</f>
        <v>0</v>
      </c>
      <c r="AG20" s="141">
        <f ca="1">-('Human Resources'!AG51+'Human Resources'!AG126)*AG6</f>
        <v>0</v>
      </c>
    </row>
    <row r="21" spans="1:33" s="632" customFormat="1" ht="17.25" customHeight="1" outlineLevel="2">
      <c r="A21" s="861"/>
      <c r="B21" s="861"/>
      <c r="C21" s="632" t="s">
        <v>721</v>
      </c>
      <c r="E21" s="680"/>
      <c r="H21" s="878"/>
      <c r="I21" s="236">
        <f t="shared" ca="1" si="1"/>
        <v>-136461.00617151137</v>
      </c>
      <c r="J21" s="141">
        <f>'Debtors+Creditors'!J122*J6</f>
        <v>0</v>
      </c>
      <c r="K21" s="141">
        <f ca="1">'Debtors+Creditors'!K122*K6</f>
        <v>-1774.7555555555555</v>
      </c>
      <c r="L21" s="141">
        <f ca="1">'Debtors+Creditors'!L122*L6</f>
        <v>-2140.3111111111116</v>
      </c>
      <c r="M21" s="141">
        <f ca="1">'Debtors+Creditors'!M122*M6</f>
        <v>-2493.0888888888894</v>
      </c>
      <c r="N21" s="141">
        <f ca="1">'Debtors+Creditors'!N122*N6</f>
        <v>-2778.1844444444446</v>
      </c>
      <c r="O21" s="141">
        <f ca="1">'Debtors+Creditors'!O122*O6</f>
        <v>-3087.7488888888893</v>
      </c>
      <c r="P21" s="141">
        <f ca="1">'Debtors+Creditors'!P122*P6</f>
        <v>-3990.6492444444448</v>
      </c>
      <c r="Q21" s="141">
        <f ca="1">'Debtors+Creditors'!Q122*Q6</f>
        <v>-4300.7119475555564</v>
      </c>
      <c r="R21" s="141">
        <f ca="1">'Debtors+Creditors'!R122*R6</f>
        <v>-5718.9223054577797</v>
      </c>
      <c r="S21" s="141">
        <f ca="1">'Debtors+Creditors'!S122*S6</f>
        <v>-6064.9334110094233</v>
      </c>
      <c r="T21" s="141">
        <f ca="1">'Debtors+Creditors'!T122*T6</f>
        <v>-6337.5372774498001</v>
      </c>
      <c r="U21" s="141">
        <f ca="1">'Debtors+Creditors'!U122*U6</f>
        <v>-6662.6868892144594</v>
      </c>
      <c r="V21" s="141">
        <f ca="1">'Debtors+Creditors'!V122*V6</f>
        <v>-7069.0564569434773</v>
      </c>
      <c r="W21" s="141">
        <f ca="1">'Debtors+Creditors'!W122*W6</f>
        <v>-7346.3257714228839</v>
      </c>
      <c r="X21" s="141">
        <f ca="1">'Debtors+Creditors'!X122*X6</f>
        <v>-8256.6481267138643</v>
      </c>
      <c r="Y21" s="141">
        <f ca="1">'Debtors+Creditors'!Y122*Y6</f>
        <v>-8582.7175270751522</v>
      </c>
      <c r="Z21" s="141">
        <f ca="1">'Debtors+Creditors'!Z122*Z6</f>
        <v>-8869.5681566572093</v>
      </c>
      <c r="AA21" s="141">
        <f ca="1">'Debtors+Creditors'!AA122*AA6</f>
        <v>-9193.5366676399772</v>
      </c>
      <c r="AB21" s="141">
        <f ca="1">'Debtors+Creditors'!AB122*AB6</f>
        <v>-9524.4352070479781</v>
      </c>
      <c r="AC21" s="141">
        <f ca="1">'Debtors+Creditors'!AC122*AC6</f>
        <v>-10417.360618485669</v>
      </c>
      <c r="AD21" s="141">
        <f ca="1">'Debtors+Creditors'!AD122*AD6</f>
        <v>-10753.442282848882</v>
      </c>
      <c r="AE21" s="141">
        <f ca="1">'Debtors+Creditors'!AE122*AE6</f>
        <v>-11098.385392655924</v>
      </c>
      <c r="AF21" s="141">
        <f ca="1">'Debtors+Creditors'!AF122*AF6</f>
        <v>0</v>
      </c>
      <c r="AG21" s="141">
        <f ca="1">'Debtors+Creditors'!AG122*AG6</f>
        <v>0</v>
      </c>
    </row>
    <row r="22" spans="1:33" s="199" customFormat="1" ht="17.25" customHeight="1" outlineLevel="2">
      <c r="A22" s="861"/>
      <c r="B22" s="861"/>
      <c r="C22" s="116" t="s">
        <v>281</v>
      </c>
      <c r="E22" s="680"/>
      <c r="H22" s="878"/>
      <c r="I22" s="236">
        <f t="shared" si="1"/>
        <v>0</v>
      </c>
      <c r="J22" s="141">
        <f>-Inputs!J334*J6</f>
        <v>0</v>
      </c>
      <c r="K22" s="141">
        <f>-Inputs!K334*K6</f>
        <v>0</v>
      </c>
      <c r="L22" s="141">
        <f>-Inputs!L334*L6</f>
        <v>0</v>
      </c>
      <c r="M22" s="141">
        <f>-Inputs!M334*M6</f>
        <v>0</v>
      </c>
      <c r="N22" s="141">
        <f>-Inputs!N334*N6</f>
        <v>0</v>
      </c>
      <c r="O22" s="141">
        <f>-Inputs!O334*O6</f>
        <v>0</v>
      </c>
      <c r="P22" s="141">
        <f>-Inputs!P334*P6</f>
        <v>0</v>
      </c>
      <c r="Q22" s="141">
        <f>-Inputs!Q334*Q6</f>
        <v>0</v>
      </c>
      <c r="R22" s="141">
        <f>-Inputs!R334*R6</f>
        <v>0</v>
      </c>
      <c r="S22" s="141">
        <f>-Inputs!S334*S6</f>
        <v>0</v>
      </c>
      <c r="T22" s="141">
        <f>-Inputs!T334*T6</f>
        <v>0</v>
      </c>
      <c r="U22" s="141">
        <f>-Inputs!U334*U6</f>
        <v>0</v>
      </c>
      <c r="V22" s="141">
        <f>-Inputs!V334*V6</f>
        <v>0</v>
      </c>
      <c r="W22" s="141">
        <f>-Inputs!W334*W6</f>
        <v>0</v>
      </c>
      <c r="X22" s="141">
        <f>-Inputs!X334*X6</f>
        <v>0</v>
      </c>
      <c r="Y22" s="141">
        <f>-Inputs!Y334*Y6</f>
        <v>0</v>
      </c>
      <c r="Z22" s="141">
        <f>-Inputs!Z334*Z6</f>
        <v>0</v>
      </c>
      <c r="AA22" s="141">
        <f>-Inputs!AA334*AA6</f>
        <v>0</v>
      </c>
      <c r="AB22" s="141">
        <f>-Inputs!AB334*AB6</f>
        <v>0</v>
      </c>
      <c r="AC22" s="141">
        <f>-Inputs!AC334*AC6</f>
        <v>0</v>
      </c>
      <c r="AD22" s="141">
        <f>-Inputs!AD334*AD6</f>
        <v>0</v>
      </c>
      <c r="AE22" s="141">
        <f>-Inputs!AE334*AE6</f>
        <v>0</v>
      </c>
      <c r="AF22" s="141">
        <f>-Inputs!AF334*AF6</f>
        <v>0</v>
      </c>
      <c r="AG22" s="141">
        <f>-Inputs!AG334*AG6</f>
        <v>0</v>
      </c>
    </row>
    <row r="23" spans="1:33" ht="17.25" customHeight="1" outlineLevel="2">
      <c r="A23" s="861"/>
      <c r="B23" s="861"/>
      <c r="C23" s="116" t="str">
        <f>"Capital Expenditure (incl. "&amp;Name_VAT &amp;")"</f>
        <v>Capital Expenditure (incl. VAT)</v>
      </c>
      <c r="E23" s="36"/>
      <c r="H23" s="878"/>
      <c r="I23" s="236">
        <f t="shared" si="1"/>
        <v>-267140</v>
      </c>
      <c r="J23" s="141">
        <f>-(Capex!J160+Capex!J182)*J6</f>
        <v>-11800</v>
      </c>
      <c r="K23" s="141">
        <f>-(Capex!K160+Capex!K182)*K6</f>
        <v>0</v>
      </c>
      <c r="L23" s="141">
        <f>-(Capex!L160+Capex!L182)*L6</f>
        <v>-64700</v>
      </c>
      <c r="M23" s="141">
        <f>-(Capex!M160+Capex!M182)*M6</f>
        <v>0</v>
      </c>
      <c r="N23" s="141">
        <f>-(Capex!N160+Capex!N182)*N6</f>
        <v>0</v>
      </c>
      <c r="O23" s="141">
        <f>-(Capex!O160+Capex!O182)*O6</f>
        <v>0</v>
      </c>
      <c r="P23" s="141">
        <f>-(Capex!P160+Capex!P182)*P6</f>
        <v>-18900</v>
      </c>
      <c r="Q23" s="141">
        <f>-(Capex!Q160+Capex!Q182)*Q6</f>
        <v>-106740</v>
      </c>
      <c r="R23" s="141">
        <f>-(Capex!R160+Capex!R182)*R6</f>
        <v>0</v>
      </c>
      <c r="S23" s="141">
        <f>-(Capex!S160+Capex!S182)*S6</f>
        <v>0</v>
      </c>
      <c r="T23" s="141">
        <f>-(Capex!T160+Capex!T182)*T6</f>
        <v>0</v>
      </c>
      <c r="U23" s="141">
        <f>-(Capex!U160+Capex!U182)*U6</f>
        <v>0</v>
      </c>
      <c r="V23" s="141">
        <f>-(Capex!V160+Capex!V182)*V6</f>
        <v>-53000</v>
      </c>
      <c r="W23" s="141">
        <f>-(Capex!W160+Capex!W182)*W6</f>
        <v>0</v>
      </c>
      <c r="X23" s="141">
        <f>-(Capex!X160+Capex!X182)*X6</f>
        <v>0</v>
      </c>
      <c r="Y23" s="141">
        <f>-(Capex!Y160+Capex!Y182)*Y6</f>
        <v>-12000</v>
      </c>
      <c r="Z23" s="141">
        <f>-(Capex!Z160+Capex!Z182)*Z6</f>
        <v>0</v>
      </c>
      <c r="AA23" s="141">
        <f>-(Capex!AA160+Capex!AA182)*AA6</f>
        <v>0</v>
      </c>
      <c r="AB23" s="141">
        <f>-(Capex!AB160+Capex!AB182)*AB6</f>
        <v>0</v>
      </c>
      <c r="AC23" s="141">
        <f>-(Capex!AC160+Capex!AC182)*AC6</f>
        <v>0</v>
      </c>
      <c r="AD23" s="141">
        <f>-(Capex!AD160+Capex!AD182)*AD6</f>
        <v>0</v>
      </c>
      <c r="AE23" s="141">
        <f>-(Capex!AE160+Capex!AE182)*AE6</f>
        <v>0</v>
      </c>
      <c r="AF23" s="141">
        <f>-(Capex!AF160+Capex!AF182)*AF6</f>
        <v>0</v>
      </c>
      <c r="AG23" s="141">
        <f>-(Capex!AG160+Capex!AG182)*AG6</f>
        <v>0</v>
      </c>
    </row>
    <row r="24" spans="1:33" s="680" customFormat="1" ht="17.25" customHeight="1" outlineLevel="2">
      <c r="A24" s="861"/>
      <c r="B24" s="861"/>
      <c r="C24" s="680" t="s">
        <v>399</v>
      </c>
      <c r="E24" s="36"/>
      <c r="H24" s="878"/>
      <c r="I24" s="236">
        <f t="shared" si="1"/>
        <v>-4000</v>
      </c>
      <c r="J24" s="141">
        <f>-Capex!J169</f>
        <v>0</v>
      </c>
      <c r="K24" s="141">
        <f>-Capex!K169</f>
        <v>0</v>
      </c>
      <c r="L24" s="141">
        <f>-Capex!L169</f>
        <v>0</v>
      </c>
      <c r="M24" s="141">
        <f>-Capex!M169</f>
        <v>0</v>
      </c>
      <c r="N24" s="141">
        <f>-Capex!N169</f>
        <v>0</v>
      </c>
      <c r="O24" s="141">
        <f>-Capex!O169</f>
        <v>0</v>
      </c>
      <c r="P24" s="141">
        <f>-Capex!P169</f>
        <v>-250</v>
      </c>
      <c r="Q24" s="141">
        <f>-Capex!Q169</f>
        <v>-250</v>
      </c>
      <c r="R24" s="141">
        <f>-Capex!R169</f>
        <v>-250</v>
      </c>
      <c r="S24" s="141">
        <f>-Capex!S169</f>
        <v>-250</v>
      </c>
      <c r="T24" s="141">
        <f>-Capex!T169</f>
        <v>-250</v>
      </c>
      <c r="U24" s="141">
        <f>-Capex!U169</f>
        <v>-250</v>
      </c>
      <c r="V24" s="141">
        <f>-Capex!V169</f>
        <v>-250</v>
      </c>
      <c r="W24" s="141">
        <f>-Capex!W169</f>
        <v>-250</v>
      </c>
      <c r="X24" s="141">
        <f>-Capex!X169</f>
        <v>-250</v>
      </c>
      <c r="Y24" s="141">
        <f>-Capex!Y169</f>
        <v>-250</v>
      </c>
      <c r="Z24" s="141">
        <f>-Capex!Z169</f>
        <v>-250</v>
      </c>
      <c r="AA24" s="141">
        <f>-Capex!AA169</f>
        <v>-250</v>
      </c>
      <c r="AB24" s="141">
        <f>-Capex!AB169</f>
        <v>-250</v>
      </c>
      <c r="AC24" s="141">
        <f>-Capex!AC169</f>
        <v>-250</v>
      </c>
      <c r="AD24" s="141">
        <f>-Capex!AD169</f>
        <v>-250</v>
      </c>
      <c r="AE24" s="141">
        <f>-Capex!AE169</f>
        <v>-250</v>
      </c>
      <c r="AF24" s="141">
        <f>-Capex!AF169</f>
        <v>0</v>
      </c>
      <c r="AG24" s="141">
        <f>-Capex!AG169</f>
        <v>0</v>
      </c>
    </row>
    <row r="25" spans="1:33" s="680" customFormat="1" ht="17.25" customHeight="1" outlineLevel="2">
      <c r="A25" s="861"/>
      <c r="B25" s="861"/>
      <c r="C25" s="680" t="s">
        <v>398</v>
      </c>
      <c r="E25" s="36"/>
      <c r="H25" s="878"/>
      <c r="I25" s="236">
        <f t="shared" si="1"/>
        <v>-15000</v>
      </c>
      <c r="J25" s="141">
        <f>-Capex!J170</f>
        <v>0</v>
      </c>
      <c r="K25" s="141">
        <f>-Capex!K170</f>
        <v>0</v>
      </c>
      <c r="L25" s="141">
        <f>-Capex!L170</f>
        <v>0</v>
      </c>
      <c r="M25" s="141">
        <f>-Capex!M170</f>
        <v>0</v>
      </c>
      <c r="N25" s="141">
        <f>-Capex!N170</f>
        <v>0</v>
      </c>
      <c r="O25" s="141">
        <f>-Capex!O170</f>
        <v>0</v>
      </c>
      <c r="P25" s="141">
        <f>-Capex!P170</f>
        <v>0</v>
      </c>
      <c r="Q25" s="141">
        <f>-Capex!Q170</f>
        <v>-1000</v>
      </c>
      <c r="R25" s="141">
        <f>-Capex!R170</f>
        <v>-1000</v>
      </c>
      <c r="S25" s="141">
        <f>-Capex!S170</f>
        <v>-1000</v>
      </c>
      <c r="T25" s="141">
        <f>-Capex!T170</f>
        <v>-1000</v>
      </c>
      <c r="U25" s="141">
        <f>-Capex!U170</f>
        <v>-1000</v>
      </c>
      <c r="V25" s="141">
        <f>-Capex!V170</f>
        <v>-1000</v>
      </c>
      <c r="W25" s="141">
        <f>-Capex!W170</f>
        <v>-1000</v>
      </c>
      <c r="X25" s="141">
        <f>-Capex!X170</f>
        <v>-1000</v>
      </c>
      <c r="Y25" s="141">
        <f>-Capex!Y170</f>
        <v>-1000</v>
      </c>
      <c r="Z25" s="141">
        <f>-Capex!Z170</f>
        <v>-1000</v>
      </c>
      <c r="AA25" s="141">
        <f>-Capex!AA170</f>
        <v>-1000</v>
      </c>
      <c r="AB25" s="141">
        <f>-Capex!AB170</f>
        <v>-1000</v>
      </c>
      <c r="AC25" s="141">
        <f>-Capex!AC170</f>
        <v>-1000</v>
      </c>
      <c r="AD25" s="141">
        <f>-Capex!AD170</f>
        <v>-1000</v>
      </c>
      <c r="AE25" s="141">
        <f>-Capex!AE170</f>
        <v>-1000</v>
      </c>
      <c r="AF25" s="141">
        <f>-Capex!AF170</f>
        <v>0</v>
      </c>
      <c r="AG25" s="141">
        <f>-Capex!AG170</f>
        <v>0</v>
      </c>
    </row>
    <row r="26" spans="1:33" s="199" customFormat="1" ht="17.25" customHeight="1" outlineLevel="2">
      <c r="A26" s="861"/>
      <c r="B26" s="861"/>
      <c r="C26" s="333" t="s">
        <v>340</v>
      </c>
      <c r="D26" s="632"/>
      <c r="E26" s="632"/>
      <c r="F26" s="333"/>
      <c r="G26" s="632"/>
      <c r="H26" s="878"/>
      <c r="I26" s="236">
        <f t="shared" si="1"/>
        <v>-2250</v>
      </c>
      <c r="J26" s="141">
        <f>-(Inputs!J352+Inputs!J353)*J6</f>
        <v>0</v>
      </c>
      <c r="K26" s="141">
        <f>-(Inputs!K352+Inputs!K353)*K6</f>
        <v>0</v>
      </c>
      <c r="L26" s="141">
        <f>-(Inputs!L352+Inputs!L353)*L6</f>
        <v>0</v>
      </c>
      <c r="M26" s="141">
        <f>-(Inputs!M352+Inputs!M353)*M6</f>
        <v>0</v>
      </c>
      <c r="N26" s="141">
        <f>-(Inputs!N352+Inputs!N353)*N6</f>
        <v>0</v>
      </c>
      <c r="O26" s="141">
        <f>-(Inputs!O352+Inputs!O353)*O6</f>
        <v>0</v>
      </c>
      <c r="P26" s="141">
        <f>-(Inputs!P352+Inputs!P353)*P6</f>
        <v>0</v>
      </c>
      <c r="Q26" s="141">
        <f>-(Inputs!Q352+Inputs!Q353)*Q6</f>
        <v>0</v>
      </c>
      <c r="R26" s="141">
        <f>-(Inputs!R352+Inputs!R353)*R6</f>
        <v>0</v>
      </c>
      <c r="S26" s="141">
        <f>-(Inputs!S352+Inputs!S353)*S6</f>
        <v>0</v>
      </c>
      <c r="T26" s="141">
        <f>-(Inputs!T352+Inputs!T353)*T6</f>
        <v>0</v>
      </c>
      <c r="U26" s="141">
        <f>-(Inputs!U352+Inputs!U353)*U6</f>
        <v>0</v>
      </c>
      <c r="V26" s="141">
        <f>-(Inputs!V352+Inputs!V353)*V6</f>
        <v>0</v>
      </c>
      <c r="W26" s="141">
        <f>-(Inputs!W352+Inputs!W353)*W6</f>
        <v>-2750</v>
      </c>
      <c r="X26" s="141">
        <f>-(Inputs!X352+Inputs!X353)*X6</f>
        <v>0</v>
      </c>
      <c r="Y26" s="141">
        <f>-(Inputs!Y352+Inputs!Y353)*Y6</f>
        <v>0</v>
      </c>
      <c r="Z26" s="141">
        <f>-(Inputs!Z352+Inputs!Z353)*Z6</f>
        <v>0</v>
      </c>
      <c r="AA26" s="141">
        <f>-(Inputs!AA352+Inputs!AA353)*AA6</f>
        <v>0</v>
      </c>
      <c r="AB26" s="141">
        <f>-(Inputs!AB352+Inputs!AB353)*AB6</f>
        <v>0</v>
      </c>
      <c r="AC26" s="141">
        <f>-(Inputs!AC352+Inputs!AC353)*AC6</f>
        <v>0</v>
      </c>
      <c r="AD26" s="141">
        <f>-(Inputs!AD352+Inputs!AD353)*AD6</f>
        <v>500</v>
      </c>
      <c r="AE26" s="141">
        <f>-(Inputs!AE352+Inputs!AE353)*AE6</f>
        <v>0</v>
      </c>
      <c r="AF26" s="141">
        <f>-(Inputs!AF352+Inputs!AF353)*AF6</f>
        <v>0</v>
      </c>
      <c r="AG26" s="141">
        <f>-(Inputs!AG352+Inputs!AG353)*AG6</f>
        <v>0</v>
      </c>
    </row>
    <row r="27" spans="1:33" s="199" customFormat="1" ht="17.25" customHeight="1" outlineLevel="2">
      <c r="A27" s="861"/>
      <c r="B27" s="861"/>
      <c r="C27" s="333" t="s">
        <v>1066</v>
      </c>
      <c r="D27" s="632"/>
      <c r="E27" s="632"/>
      <c r="F27" s="333"/>
      <c r="H27" s="878"/>
      <c r="I27" s="236">
        <f t="shared" si="1"/>
        <v>-1000</v>
      </c>
      <c r="J27" s="141">
        <f>Inputs!J341*J6</f>
        <v>0</v>
      </c>
      <c r="K27" s="141">
        <f>Inputs!K341*K6</f>
        <v>0</v>
      </c>
      <c r="L27" s="141">
        <f>Inputs!L341*L6</f>
        <v>0</v>
      </c>
      <c r="M27" s="141">
        <f>Inputs!M341*M6</f>
        <v>0</v>
      </c>
      <c r="N27" s="141">
        <f>Inputs!N341*N6</f>
        <v>0</v>
      </c>
      <c r="O27" s="141">
        <f>Inputs!O341*O6</f>
        <v>0</v>
      </c>
      <c r="P27" s="141">
        <f>Inputs!P341*P6</f>
        <v>0</v>
      </c>
      <c r="Q27" s="141">
        <f>Inputs!Q341*Q6</f>
        <v>0</v>
      </c>
      <c r="R27" s="141">
        <f>Inputs!R341*R6</f>
        <v>0</v>
      </c>
      <c r="S27" s="141">
        <f>Inputs!S341*S6</f>
        <v>0</v>
      </c>
      <c r="T27" s="141">
        <f>Inputs!T341*T6</f>
        <v>0</v>
      </c>
      <c r="U27" s="141">
        <f>Inputs!U341*U6</f>
        <v>0</v>
      </c>
      <c r="V27" s="141">
        <f>Inputs!V341*V6</f>
        <v>0</v>
      </c>
      <c r="W27" s="141">
        <f>Inputs!W341*W6</f>
        <v>0</v>
      </c>
      <c r="X27" s="141">
        <f>Inputs!X341*X6</f>
        <v>0</v>
      </c>
      <c r="Y27" s="141">
        <f>Inputs!Y341*Y6</f>
        <v>0</v>
      </c>
      <c r="Z27" s="141">
        <f>Inputs!Z341*Z6</f>
        <v>-1000</v>
      </c>
      <c r="AA27" s="141">
        <f>Inputs!AA341*AA6</f>
        <v>0</v>
      </c>
      <c r="AB27" s="141">
        <f>Inputs!AB341*AB6</f>
        <v>0</v>
      </c>
      <c r="AC27" s="141">
        <f>Inputs!AC341*AC6</f>
        <v>0</v>
      </c>
      <c r="AD27" s="141">
        <f>Inputs!AD341*AD6</f>
        <v>0</v>
      </c>
      <c r="AE27" s="141">
        <f>Inputs!AE341*AE6</f>
        <v>0</v>
      </c>
      <c r="AF27" s="141">
        <f>Inputs!AF341*AF6</f>
        <v>0</v>
      </c>
      <c r="AG27" s="141">
        <f>Inputs!AG341*AG6</f>
        <v>0</v>
      </c>
    </row>
    <row r="28" spans="1:33" ht="17.25" customHeight="1" outlineLevel="2">
      <c r="A28" s="861"/>
      <c r="B28" s="861"/>
      <c r="C28" s="116" t="s">
        <v>599</v>
      </c>
      <c r="F28" s="333"/>
      <c r="H28" s="878"/>
      <c r="I28" s="236">
        <f t="shared" ca="1" si="1"/>
        <v>-9506.5448854247734</v>
      </c>
      <c r="J28" s="141">
        <f t="shared" ref="J28:AG28" si="3">-(J71+J108+J121+J131+J141)*J6</f>
        <v>0</v>
      </c>
      <c r="K28" s="141">
        <f t="shared" ca="1" si="3"/>
        <v>0</v>
      </c>
      <c r="L28" s="141">
        <f t="shared" ca="1" si="3"/>
        <v>0</v>
      </c>
      <c r="M28" s="141">
        <f t="shared" ca="1" si="3"/>
        <v>0</v>
      </c>
      <c r="N28" s="141">
        <f t="shared" ca="1" si="3"/>
        <v>0</v>
      </c>
      <c r="O28" s="141">
        <f t="shared" ca="1" si="3"/>
        <v>0</v>
      </c>
      <c r="P28" s="141">
        <f t="shared" ca="1" si="3"/>
        <v>0</v>
      </c>
      <c r="Q28" s="141">
        <f t="shared" ca="1" si="3"/>
        <v>0</v>
      </c>
      <c r="R28" s="141">
        <f t="shared" ca="1" si="3"/>
        <v>-366.66666666666669</v>
      </c>
      <c r="S28" s="141">
        <f t="shared" ca="1" si="3"/>
        <v>-818.22209841296035</v>
      </c>
      <c r="T28" s="141">
        <f t="shared" ca="1" si="3"/>
        <v>-629.16666666666674</v>
      </c>
      <c r="U28" s="141">
        <f t="shared" ca="1" si="3"/>
        <v>-629.16666666666674</v>
      </c>
      <c r="V28" s="141">
        <f t="shared" ca="1" si="3"/>
        <v>-625.83333333333337</v>
      </c>
      <c r="W28" s="141">
        <f t="shared" ca="1" si="3"/>
        <v>-622.5</v>
      </c>
      <c r="X28" s="141">
        <f t="shared" ca="1" si="3"/>
        <v>-619.16666666666674</v>
      </c>
      <c r="Y28" s="141">
        <f t="shared" ca="1" si="3"/>
        <v>-1220.6267369394259</v>
      </c>
      <c r="Z28" s="141">
        <f t="shared" ca="1" si="3"/>
        <v>-612.5</v>
      </c>
      <c r="AA28" s="141">
        <f t="shared" ca="1" si="3"/>
        <v>-609.16666666666674</v>
      </c>
      <c r="AB28" s="141">
        <f t="shared" ca="1" si="3"/>
        <v>-812.27085287929538</v>
      </c>
      <c r="AC28" s="141">
        <f t="shared" ca="1" si="3"/>
        <v>-644.16666666666663</v>
      </c>
      <c r="AD28" s="141">
        <f t="shared" ca="1" si="3"/>
        <v>-603.33333333333337</v>
      </c>
      <c r="AE28" s="141">
        <f t="shared" ca="1" si="3"/>
        <v>-693.75853052642321</v>
      </c>
      <c r="AF28" s="141">
        <f t="shared" ca="1" si="3"/>
        <v>0</v>
      </c>
      <c r="AG28" s="141">
        <f t="shared" ca="1" si="3"/>
        <v>0</v>
      </c>
    </row>
    <row r="29" spans="1:33" ht="17.25" customHeight="1" outlineLevel="2">
      <c r="A29" s="861"/>
      <c r="B29" s="861"/>
      <c r="C29" s="116" t="s">
        <v>299</v>
      </c>
      <c r="G29" s="632"/>
      <c r="H29" s="878"/>
      <c r="I29" s="236">
        <f t="shared" ca="1" si="1"/>
        <v>-1124.9999999999998</v>
      </c>
      <c r="J29" s="141">
        <f t="shared" ref="J29:AG29" si="4">-(J103+J104+J122+J132+J142)*J$6</f>
        <v>-1020.8333333333334</v>
      </c>
      <c r="K29" s="141">
        <f t="shared" ca="1" si="4"/>
        <v>-20.833333333333336</v>
      </c>
      <c r="L29" s="141">
        <f t="shared" ca="1" si="4"/>
        <v>-20.833333333333336</v>
      </c>
      <c r="M29" s="141">
        <f t="shared" ca="1" si="4"/>
        <v>-20.833333333333336</v>
      </c>
      <c r="N29" s="141">
        <f t="shared" ca="1" si="4"/>
        <v>-20.833333333333336</v>
      </c>
      <c r="O29" s="141">
        <f t="shared" ca="1" si="4"/>
        <v>-20.833333333333336</v>
      </c>
      <c r="P29" s="141">
        <f t="shared" ca="1" si="4"/>
        <v>0</v>
      </c>
      <c r="Q29" s="141">
        <f t="shared" ca="1" si="4"/>
        <v>0</v>
      </c>
      <c r="R29" s="141">
        <f t="shared" ca="1" si="4"/>
        <v>0</v>
      </c>
      <c r="S29" s="141">
        <f t="shared" ca="1" si="4"/>
        <v>0</v>
      </c>
      <c r="T29" s="141">
        <f t="shared" ca="1" si="4"/>
        <v>0</v>
      </c>
      <c r="U29" s="141">
        <f t="shared" ca="1" si="4"/>
        <v>0</v>
      </c>
      <c r="V29" s="141">
        <f t="shared" ca="1" si="4"/>
        <v>0</v>
      </c>
      <c r="W29" s="141">
        <f t="shared" ca="1" si="4"/>
        <v>0</v>
      </c>
      <c r="X29" s="141">
        <f t="shared" ca="1" si="4"/>
        <v>0</v>
      </c>
      <c r="Y29" s="141">
        <f t="shared" ca="1" si="4"/>
        <v>0</v>
      </c>
      <c r="Z29" s="141">
        <f t="shared" ca="1" si="4"/>
        <v>0</v>
      </c>
      <c r="AA29" s="141">
        <f t="shared" ca="1" si="4"/>
        <v>0</v>
      </c>
      <c r="AB29" s="141">
        <f t="shared" ca="1" si="4"/>
        <v>0</v>
      </c>
      <c r="AC29" s="141">
        <f t="shared" ca="1" si="4"/>
        <v>0</v>
      </c>
      <c r="AD29" s="141">
        <f t="shared" ca="1" si="4"/>
        <v>0</v>
      </c>
      <c r="AE29" s="141">
        <f t="shared" ca="1" si="4"/>
        <v>0</v>
      </c>
      <c r="AF29" s="141">
        <f t="shared" ca="1" si="4"/>
        <v>0</v>
      </c>
      <c r="AG29" s="141">
        <f t="shared" ca="1" si="4"/>
        <v>0</v>
      </c>
    </row>
    <row r="30" spans="1:33" s="632" customFormat="1" ht="17.25" customHeight="1" outlineLevel="2">
      <c r="A30" s="861"/>
      <c r="B30" s="861"/>
      <c r="C30" s="116" t="str">
        <f>"Repayment debt 1 ("&amp;Inputs!$F$157 &amp;")"</f>
        <v>Repayment debt 1 (EasyCredit)</v>
      </c>
      <c r="D30" s="116"/>
      <c r="E30" s="116"/>
      <c r="F30" s="116"/>
      <c r="G30" s="116"/>
      <c r="H30" s="878"/>
      <c r="I30" s="236">
        <f t="shared" ca="1" si="1"/>
        <v>0</v>
      </c>
      <c r="J30" s="141">
        <f t="shared" ref="J30:AG30" si="5">J99</f>
        <v>0</v>
      </c>
      <c r="K30" s="141">
        <f t="shared" ca="1" si="5"/>
        <v>0</v>
      </c>
      <c r="L30" s="141">
        <f t="shared" ca="1" si="5"/>
        <v>0</v>
      </c>
      <c r="M30" s="141">
        <f t="shared" ca="1" si="5"/>
        <v>0</v>
      </c>
      <c r="N30" s="141">
        <f t="shared" ca="1" si="5"/>
        <v>0</v>
      </c>
      <c r="O30" s="141">
        <f t="shared" ca="1" si="5"/>
        <v>0</v>
      </c>
      <c r="P30" s="141">
        <f t="shared" ca="1" si="5"/>
        <v>0</v>
      </c>
      <c r="Q30" s="141">
        <f t="shared" ca="1" si="5"/>
        <v>0</v>
      </c>
      <c r="R30" s="141">
        <f t="shared" ca="1" si="5"/>
        <v>0</v>
      </c>
      <c r="S30" s="141">
        <f t="shared" ca="1" si="5"/>
        <v>0</v>
      </c>
      <c r="T30" s="141">
        <f t="shared" ca="1" si="5"/>
        <v>0</v>
      </c>
      <c r="U30" s="141">
        <f t="shared" ca="1" si="5"/>
        <v>0</v>
      </c>
      <c r="V30" s="141">
        <f t="shared" ca="1" si="5"/>
        <v>0</v>
      </c>
      <c r="W30" s="141">
        <f t="shared" ca="1" si="5"/>
        <v>0</v>
      </c>
      <c r="X30" s="141">
        <f t="shared" ca="1" si="5"/>
        <v>0</v>
      </c>
      <c r="Y30" s="141">
        <f t="shared" ca="1" si="5"/>
        <v>0</v>
      </c>
      <c r="Z30" s="141">
        <f t="shared" ca="1" si="5"/>
        <v>0</v>
      </c>
      <c r="AA30" s="141">
        <f t="shared" ca="1" si="5"/>
        <v>0</v>
      </c>
      <c r="AB30" s="141">
        <f t="shared" ca="1" si="5"/>
        <v>0</v>
      </c>
      <c r="AC30" s="141">
        <f t="shared" ca="1" si="5"/>
        <v>0</v>
      </c>
      <c r="AD30" s="141">
        <f t="shared" ca="1" si="5"/>
        <v>0</v>
      </c>
      <c r="AE30" s="141">
        <f t="shared" ca="1" si="5"/>
        <v>0</v>
      </c>
      <c r="AF30" s="141">
        <f t="shared" ca="1" si="5"/>
        <v>0</v>
      </c>
      <c r="AG30" s="141">
        <f t="shared" ca="1" si="5"/>
        <v>0</v>
      </c>
    </row>
    <row r="31" spans="1:33" s="632" customFormat="1" ht="17.25" customHeight="1" outlineLevel="2">
      <c r="A31" s="861"/>
      <c r="B31" s="861"/>
      <c r="C31" s="125" t="s">
        <v>302</v>
      </c>
      <c r="D31" s="199"/>
      <c r="E31" s="199"/>
      <c r="F31" s="199"/>
      <c r="G31" s="199"/>
      <c r="H31" s="878"/>
      <c r="I31" s="236">
        <f t="shared" si="1"/>
        <v>-729.16666666666708</v>
      </c>
      <c r="J31" s="141">
        <f t="shared" ref="J31:AG31" si="6">J149*J6</f>
        <v>-41.666666666666664</v>
      </c>
      <c r="K31" s="141">
        <f t="shared" si="6"/>
        <v>-41.666666666666664</v>
      </c>
      <c r="L31" s="141">
        <f t="shared" si="6"/>
        <v>-41.666666666666664</v>
      </c>
      <c r="M31" s="141">
        <f t="shared" si="6"/>
        <v>-41.666666666666664</v>
      </c>
      <c r="N31" s="141">
        <f t="shared" si="6"/>
        <v>-41.666666666666664</v>
      </c>
      <c r="O31" s="141">
        <f t="shared" si="6"/>
        <v>-41.666666666666664</v>
      </c>
      <c r="P31" s="141">
        <f t="shared" si="6"/>
        <v>-41.666666666666664</v>
      </c>
      <c r="Q31" s="141">
        <f t="shared" si="6"/>
        <v>-41.666666666666664</v>
      </c>
      <c r="R31" s="141">
        <f t="shared" si="6"/>
        <v>-41.666666666666664</v>
      </c>
      <c r="S31" s="141">
        <f t="shared" si="6"/>
        <v>-41.666666666666664</v>
      </c>
      <c r="T31" s="141">
        <f t="shared" si="6"/>
        <v>-41.666666666666664</v>
      </c>
      <c r="U31" s="141">
        <f t="shared" si="6"/>
        <v>-41.666666666666664</v>
      </c>
      <c r="V31" s="141">
        <f t="shared" si="6"/>
        <v>-41.666666666666664</v>
      </c>
      <c r="W31" s="141">
        <f t="shared" si="6"/>
        <v>-20.833333333333332</v>
      </c>
      <c r="X31" s="141">
        <f t="shared" si="6"/>
        <v>-20.833333333333332</v>
      </c>
      <c r="Y31" s="141">
        <f t="shared" si="6"/>
        <v>-20.833333333333332</v>
      </c>
      <c r="Z31" s="141">
        <f t="shared" si="6"/>
        <v>-20.833333333333332</v>
      </c>
      <c r="AA31" s="141">
        <f t="shared" si="6"/>
        <v>-20.833333333333332</v>
      </c>
      <c r="AB31" s="141">
        <f t="shared" si="6"/>
        <v>-20.833333333333332</v>
      </c>
      <c r="AC31" s="141">
        <f t="shared" si="6"/>
        <v>-20.833333333333332</v>
      </c>
      <c r="AD31" s="141">
        <f t="shared" si="6"/>
        <v>-20.833333333333332</v>
      </c>
      <c r="AE31" s="141">
        <f t="shared" si="6"/>
        <v>-20.833333333333332</v>
      </c>
      <c r="AF31" s="141">
        <f t="shared" si="6"/>
        <v>0</v>
      </c>
      <c r="AG31" s="141">
        <f t="shared" si="6"/>
        <v>0</v>
      </c>
    </row>
    <row r="32" spans="1:33" ht="17.25" customHeight="1" outlineLevel="2">
      <c r="A32" s="861"/>
      <c r="B32" s="861"/>
      <c r="C32" s="125" t="s">
        <v>301</v>
      </c>
      <c r="D32" s="199"/>
      <c r="E32" s="199"/>
      <c r="F32" s="199"/>
      <c r="G32" s="632"/>
      <c r="H32" s="878"/>
      <c r="I32" s="236">
        <f t="shared" si="1"/>
        <v>-5000</v>
      </c>
      <c r="J32" s="141">
        <f t="shared" ref="J32:AG32" si="7">J146*J6</f>
        <v>0</v>
      </c>
      <c r="K32" s="141">
        <f t="shared" si="7"/>
        <v>0</v>
      </c>
      <c r="L32" s="141">
        <f t="shared" si="7"/>
        <v>0</v>
      </c>
      <c r="M32" s="141">
        <f t="shared" si="7"/>
        <v>0</v>
      </c>
      <c r="N32" s="141">
        <f t="shared" si="7"/>
        <v>0</v>
      </c>
      <c r="O32" s="141">
        <f t="shared" si="7"/>
        <v>0</v>
      </c>
      <c r="P32" s="141">
        <f t="shared" si="7"/>
        <v>0</v>
      </c>
      <c r="Q32" s="141">
        <f t="shared" si="7"/>
        <v>0</v>
      </c>
      <c r="R32" s="141">
        <f t="shared" si="7"/>
        <v>0</v>
      </c>
      <c r="S32" s="141">
        <f t="shared" si="7"/>
        <v>0</v>
      </c>
      <c r="T32" s="141">
        <f t="shared" si="7"/>
        <v>0</v>
      </c>
      <c r="U32" s="141">
        <f t="shared" si="7"/>
        <v>0</v>
      </c>
      <c r="V32" s="141">
        <f t="shared" si="7"/>
        <v>-5000</v>
      </c>
      <c r="W32" s="141">
        <f t="shared" si="7"/>
        <v>0</v>
      </c>
      <c r="X32" s="141">
        <f t="shared" si="7"/>
        <v>0</v>
      </c>
      <c r="Y32" s="141">
        <f t="shared" si="7"/>
        <v>0</v>
      </c>
      <c r="Z32" s="141">
        <f t="shared" si="7"/>
        <v>0</v>
      </c>
      <c r="AA32" s="141">
        <f t="shared" si="7"/>
        <v>0</v>
      </c>
      <c r="AB32" s="141">
        <f t="shared" si="7"/>
        <v>0</v>
      </c>
      <c r="AC32" s="141">
        <f t="shared" si="7"/>
        <v>0</v>
      </c>
      <c r="AD32" s="141">
        <f t="shared" si="7"/>
        <v>0</v>
      </c>
      <c r="AE32" s="141">
        <f t="shared" si="7"/>
        <v>0</v>
      </c>
      <c r="AF32" s="141">
        <f t="shared" si="7"/>
        <v>0</v>
      </c>
      <c r="AG32" s="141">
        <f t="shared" si="7"/>
        <v>0</v>
      </c>
    </row>
    <row r="33" spans="1:33" ht="17.25" customHeight="1" outlineLevel="2">
      <c r="A33" s="861"/>
      <c r="B33" s="861"/>
      <c r="C33" s="24" t="str">
        <f>Name_VAT &amp;" paid/recovered to/from tax authority"</f>
        <v>VAT paid/recovered to/from tax authority</v>
      </c>
      <c r="D33" s="632"/>
      <c r="E33" s="632"/>
      <c r="H33" s="878"/>
      <c r="I33" s="236">
        <f t="shared" ca="1" si="1"/>
        <v>-110125.33558765044</v>
      </c>
      <c r="J33" s="697">
        <f ca="1">Taxes!J29</f>
        <v>0</v>
      </c>
      <c r="K33" s="697">
        <f ca="1">Taxes!K29</f>
        <v>1740.957714285714</v>
      </c>
      <c r="L33" s="697">
        <f ca="1">Taxes!L29</f>
        <v>0</v>
      </c>
      <c r="M33" s="697">
        <f ca="1">Taxes!M29</f>
        <v>0</v>
      </c>
      <c r="N33" s="697">
        <f ca="1">Taxes!N29</f>
        <v>4834.4717418433156</v>
      </c>
      <c r="O33" s="697">
        <f ca="1">Taxes!O29</f>
        <v>0</v>
      </c>
      <c r="P33" s="697">
        <f ca="1">Taxes!P29</f>
        <v>0</v>
      </c>
      <c r="Q33" s="697">
        <f ca="1">Taxes!Q29</f>
        <v>-8265.0759367380888</v>
      </c>
      <c r="R33" s="697">
        <f ca="1">Taxes!R29</f>
        <v>0</v>
      </c>
      <c r="S33" s="697">
        <f ca="1">Taxes!S29</f>
        <v>0</v>
      </c>
      <c r="T33" s="697">
        <f ca="1">Taxes!T29</f>
        <v>-3703.5295864169129</v>
      </c>
      <c r="U33" s="697">
        <f ca="1">Taxes!U29</f>
        <v>0</v>
      </c>
      <c r="V33" s="697">
        <f ca="1">Taxes!V29</f>
        <v>0</v>
      </c>
      <c r="W33" s="697">
        <f ca="1">Taxes!W29</f>
        <v>-25928.859475302808</v>
      </c>
      <c r="X33" s="697">
        <f ca="1">Taxes!X29</f>
        <v>0</v>
      </c>
      <c r="Y33" s="697">
        <f ca="1">Taxes!Y29</f>
        <v>0</v>
      </c>
      <c r="Z33" s="697">
        <f ca="1">Taxes!Z29</f>
        <v>-36493.716385533546</v>
      </c>
      <c r="AA33" s="697">
        <f ca="1">Taxes!AA29</f>
        <v>0</v>
      </c>
      <c r="AB33" s="697">
        <f ca="1">Taxes!AB29</f>
        <v>0</v>
      </c>
      <c r="AC33" s="697">
        <f ca="1">Taxes!AC29</f>
        <v>-42309.583659788113</v>
      </c>
      <c r="AD33" s="697">
        <f ca="1">Taxes!AD29</f>
        <v>0</v>
      </c>
      <c r="AE33" s="697">
        <f ca="1">Taxes!AE29</f>
        <v>0</v>
      </c>
      <c r="AF33" s="697">
        <f ca="1">Taxes!AF29</f>
        <v>0</v>
      </c>
      <c r="AG33" s="697">
        <f ca="1">Taxes!AG29</f>
        <v>0</v>
      </c>
    </row>
    <row r="34" spans="1:33" ht="17.25" customHeight="1" outlineLevel="2">
      <c r="A34" s="861"/>
      <c r="B34" s="861"/>
      <c r="C34" s="116" t="str">
        <f>CHOOSE(language,"Taxes on profit paid","Taxes on income paid")</f>
        <v>Taxes on income paid</v>
      </c>
      <c r="D34" s="680"/>
      <c r="E34" s="680"/>
      <c r="F34" s="680"/>
      <c r="G34" s="24"/>
      <c r="H34" s="878"/>
      <c r="I34" s="236">
        <f t="shared" ca="1" si="1"/>
        <v>-20000</v>
      </c>
      <c r="J34" s="141">
        <f>Taxes!J70</f>
        <v>-1250</v>
      </c>
      <c r="K34" s="141">
        <f>Taxes!K70</f>
        <v>0</v>
      </c>
      <c r="L34" s="141">
        <f>Taxes!L70</f>
        <v>0</v>
      </c>
      <c r="M34" s="141">
        <f>Taxes!M70</f>
        <v>-1250</v>
      </c>
      <c r="N34" s="141">
        <f>Taxes!N70</f>
        <v>0</v>
      </c>
      <c r="O34" s="141">
        <f>Taxes!O70</f>
        <v>0</v>
      </c>
      <c r="P34" s="141">
        <f>Taxes!P70</f>
        <v>-1250</v>
      </c>
      <c r="Q34" s="141">
        <f>Taxes!Q70</f>
        <v>0</v>
      </c>
      <c r="R34" s="141">
        <f>Taxes!R70</f>
        <v>0</v>
      </c>
      <c r="S34" s="141">
        <f>Taxes!S70</f>
        <v>-1250</v>
      </c>
      <c r="T34" s="141">
        <f ca="1">Taxes!T70</f>
        <v>0</v>
      </c>
      <c r="U34" s="141">
        <f ca="1">Taxes!U70</f>
        <v>0</v>
      </c>
      <c r="V34" s="141">
        <f ca="1">Taxes!V70</f>
        <v>-5000</v>
      </c>
      <c r="W34" s="141">
        <f ca="1">Taxes!W70</f>
        <v>5000</v>
      </c>
      <c r="X34" s="141">
        <f ca="1">Taxes!X70</f>
        <v>0</v>
      </c>
      <c r="Y34" s="141">
        <f ca="1">Taxes!Y70</f>
        <v>-5000</v>
      </c>
      <c r="Z34" s="141">
        <f ca="1">Taxes!Z70</f>
        <v>0</v>
      </c>
      <c r="AA34" s="141">
        <f ca="1">Taxes!AA70</f>
        <v>0</v>
      </c>
      <c r="AB34" s="141">
        <f ca="1">Taxes!AB70</f>
        <v>-5000</v>
      </c>
      <c r="AC34" s="141">
        <f ca="1">Taxes!AC70</f>
        <v>0</v>
      </c>
      <c r="AD34" s="141">
        <f ca="1">Taxes!AD70</f>
        <v>0</v>
      </c>
      <c r="AE34" s="141">
        <f ca="1">Taxes!AE70</f>
        <v>-5000</v>
      </c>
      <c r="AF34" s="141">
        <f ca="1">Taxes!AF70</f>
        <v>0</v>
      </c>
      <c r="AG34" s="141">
        <f ca="1">Taxes!AG70</f>
        <v>0</v>
      </c>
    </row>
    <row r="35" spans="1:33" s="199" customFormat="1" ht="17.25" customHeight="1" outlineLevel="2">
      <c r="A35" s="861"/>
      <c r="B35" s="861"/>
      <c r="C35" s="199" t="s">
        <v>300</v>
      </c>
      <c r="H35" s="878"/>
      <c r="I35" s="124"/>
      <c r="J35" s="141">
        <f t="shared" ref="J35:AG35" si="8">I76*J6</f>
        <v>0</v>
      </c>
      <c r="K35" s="141">
        <f t="shared" ca="1" si="8"/>
        <v>0</v>
      </c>
      <c r="L35" s="141">
        <f t="shared" ca="1" si="8"/>
        <v>0</v>
      </c>
      <c r="M35" s="141">
        <f t="shared" ca="1" si="8"/>
        <v>90215.963047619065</v>
      </c>
      <c r="N35" s="141">
        <f t="shared" ca="1" si="8"/>
        <v>108534.97663060421</v>
      </c>
      <c r="O35" s="141">
        <f t="shared" ca="1" si="8"/>
        <v>70315.142424060148</v>
      </c>
      <c r="P35" s="141">
        <f t="shared" ca="1" si="8"/>
        <v>29674.744607373374</v>
      </c>
      <c r="Q35" s="141">
        <f t="shared" ca="1" si="8"/>
        <v>77712.45817001976</v>
      </c>
      <c r="R35" s="141">
        <f t="shared" ca="1" si="8"/>
        <v>15584.772415908606</v>
      </c>
      <c r="S35" s="141">
        <f t="shared" ca="1" si="8"/>
        <v>0</v>
      </c>
      <c r="T35" s="141">
        <f t="shared" ca="1" si="8"/>
        <v>147315.40580219906</v>
      </c>
      <c r="U35" s="141">
        <f t="shared" ca="1" si="8"/>
        <v>79617.295437227905</v>
      </c>
      <c r="V35" s="141">
        <f t="shared" ca="1" si="8"/>
        <v>9922.5986983770708</v>
      </c>
      <c r="W35" s="141">
        <f t="shared" ca="1" si="8"/>
        <v>124181.36779836372</v>
      </c>
      <c r="X35" s="141">
        <f t="shared" ca="1" si="8"/>
        <v>22759.706849706141</v>
      </c>
      <c r="Y35" s="141">
        <f t="shared" ca="1" si="8"/>
        <v>0</v>
      </c>
      <c r="Z35" s="141">
        <f t="shared" ca="1" si="8"/>
        <v>145041.36158060975</v>
      </c>
      <c r="AA35" s="141">
        <f t="shared" ca="1" si="8"/>
        <v>24419.86395316702</v>
      </c>
      <c r="AB35" s="141">
        <f t="shared" ca="1" si="8"/>
        <v>0</v>
      </c>
      <c r="AC35" s="141">
        <f t="shared" ca="1" si="8"/>
        <v>250005.55826863312</v>
      </c>
      <c r="AD35" s="141">
        <f t="shared" ca="1" si="8"/>
        <v>95843.580935448437</v>
      </c>
      <c r="AE35" s="141">
        <f t="shared" ca="1" si="8"/>
        <v>0</v>
      </c>
      <c r="AF35" s="141">
        <f t="shared" ca="1" si="8"/>
        <v>0</v>
      </c>
      <c r="AG35" s="141">
        <f t="shared" ca="1" si="8"/>
        <v>0</v>
      </c>
    </row>
    <row r="36" spans="1:33" ht="17.25" customHeight="1" outlineLevel="2">
      <c r="A36" s="786"/>
      <c r="B36" s="786"/>
      <c r="C36" s="777" t="s">
        <v>492</v>
      </c>
      <c r="D36" s="386"/>
      <c r="E36" s="386"/>
      <c r="F36" s="386"/>
      <c r="G36" s="386"/>
      <c r="H36" s="386"/>
      <c r="I36" s="729"/>
      <c r="J36" s="387">
        <f t="shared" ref="J36:AG36" ca="1" si="9">SUM(J11:J35)*J$6</f>
        <v>-29864.397428571428</v>
      </c>
      <c r="K36" s="387">
        <f t="shared" ca="1" si="9"/>
        <v>-22614.050262160781</v>
      </c>
      <c r="L36" s="387">
        <f t="shared" ca="1" si="9"/>
        <v>-87305.58926164874</v>
      </c>
      <c r="M36" s="387">
        <f t="shared" ca="1" si="9"/>
        <v>108534.97663060421</v>
      </c>
      <c r="N36" s="387">
        <f t="shared" ca="1" si="9"/>
        <v>70315.142424060148</v>
      </c>
      <c r="O36" s="387">
        <f t="shared" ca="1" si="9"/>
        <v>29674.744607373374</v>
      </c>
      <c r="P36" s="387">
        <f t="shared" ca="1" si="9"/>
        <v>77712.45817001976</v>
      </c>
      <c r="Q36" s="387">
        <f t="shared" ca="1" si="9"/>
        <v>-94415.227584091394</v>
      </c>
      <c r="R36" s="387">
        <f t="shared" ca="1" si="9"/>
        <v>-45155.543174629362</v>
      </c>
      <c r="S36" s="387">
        <f t="shared" ca="1" si="9"/>
        <v>122470.94897682841</v>
      </c>
      <c r="T36" s="387">
        <f t="shared" ca="1" si="9"/>
        <v>79617.295437227905</v>
      </c>
      <c r="U36" s="387">
        <f t="shared" ca="1" si="9"/>
        <v>10922.598698377071</v>
      </c>
      <c r="V36" s="387">
        <f t="shared" ca="1" si="9"/>
        <v>125181.36779836372</v>
      </c>
      <c r="W36" s="387">
        <f t="shared" ca="1" si="9"/>
        <v>23759.706849706141</v>
      </c>
      <c r="X36" s="387">
        <f t="shared" ca="1" si="9"/>
        <v>-59479.340360609247</v>
      </c>
      <c r="Y36" s="387">
        <f t="shared" ca="1" si="9"/>
        <v>206520.70194121901</v>
      </c>
      <c r="Z36" s="387">
        <f t="shared" ca="1" si="9"/>
        <v>25419.86395316702</v>
      </c>
      <c r="AA36" s="387">
        <f t="shared" ca="1" si="9"/>
        <v>-65477.085287929542</v>
      </c>
      <c r="AB36" s="387">
        <f t="shared" ca="1" si="9"/>
        <v>267482.64355656266</v>
      </c>
      <c r="AC36" s="387">
        <f t="shared" ca="1" si="9"/>
        <v>106843.58093544844</v>
      </c>
      <c r="AD36" s="387">
        <f t="shared" ca="1" si="9"/>
        <v>-8709.1863859756559</v>
      </c>
      <c r="AE36" s="387">
        <f t="shared" ca="1" si="9"/>
        <v>317054.38635250187</v>
      </c>
      <c r="AF36" s="387">
        <f t="shared" ca="1" si="9"/>
        <v>0</v>
      </c>
      <c r="AG36" s="387">
        <f t="shared" ca="1" si="9"/>
        <v>0</v>
      </c>
    </row>
    <row r="37" spans="1:33" ht="15.75" customHeight="1" outlineLevel="2">
      <c r="A37" s="786"/>
      <c r="B37" s="786"/>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row>
    <row r="38" spans="1:33" ht="19.5" customHeight="1" outlineLevel="1">
      <c r="A38" s="786"/>
      <c r="B38" s="735"/>
      <c r="C38" s="409" t="s">
        <v>493</v>
      </c>
      <c r="D38" s="512"/>
      <c r="E38" s="735"/>
      <c r="F38" s="735"/>
      <c r="G38" s="735"/>
      <c r="H38" s="735"/>
      <c r="I38" s="735"/>
      <c r="J38" s="735"/>
      <c r="K38" s="735"/>
      <c r="L38" s="735"/>
      <c r="M38" s="735"/>
      <c r="N38" s="735"/>
      <c r="O38" s="735"/>
      <c r="P38" s="735"/>
      <c r="Q38" s="735"/>
      <c r="R38" s="735"/>
      <c r="S38" s="735"/>
      <c r="T38" s="735"/>
      <c r="U38" s="735"/>
      <c r="V38" s="735"/>
      <c r="W38" s="735"/>
      <c r="X38" s="735"/>
      <c r="Y38" s="735"/>
      <c r="Z38" s="735"/>
      <c r="AA38" s="735"/>
      <c r="AB38" s="735"/>
      <c r="AC38" s="735"/>
      <c r="AD38" s="735"/>
      <c r="AE38" s="735"/>
      <c r="AF38" s="735"/>
      <c r="AG38" s="735"/>
    </row>
    <row r="39" spans="1:33" ht="15.75" customHeight="1" outlineLevel="2">
      <c r="A39" s="786"/>
      <c r="B39" s="735"/>
      <c r="C39" s="737" t="s">
        <v>494</v>
      </c>
      <c r="D39" s="422"/>
      <c r="E39" s="737"/>
      <c r="F39" s="737"/>
      <c r="G39" s="737"/>
      <c r="H39" s="737"/>
      <c r="I39" s="729"/>
      <c r="J39" s="556">
        <f t="shared" ref="J39:AG39" ca="1" si="10">MIN(0,J36)</f>
        <v>-29864.397428571428</v>
      </c>
      <c r="K39" s="556">
        <f t="shared" ca="1" si="10"/>
        <v>-22614.050262160781</v>
      </c>
      <c r="L39" s="556">
        <f t="shared" ca="1" si="10"/>
        <v>-87305.58926164874</v>
      </c>
      <c r="M39" s="556">
        <f t="shared" ca="1" si="10"/>
        <v>0</v>
      </c>
      <c r="N39" s="556">
        <f t="shared" ca="1" si="10"/>
        <v>0</v>
      </c>
      <c r="O39" s="556">
        <f t="shared" ca="1" si="10"/>
        <v>0</v>
      </c>
      <c r="P39" s="556">
        <f t="shared" ca="1" si="10"/>
        <v>0</v>
      </c>
      <c r="Q39" s="556">
        <f t="shared" ca="1" si="10"/>
        <v>-94415.227584091394</v>
      </c>
      <c r="R39" s="556">
        <f t="shared" ca="1" si="10"/>
        <v>-45155.543174629362</v>
      </c>
      <c r="S39" s="556">
        <f t="shared" ca="1" si="10"/>
        <v>0</v>
      </c>
      <c r="T39" s="556">
        <f t="shared" ca="1" si="10"/>
        <v>0</v>
      </c>
      <c r="U39" s="556">
        <f t="shared" ca="1" si="10"/>
        <v>0</v>
      </c>
      <c r="V39" s="556">
        <f t="shared" ca="1" si="10"/>
        <v>0</v>
      </c>
      <c r="W39" s="556">
        <f t="shared" ca="1" si="10"/>
        <v>0</v>
      </c>
      <c r="X39" s="556">
        <f t="shared" ca="1" si="10"/>
        <v>-59479.340360609247</v>
      </c>
      <c r="Y39" s="556">
        <f t="shared" ca="1" si="10"/>
        <v>0</v>
      </c>
      <c r="Z39" s="556">
        <f t="shared" ca="1" si="10"/>
        <v>0</v>
      </c>
      <c r="AA39" s="556">
        <f t="shared" ca="1" si="10"/>
        <v>-65477.085287929542</v>
      </c>
      <c r="AB39" s="556">
        <f t="shared" ca="1" si="10"/>
        <v>0</v>
      </c>
      <c r="AC39" s="556">
        <f t="shared" ca="1" si="10"/>
        <v>0</v>
      </c>
      <c r="AD39" s="556">
        <f t="shared" ca="1" si="10"/>
        <v>-8709.1863859756559</v>
      </c>
      <c r="AE39" s="556">
        <f t="shared" ca="1" si="10"/>
        <v>0</v>
      </c>
      <c r="AF39" s="556">
        <f t="shared" ca="1" si="10"/>
        <v>0</v>
      </c>
      <c r="AG39" s="556">
        <f t="shared" ca="1" si="10"/>
        <v>0</v>
      </c>
    </row>
    <row r="40" spans="1:33" s="199" customFormat="1" ht="15" customHeight="1" outlineLevel="2">
      <c r="A40" s="786"/>
      <c r="B40" s="735"/>
      <c r="C40" s="778" t="s">
        <v>495</v>
      </c>
      <c r="D40" s="735"/>
      <c r="E40" s="735"/>
      <c r="F40" s="735"/>
      <c r="G40" s="735"/>
      <c r="H40" s="735"/>
      <c r="I40" s="735"/>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row>
    <row r="41" spans="1:33" ht="15" customHeight="1" outlineLevel="2">
      <c r="A41" s="786"/>
      <c r="B41" s="735"/>
      <c r="C41" s="778"/>
      <c r="D41" s="735"/>
      <c r="E41" s="774" t="s">
        <v>496</v>
      </c>
      <c r="F41" s="775" t="s">
        <v>497</v>
      </c>
      <c r="G41" s="775"/>
      <c r="H41" s="735"/>
      <c r="I41" s="735"/>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row>
    <row r="42" spans="1:33" ht="15.75" customHeight="1" outlineLevel="2">
      <c r="A42" s="786"/>
      <c r="B42" s="779" t="s">
        <v>33</v>
      </c>
      <c r="C42" s="421" t="s">
        <v>591</v>
      </c>
      <c r="D42" s="737"/>
      <c r="E42" s="679">
        <f>Inputs!$I$151</f>
        <v>0</v>
      </c>
      <c r="F42" s="780">
        <f>IF(G42=0,"",Inputs!I153)</f>
        <v>43191</v>
      </c>
      <c r="G42" s="433">
        <f>Inputs!F153</f>
        <v>100000</v>
      </c>
      <c r="H42" s="737"/>
      <c r="I42" s="236">
        <f ca="1">SUM(J42:AG42)</f>
        <v>230000</v>
      </c>
      <c r="J42" s="423">
        <f t="shared" ref="J42:AG42" ca="1" si="11">IF(AND($E42=1,J$4=$D6),$E$85,MIN(J85,-J39))+IF($F42=J4,$G42*J6,0)</f>
        <v>29864.397428571428</v>
      </c>
      <c r="K42" s="423">
        <f t="shared" ca="1" si="11"/>
        <v>22614.050262160781</v>
      </c>
      <c r="L42" s="423">
        <f t="shared" ca="1" si="11"/>
        <v>177521.5523092678</v>
      </c>
      <c r="M42" s="423">
        <f t="shared" ca="1" si="11"/>
        <v>0</v>
      </c>
      <c r="N42" s="423">
        <f t="shared" ca="1" si="11"/>
        <v>0</v>
      </c>
      <c r="O42" s="423">
        <f t="shared" ca="1" si="11"/>
        <v>0</v>
      </c>
      <c r="P42" s="423">
        <f t="shared" ca="1" si="11"/>
        <v>0</v>
      </c>
      <c r="Q42" s="423">
        <f t="shared" ca="1" si="11"/>
        <v>0</v>
      </c>
      <c r="R42" s="423">
        <f t="shared" ca="1" si="11"/>
        <v>0</v>
      </c>
      <c r="S42" s="423">
        <f t="shared" ca="1" si="11"/>
        <v>0</v>
      </c>
      <c r="T42" s="423">
        <f t="shared" ca="1" si="11"/>
        <v>0</v>
      </c>
      <c r="U42" s="423">
        <f t="shared" ca="1" si="11"/>
        <v>0</v>
      </c>
      <c r="V42" s="423">
        <f t="shared" ca="1" si="11"/>
        <v>0</v>
      </c>
      <c r="W42" s="423">
        <f t="shared" ca="1" si="11"/>
        <v>0</v>
      </c>
      <c r="X42" s="423">
        <f t="shared" ca="1" si="11"/>
        <v>0</v>
      </c>
      <c r="Y42" s="423">
        <f t="shared" ca="1" si="11"/>
        <v>0</v>
      </c>
      <c r="Z42" s="423">
        <f t="shared" ca="1" si="11"/>
        <v>0</v>
      </c>
      <c r="AA42" s="423">
        <f t="shared" ca="1" si="11"/>
        <v>0</v>
      </c>
      <c r="AB42" s="423">
        <f t="shared" ca="1" si="11"/>
        <v>0</v>
      </c>
      <c r="AC42" s="423">
        <f t="shared" ca="1" si="11"/>
        <v>0</v>
      </c>
      <c r="AD42" s="423">
        <f t="shared" ca="1" si="11"/>
        <v>0</v>
      </c>
      <c r="AE42" s="423">
        <f t="shared" ca="1" si="11"/>
        <v>0</v>
      </c>
      <c r="AF42" s="423">
        <f t="shared" ca="1" si="11"/>
        <v>0</v>
      </c>
      <c r="AG42" s="423">
        <f t="shared" ca="1" si="11"/>
        <v>0</v>
      </c>
    </row>
    <row r="43" spans="1:33" ht="15.75" customHeight="1" outlineLevel="2">
      <c r="A43" s="786"/>
      <c r="B43" s="778"/>
      <c r="C43" s="421" t="s">
        <v>498</v>
      </c>
      <c r="D43" s="422"/>
      <c r="E43" s="737"/>
      <c r="F43" s="737"/>
      <c r="G43" s="737"/>
      <c r="H43" s="737"/>
      <c r="I43" s="737"/>
      <c r="J43" s="515">
        <f t="shared" ref="J43:AG43" ca="1" si="12">MIN(0,J39+J42)</f>
        <v>0</v>
      </c>
      <c r="K43" s="515">
        <f t="shared" ca="1" si="12"/>
        <v>0</v>
      </c>
      <c r="L43" s="515">
        <f t="shared" ca="1" si="12"/>
        <v>0</v>
      </c>
      <c r="M43" s="515">
        <f t="shared" ca="1" si="12"/>
        <v>0</v>
      </c>
      <c r="N43" s="515">
        <f t="shared" ca="1" si="12"/>
        <v>0</v>
      </c>
      <c r="O43" s="515">
        <f t="shared" ca="1" si="12"/>
        <v>0</v>
      </c>
      <c r="P43" s="515">
        <f t="shared" ca="1" si="12"/>
        <v>0</v>
      </c>
      <c r="Q43" s="515">
        <f t="shared" ca="1" si="12"/>
        <v>-94415.227584091394</v>
      </c>
      <c r="R43" s="515">
        <f t="shared" ca="1" si="12"/>
        <v>-45155.543174629362</v>
      </c>
      <c r="S43" s="515">
        <f t="shared" ca="1" si="12"/>
        <v>0</v>
      </c>
      <c r="T43" s="515">
        <f t="shared" ca="1" si="12"/>
        <v>0</v>
      </c>
      <c r="U43" s="515">
        <f t="shared" ca="1" si="12"/>
        <v>0</v>
      </c>
      <c r="V43" s="515">
        <f t="shared" ca="1" si="12"/>
        <v>0</v>
      </c>
      <c r="W43" s="515">
        <f t="shared" ca="1" si="12"/>
        <v>0</v>
      </c>
      <c r="X43" s="515">
        <f t="shared" ca="1" si="12"/>
        <v>-59479.340360609247</v>
      </c>
      <c r="Y43" s="515">
        <f t="shared" ca="1" si="12"/>
        <v>0</v>
      </c>
      <c r="Z43" s="515">
        <f t="shared" ca="1" si="12"/>
        <v>0</v>
      </c>
      <c r="AA43" s="515">
        <f t="shared" ca="1" si="12"/>
        <v>-65477.085287929542</v>
      </c>
      <c r="AB43" s="515">
        <f t="shared" ca="1" si="12"/>
        <v>0</v>
      </c>
      <c r="AC43" s="515">
        <f t="shared" ca="1" si="12"/>
        <v>0</v>
      </c>
      <c r="AD43" s="515">
        <f t="shared" ca="1" si="12"/>
        <v>-8709.1863859756559</v>
      </c>
      <c r="AE43" s="515">
        <f t="shared" ca="1" si="12"/>
        <v>0</v>
      </c>
      <c r="AF43" s="515">
        <f t="shared" ca="1" si="12"/>
        <v>0</v>
      </c>
      <c r="AG43" s="515">
        <f t="shared" ca="1" si="12"/>
        <v>0</v>
      </c>
    </row>
    <row r="44" spans="1:33" ht="15" customHeight="1" outlineLevel="2">
      <c r="A44" s="786"/>
      <c r="B44" s="778"/>
      <c r="C44" s="735"/>
      <c r="D44" s="735"/>
      <c r="E44" s="735"/>
      <c r="F44" s="735"/>
      <c r="G44" s="735"/>
      <c r="H44" s="735"/>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row>
    <row r="45" spans="1:33" ht="15.75" customHeight="1" outlineLevel="2">
      <c r="A45" s="786"/>
      <c r="B45" s="779" t="s">
        <v>34</v>
      </c>
      <c r="C45" s="421" t="str">
        <f>"Debt 1 (automatic): "&amp;Inputs!$F$157</f>
        <v>Debt 1 (automatic): EasyCredit</v>
      </c>
      <c r="D45" s="422"/>
      <c r="E45" s="776">
        <f>Inputs!$F$158</f>
        <v>1</v>
      </c>
      <c r="F45" s="737"/>
      <c r="G45" s="737"/>
      <c r="H45" s="737"/>
      <c r="I45" s="236">
        <f ca="1">SUM(J45:AG45)</f>
        <v>0</v>
      </c>
      <c r="J45" s="423">
        <f t="shared" ref="J45:AG45" ca="1" si="13">MIN(J101,-J43)</f>
        <v>0</v>
      </c>
      <c r="K45" s="423">
        <f t="shared" ca="1" si="13"/>
        <v>0</v>
      </c>
      <c r="L45" s="423">
        <f t="shared" ca="1" si="13"/>
        <v>0</v>
      </c>
      <c r="M45" s="423">
        <f t="shared" ca="1" si="13"/>
        <v>0</v>
      </c>
      <c r="N45" s="423">
        <f t="shared" ca="1" si="13"/>
        <v>0</v>
      </c>
      <c r="O45" s="423">
        <f t="shared" ca="1" si="13"/>
        <v>0</v>
      </c>
      <c r="P45" s="423">
        <f t="shared" ca="1" si="13"/>
        <v>0</v>
      </c>
      <c r="Q45" s="423">
        <f t="shared" ca="1" si="13"/>
        <v>0</v>
      </c>
      <c r="R45" s="423">
        <f t="shared" ca="1" si="13"/>
        <v>0</v>
      </c>
      <c r="S45" s="423">
        <f t="shared" ca="1" si="13"/>
        <v>0</v>
      </c>
      <c r="T45" s="423">
        <f t="shared" ca="1" si="13"/>
        <v>0</v>
      </c>
      <c r="U45" s="423">
        <f t="shared" ca="1" si="13"/>
        <v>0</v>
      </c>
      <c r="V45" s="423">
        <f t="shared" ca="1" si="13"/>
        <v>0</v>
      </c>
      <c r="W45" s="423">
        <f t="shared" ca="1" si="13"/>
        <v>0</v>
      </c>
      <c r="X45" s="423">
        <f t="shared" ca="1" si="13"/>
        <v>0</v>
      </c>
      <c r="Y45" s="423">
        <f t="shared" ca="1" si="13"/>
        <v>0</v>
      </c>
      <c r="Z45" s="423">
        <f t="shared" ca="1" si="13"/>
        <v>0</v>
      </c>
      <c r="AA45" s="423">
        <f t="shared" ca="1" si="13"/>
        <v>0</v>
      </c>
      <c r="AB45" s="423">
        <f t="shared" ca="1" si="13"/>
        <v>0</v>
      </c>
      <c r="AC45" s="423">
        <f t="shared" ca="1" si="13"/>
        <v>0</v>
      </c>
      <c r="AD45" s="423">
        <f t="shared" ca="1" si="13"/>
        <v>0</v>
      </c>
      <c r="AE45" s="423">
        <f t="shared" ca="1" si="13"/>
        <v>0</v>
      </c>
      <c r="AF45" s="423">
        <f t="shared" ca="1" si="13"/>
        <v>0</v>
      </c>
      <c r="AG45" s="423">
        <f t="shared" ca="1" si="13"/>
        <v>0</v>
      </c>
    </row>
    <row r="46" spans="1:33" ht="15.75" customHeight="1" outlineLevel="2">
      <c r="A46" s="786"/>
      <c r="B46" s="778"/>
      <c r="C46" s="421" t="s">
        <v>498</v>
      </c>
      <c r="D46" s="422"/>
      <c r="E46" s="737"/>
      <c r="F46" s="737"/>
      <c r="G46" s="737"/>
      <c r="H46" s="737"/>
      <c r="I46" s="737"/>
      <c r="J46" s="515">
        <f t="shared" ref="J46:AG46" ca="1" si="14">J43+J45</f>
        <v>0</v>
      </c>
      <c r="K46" s="515">
        <f t="shared" ca="1" si="14"/>
        <v>0</v>
      </c>
      <c r="L46" s="515">
        <f t="shared" ca="1" si="14"/>
        <v>0</v>
      </c>
      <c r="M46" s="515">
        <f t="shared" ca="1" si="14"/>
        <v>0</v>
      </c>
      <c r="N46" s="515">
        <f t="shared" ca="1" si="14"/>
        <v>0</v>
      </c>
      <c r="O46" s="515">
        <f t="shared" ca="1" si="14"/>
        <v>0</v>
      </c>
      <c r="P46" s="515">
        <f t="shared" ca="1" si="14"/>
        <v>0</v>
      </c>
      <c r="Q46" s="515">
        <f t="shared" ca="1" si="14"/>
        <v>-94415.227584091394</v>
      </c>
      <c r="R46" s="515">
        <f t="shared" ca="1" si="14"/>
        <v>-45155.543174629362</v>
      </c>
      <c r="S46" s="515">
        <f t="shared" ca="1" si="14"/>
        <v>0</v>
      </c>
      <c r="T46" s="515">
        <f t="shared" ca="1" si="14"/>
        <v>0</v>
      </c>
      <c r="U46" s="515">
        <f t="shared" ca="1" si="14"/>
        <v>0</v>
      </c>
      <c r="V46" s="515">
        <f t="shared" ca="1" si="14"/>
        <v>0</v>
      </c>
      <c r="W46" s="515">
        <f t="shared" ca="1" si="14"/>
        <v>0</v>
      </c>
      <c r="X46" s="515">
        <f t="shared" ca="1" si="14"/>
        <v>-59479.340360609247</v>
      </c>
      <c r="Y46" s="515">
        <f t="shared" ca="1" si="14"/>
        <v>0</v>
      </c>
      <c r="Z46" s="515">
        <f t="shared" ca="1" si="14"/>
        <v>0</v>
      </c>
      <c r="AA46" s="515">
        <f t="shared" ca="1" si="14"/>
        <v>-65477.085287929542</v>
      </c>
      <c r="AB46" s="515">
        <f t="shared" ca="1" si="14"/>
        <v>0</v>
      </c>
      <c r="AC46" s="515">
        <f t="shared" ca="1" si="14"/>
        <v>0</v>
      </c>
      <c r="AD46" s="515">
        <f t="shared" ca="1" si="14"/>
        <v>-8709.1863859756559</v>
      </c>
      <c r="AE46" s="515">
        <f t="shared" ca="1" si="14"/>
        <v>0</v>
      </c>
      <c r="AF46" s="515">
        <f t="shared" ca="1" si="14"/>
        <v>0</v>
      </c>
      <c r="AG46" s="515">
        <f t="shared" ca="1" si="14"/>
        <v>0</v>
      </c>
    </row>
    <row r="47" spans="1:33" ht="15" customHeight="1" outlineLevel="2">
      <c r="A47" s="786"/>
      <c r="B47" s="778"/>
      <c r="C47" s="735"/>
      <c r="D47" s="735"/>
      <c r="E47" s="735"/>
      <c r="F47" s="735"/>
      <c r="G47" s="735"/>
      <c r="H47" s="735"/>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row>
    <row r="48" spans="1:33" ht="15.75" customHeight="1" outlineLevel="2">
      <c r="A48" s="786"/>
      <c r="B48" s="779" t="s">
        <v>35</v>
      </c>
      <c r="C48" s="421" t="str">
        <f>"Debt 2: "&amp;Inputs!$F$176</f>
        <v>Debt 2: URB Bank</v>
      </c>
      <c r="D48" s="422"/>
      <c r="E48" s="432" t="s">
        <v>504</v>
      </c>
      <c r="F48" s="494" t="str">
        <f>IF(E49=0," Interest will be calculated automatically"," Manual input of interest necessary")</f>
        <v xml:space="preserve"> Interest will be calculated automatically</v>
      </c>
      <c r="G48" s="737"/>
      <c r="H48" s="736"/>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row>
    <row r="49" spans="1:33" ht="15.75" customHeight="1" outlineLevel="2">
      <c r="A49" s="786"/>
      <c r="B49" s="778"/>
      <c r="C49" s="421" t="s">
        <v>502</v>
      </c>
      <c r="D49" s="422"/>
      <c r="E49" s="679">
        <f>Inputs!F177</f>
        <v>0</v>
      </c>
      <c r="F49" s="737"/>
      <c r="G49" s="421"/>
      <c r="H49" s="736"/>
      <c r="I49" s="236">
        <f>SUMPRODUCT((J$6:AG$6),(J49:AG49))</f>
        <v>70000</v>
      </c>
      <c r="J49" s="437"/>
      <c r="K49" s="437"/>
      <c r="L49" s="437"/>
      <c r="M49" s="437"/>
      <c r="N49" s="437"/>
      <c r="O49" s="437"/>
      <c r="P49" s="437"/>
      <c r="Q49" s="437"/>
      <c r="R49" s="437"/>
      <c r="S49" s="437">
        <v>70000</v>
      </c>
      <c r="T49" s="437"/>
      <c r="U49" s="437"/>
      <c r="V49" s="437"/>
      <c r="W49" s="437"/>
      <c r="X49" s="437"/>
      <c r="Y49" s="437"/>
      <c r="Z49" s="437"/>
      <c r="AA49" s="437"/>
      <c r="AB49" s="437"/>
      <c r="AC49" s="437"/>
      <c r="AD49" s="437"/>
      <c r="AE49" s="437"/>
      <c r="AF49" s="437"/>
      <c r="AG49" s="437"/>
    </row>
    <row r="50" spans="1:33" ht="15.75" customHeight="1" outlineLevel="2">
      <c r="A50" s="786"/>
      <c r="B50" s="778"/>
      <c r="C50" s="421" t="s">
        <v>503</v>
      </c>
      <c r="D50" s="422"/>
      <c r="E50" s="737"/>
      <c r="F50" s="737"/>
      <c r="G50" s="737"/>
      <c r="H50" s="781" t="str">
        <f>IF(SUM(I49:I50)&lt;0,"Repayment exceeds drawdowns ! ","")</f>
        <v/>
      </c>
      <c r="I50" s="236">
        <f>SUMPRODUCT((J$6:AG$6),(J50:AG50))</f>
        <v>-10000</v>
      </c>
      <c r="J50" s="437"/>
      <c r="K50" s="437"/>
      <c r="L50" s="437"/>
      <c r="M50" s="437"/>
      <c r="N50" s="437"/>
      <c r="O50" s="437"/>
      <c r="P50" s="437"/>
      <c r="Q50" s="437"/>
      <c r="R50" s="437"/>
      <c r="S50" s="437"/>
      <c r="T50" s="437"/>
      <c r="U50" s="437"/>
      <c r="V50" s="437"/>
      <c r="W50" s="437"/>
      <c r="X50" s="437"/>
      <c r="Y50" s="437"/>
      <c r="Z50" s="437"/>
      <c r="AA50" s="437"/>
      <c r="AB50" s="437"/>
      <c r="AC50" s="437">
        <v>-10000</v>
      </c>
      <c r="AD50" s="437"/>
      <c r="AE50" s="437"/>
      <c r="AF50" s="437"/>
      <c r="AG50" s="437"/>
    </row>
    <row r="51" spans="1:33" ht="15.75" customHeight="1" outlineLevel="2">
      <c r="A51" s="786"/>
      <c r="B51" s="779"/>
      <c r="C51" s="421" t="s">
        <v>498</v>
      </c>
      <c r="D51" s="422"/>
      <c r="E51" s="737"/>
      <c r="F51" s="737"/>
      <c r="G51" s="737"/>
      <c r="H51" s="737"/>
      <c r="I51" s="737"/>
      <c r="J51" s="515">
        <f t="shared" ref="J51:AG51" ca="1" si="15">MIN(J46+J49+J50,0)*J6</f>
        <v>0</v>
      </c>
      <c r="K51" s="515">
        <f t="shared" ca="1" si="15"/>
        <v>0</v>
      </c>
      <c r="L51" s="515">
        <f t="shared" ca="1" si="15"/>
        <v>0</v>
      </c>
      <c r="M51" s="515">
        <f t="shared" ca="1" si="15"/>
        <v>0</v>
      </c>
      <c r="N51" s="515">
        <f t="shared" ca="1" si="15"/>
        <v>0</v>
      </c>
      <c r="O51" s="515">
        <f t="shared" ca="1" si="15"/>
        <v>0</v>
      </c>
      <c r="P51" s="515">
        <f t="shared" ca="1" si="15"/>
        <v>0</v>
      </c>
      <c r="Q51" s="515">
        <f t="shared" ca="1" si="15"/>
        <v>-94415.227584091394</v>
      </c>
      <c r="R51" s="515">
        <f t="shared" ca="1" si="15"/>
        <v>-45155.543174629362</v>
      </c>
      <c r="S51" s="515">
        <f t="shared" ca="1" si="15"/>
        <v>0</v>
      </c>
      <c r="T51" s="515">
        <f t="shared" ca="1" si="15"/>
        <v>0</v>
      </c>
      <c r="U51" s="515">
        <f t="shared" ca="1" si="15"/>
        <v>0</v>
      </c>
      <c r="V51" s="515">
        <f t="shared" ca="1" si="15"/>
        <v>0</v>
      </c>
      <c r="W51" s="515">
        <f t="shared" ca="1" si="15"/>
        <v>0</v>
      </c>
      <c r="X51" s="515">
        <f t="shared" ca="1" si="15"/>
        <v>-59479.340360609247</v>
      </c>
      <c r="Y51" s="515">
        <f t="shared" ca="1" si="15"/>
        <v>0</v>
      </c>
      <c r="Z51" s="515">
        <f t="shared" ca="1" si="15"/>
        <v>0</v>
      </c>
      <c r="AA51" s="515">
        <f t="shared" ca="1" si="15"/>
        <v>-65477.085287929542</v>
      </c>
      <c r="AB51" s="515">
        <f t="shared" ca="1" si="15"/>
        <v>0</v>
      </c>
      <c r="AC51" s="515">
        <f t="shared" ca="1" si="15"/>
        <v>-10000</v>
      </c>
      <c r="AD51" s="515">
        <f t="shared" ca="1" si="15"/>
        <v>-8709.1863859756559</v>
      </c>
      <c r="AE51" s="515">
        <f t="shared" ca="1" si="15"/>
        <v>0</v>
      </c>
      <c r="AF51" s="515">
        <f t="shared" ca="1" si="15"/>
        <v>0</v>
      </c>
      <c r="AG51" s="515">
        <f t="shared" ca="1" si="15"/>
        <v>0</v>
      </c>
    </row>
    <row r="52" spans="1:33" ht="15" customHeight="1" outlineLevel="2">
      <c r="A52" s="786"/>
      <c r="B52" s="778"/>
      <c r="C52" s="735"/>
      <c r="D52" s="735"/>
      <c r="E52" s="735"/>
      <c r="F52" s="735"/>
      <c r="G52" s="735"/>
      <c r="H52" s="735"/>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row>
    <row r="53" spans="1:33" ht="15.75" customHeight="1" outlineLevel="2">
      <c r="A53" s="786"/>
      <c r="B53" s="778" t="s">
        <v>37</v>
      </c>
      <c r="C53" s="421" t="str">
        <f>"Debt 3: "&amp;Inputs!$F$181</f>
        <v>Debt 3: FounderBank</v>
      </c>
      <c r="D53" s="422"/>
      <c r="E53" s="432" t="s">
        <v>504</v>
      </c>
      <c r="F53" s="494" t="str">
        <f>IF(E54=0," Interest will be calculated automatically"," Manual input of interest necessary")</f>
        <v xml:space="preserve"> Interest will be calculated automatically</v>
      </c>
      <c r="G53" s="737"/>
      <c r="H53" s="73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row>
    <row r="54" spans="1:33" ht="15.75" customHeight="1" outlineLevel="2">
      <c r="A54" s="786"/>
      <c r="B54" s="778"/>
      <c r="C54" s="421" t="s">
        <v>502</v>
      </c>
      <c r="D54" s="422"/>
      <c r="E54" s="679">
        <f>Inputs!F182</f>
        <v>0</v>
      </c>
      <c r="F54" s="737"/>
      <c r="G54" s="737"/>
      <c r="H54" s="736"/>
      <c r="I54" s="236">
        <f>SUMPRODUCT((J$6:AG$6),(J54:AG54))</f>
        <v>110000</v>
      </c>
      <c r="J54" s="437"/>
      <c r="K54" s="437"/>
      <c r="L54" s="437"/>
      <c r="M54" s="437"/>
      <c r="N54" s="437"/>
      <c r="O54" s="437"/>
      <c r="P54" s="437"/>
      <c r="Q54" s="437">
        <v>110000</v>
      </c>
      <c r="R54" s="437"/>
      <c r="S54" s="437"/>
      <c r="T54" s="437"/>
      <c r="U54" s="437"/>
      <c r="V54" s="437"/>
      <c r="W54" s="437"/>
      <c r="X54" s="437"/>
      <c r="Y54" s="437"/>
      <c r="Z54" s="437"/>
      <c r="AA54" s="437"/>
      <c r="AB54" s="437"/>
      <c r="AC54" s="437"/>
      <c r="AD54" s="437"/>
      <c r="AE54" s="437"/>
      <c r="AF54" s="437"/>
      <c r="AG54" s="437"/>
    </row>
    <row r="55" spans="1:33" ht="15.75" customHeight="1" outlineLevel="2">
      <c r="A55" s="786"/>
      <c r="B55" s="778"/>
      <c r="C55" s="421" t="s">
        <v>503</v>
      </c>
      <c r="D55" s="422"/>
      <c r="E55" s="421"/>
      <c r="F55" s="737"/>
      <c r="G55" s="737"/>
      <c r="H55" s="781" t="str">
        <f>IF(SUM(I54:I55)&lt;0,"Repayment exceeds drawdowns ! ","")</f>
        <v/>
      </c>
      <c r="I55" s="236">
        <f>SUMPRODUCT((J$6:AG$6),(J55:AG55))</f>
        <v>-10000</v>
      </c>
      <c r="J55" s="437"/>
      <c r="K55" s="437"/>
      <c r="L55" s="437"/>
      <c r="M55" s="437"/>
      <c r="N55" s="437"/>
      <c r="O55" s="437"/>
      <c r="P55" s="437"/>
      <c r="Q55" s="437"/>
      <c r="R55" s="437"/>
      <c r="S55" s="437"/>
      <c r="T55" s="437"/>
      <c r="U55" s="437">
        <v>-1000</v>
      </c>
      <c r="V55" s="437">
        <v>-1000</v>
      </c>
      <c r="W55" s="437">
        <v>-1000</v>
      </c>
      <c r="X55" s="437">
        <v>-1000</v>
      </c>
      <c r="Y55" s="437">
        <v>-1000</v>
      </c>
      <c r="Z55" s="437">
        <v>-1000</v>
      </c>
      <c r="AA55" s="437">
        <v>-1000</v>
      </c>
      <c r="AB55" s="437">
        <v>-1000</v>
      </c>
      <c r="AC55" s="437">
        <v>-1000</v>
      </c>
      <c r="AD55" s="437">
        <v>-500</v>
      </c>
      <c r="AE55" s="437">
        <v>-500</v>
      </c>
      <c r="AF55" s="437">
        <v>-500</v>
      </c>
      <c r="AG55" s="437">
        <v>-500</v>
      </c>
    </row>
    <row r="56" spans="1:33" ht="15.75" customHeight="1" outlineLevel="2">
      <c r="A56" s="786"/>
      <c r="B56" s="779"/>
      <c r="C56" s="421" t="s">
        <v>498</v>
      </c>
      <c r="D56" s="422"/>
      <c r="E56" s="737"/>
      <c r="F56" s="737"/>
      <c r="G56" s="737"/>
      <c r="H56" s="737"/>
      <c r="I56" s="737"/>
      <c r="J56" s="515">
        <f t="shared" ref="J56:AG56" ca="1" si="16">MIN(J51+J54+J55,0)*J6</f>
        <v>0</v>
      </c>
      <c r="K56" s="515">
        <f t="shared" ca="1" si="16"/>
        <v>0</v>
      </c>
      <c r="L56" s="515">
        <f t="shared" ca="1" si="16"/>
        <v>0</v>
      </c>
      <c r="M56" s="515">
        <f t="shared" ca="1" si="16"/>
        <v>0</v>
      </c>
      <c r="N56" s="515">
        <f t="shared" ca="1" si="16"/>
        <v>0</v>
      </c>
      <c r="O56" s="515">
        <f t="shared" ca="1" si="16"/>
        <v>0</v>
      </c>
      <c r="P56" s="515">
        <f t="shared" ca="1" si="16"/>
        <v>0</v>
      </c>
      <c r="Q56" s="515">
        <f t="shared" ca="1" si="16"/>
        <v>0</v>
      </c>
      <c r="R56" s="515">
        <f t="shared" ca="1" si="16"/>
        <v>-45155.543174629362</v>
      </c>
      <c r="S56" s="515">
        <f t="shared" ca="1" si="16"/>
        <v>0</v>
      </c>
      <c r="T56" s="515">
        <f t="shared" ca="1" si="16"/>
        <v>0</v>
      </c>
      <c r="U56" s="515">
        <f t="shared" ca="1" si="16"/>
        <v>-1000</v>
      </c>
      <c r="V56" s="515">
        <f t="shared" ca="1" si="16"/>
        <v>-1000</v>
      </c>
      <c r="W56" s="515">
        <f t="shared" ca="1" si="16"/>
        <v>-1000</v>
      </c>
      <c r="X56" s="515">
        <f t="shared" ca="1" si="16"/>
        <v>-60479.340360609247</v>
      </c>
      <c r="Y56" s="515">
        <f t="shared" ca="1" si="16"/>
        <v>-1000</v>
      </c>
      <c r="Z56" s="515">
        <f t="shared" ca="1" si="16"/>
        <v>-1000</v>
      </c>
      <c r="AA56" s="515">
        <f t="shared" ca="1" si="16"/>
        <v>-66477.085287929542</v>
      </c>
      <c r="AB56" s="515">
        <f t="shared" ca="1" si="16"/>
        <v>-1000</v>
      </c>
      <c r="AC56" s="515">
        <f t="shared" ca="1" si="16"/>
        <v>-11000</v>
      </c>
      <c r="AD56" s="515">
        <f t="shared" ca="1" si="16"/>
        <v>-9209.1863859756559</v>
      </c>
      <c r="AE56" s="515">
        <f t="shared" ca="1" si="16"/>
        <v>-500</v>
      </c>
      <c r="AF56" s="515">
        <f t="shared" ca="1" si="16"/>
        <v>0</v>
      </c>
      <c r="AG56" s="515">
        <f t="shared" ca="1" si="16"/>
        <v>0</v>
      </c>
    </row>
    <row r="57" spans="1:33" ht="15" customHeight="1" outlineLevel="2">
      <c r="A57" s="786"/>
      <c r="B57" s="778"/>
      <c r="C57" s="735"/>
      <c r="D57" s="735"/>
      <c r="E57" s="735"/>
      <c r="F57" s="735"/>
      <c r="G57" s="735"/>
      <c r="H57" s="735"/>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row>
    <row r="58" spans="1:33" ht="15.75" customHeight="1" outlineLevel="2">
      <c r="A58" s="786"/>
      <c r="B58" s="779" t="s">
        <v>45</v>
      </c>
      <c r="C58" s="421" t="str">
        <f>"Debt 4: "&amp;Inputs!$F$186</f>
        <v>Debt 4: Shareholder Loan</v>
      </c>
      <c r="D58" s="422"/>
      <c r="E58" s="432" t="s">
        <v>504</v>
      </c>
      <c r="F58" s="494" t="str">
        <f>IF(E59=0," Interest will be calculated automatically"," Manual input of interest necessary")</f>
        <v xml:space="preserve"> Interest will be calculated automatically</v>
      </c>
      <c r="G58" s="737"/>
      <c r="H58" s="736"/>
      <c r="I58" s="746"/>
      <c r="J58" s="746"/>
      <c r="K58" s="746"/>
      <c r="L58" s="746"/>
      <c r="M58" s="746"/>
      <c r="N58" s="746"/>
      <c r="O58" s="746"/>
      <c r="P58" s="746"/>
      <c r="Q58" s="746"/>
      <c r="R58" s="746"/>
      <c r="S58" s="746"/>
      <c r="T58" s="746"/>
      <c r="U58" s="746"/>
      <c r="V58" s="746"/>
      <c r="W58" s="746"/>
      <c r="X58" s="746"/>
      <c r="Y58" s="746"/>
      <c r="Z58" s="746"/>
      <c r="AA58" s="746"/>
      <c r="AB58" s="746"/>
      <c r="AC58" s="746"/>
      <c r="AD58" s="746"/>
      <c r="AE58" s="746"/>
      <c r="AF58" s="746"/>
      <c r="AG58" s="746"/>
    </row>
    <row r="59" spans="1:33" ht="15.75" customHeight="1" outlineLevel="2">
      <c r="A59" s="786"/>
      <c r="B59" s="778"/>
      <c r="C59" s="421" t="s">
        <v>502</v>
      </c>
      <c r="D59" s="422"/>
      <c r="E59" s="679">
        <f>Inputs!F187</f>
        <v>0</v>
      </c>
      <c r="F59" s="737"/>
      <c r="G59" s="737"/>
      <c r="H59" s="736"/>
      <c r="I59" s="236">
        <f>SUMPRODUCT((J$6:AG$6),(J59:AG59))</f>
        <v>50000</v>
      </c>
      <c r="J59" s="437"/>
      <c r="K59" s="437"/>
      <c r="L59" s="437"/>
      <c r="M59" s="437"/>
      <c r="N59" s="437"/>
      <c r="O59" s="437"/>
      <c r="P59" s="437"/>
      <c r="Q59" s="437"/>
      <c r="R59" s="437"/>
      <c r="S59" s="437"/>
      <c r="T59" s="437"/>
      <c r="U59" s="437"/>
      <c r="V59" s="437"/>
      <c r="W59" s="437"/>
      <c r="X59" s="437"/>
      <c r="Y59" s="437"/>
      <c r="Z59" s="437"/>
      <c r="AA59" s="437">
        <v>50000</v>
      </c>
      <c r="AB59" s="437"/>
      <c r="AC59" s="437"/>
      <c r="AD59" s="437"/>
      <c r="AE59" s="437"/>
      <c r="AF59" s="437"/>
      <c r="AG59" s="437"/>
    </row>
    <row r="60" spans="1:33" ht="15.75" customHeight="1" outlineLevel="2">
      <c r="A60" s="786"/>
      <c r="B60" s="778"/>
      <c r="C60" s="421" t="s">
        <v>503</v>
      </c>
      <c r="D60" s="422"/>
      <c r="E60" s="421"/>
      <c r="F60" s="737"/>
      <c r="G60" s="737"/>
      <c r="H60" s="781" t="str">
        <f>IF(SUM(I59:I60)&lt;0,"Repayment exceeds drawdowns ! ","")</f>
        <v/>
      </c>
      <c r="I60" s="236">
        <f>SUMPRODUCT((J$6:AG$6),(J60:AG60))</f>
        <v>0</v>
      </c>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row>
    <row r="61" spans="1:33" ht="15.75" customHeight="1" outlineLevel="2">
      <c r="A61" s="786"/>
      <c r="B61" s="778"/>
      <c r="C61" s="421" t="s">
        <v>498</v>
      </c>
      <c r="D61" s="422"/>
      <c r="E61" s="737"/>
      <c r="F61" s="737"/>
      <c r="G61" s="737"/>
      <c r="H61" s="737"/>
      <c r="I61" s="737"/>
      <c r="J61" s="515">
        <f t="shared" ref="J61:AG61" ca="1" si="17">MIN(J56+J59+J60,0)*J6</f>
        <v>0</v>
      </c>
      <c r="K61" s="515">
        <f t="shared" ca="1" si="17"/>
        <v>0</v>
      </c>
      <c r="L61" s="515">
        <f t="shared" ca="1" si="17"/>
        <v>0</v>
      </c>
      <c r="M61" s="515">
        <f t="shared" ca="1" si="17"/>
        <v>0</v>
      </c>
      <c r="N61" s="515">
        <f t="shared" ca="1" si="17"/>
        <v>0</v>
      </c>
      <c r="O61" s="515">
        <f t="shared" ca="1" si="17"/>
        <v>0</v>
      </c>
      <c r="P61" s="515">
        <f t="shared" ca="1" si="17"/>
        <v>0</v>
      </c>
      <c r="Q61" s="515">
        <f t="shared" ca="1" si="17"/>
        <v>0</v>
      </c>
      <c r="R61" s="515">
        <f t="shared" ca="1" si="17"/>
        <v>-45155.543174629362</v>
      </c>
      <c r="S61" s="515">
        <f t="shared" ca="1" si="17"/>
        <v>0</v>
      </c>
      <c r="T61" s="515">
        <f t="shared" ca="1" si="17"/>
        <v>0</v>
      </c>
      <c r="U61" s="515">
        <f t="shared" ca="1" si="17"/>
        <v>-1000</v>
      </c>
      <c r="V61" s="515">
        <f t="shared" ca="1" si="17"/>
        <v>-1000</v>
      </c>
      <c r="W61" s="515">
        <f t="shared" ca="1" si="17"/>
        <v>-1000</v>
      </c>
      <c r="X61" s="515">
        <f t="shared" ca="1" si="17"/>
        <v>-60479.340360609247</v>
      </c>
      <c r="Y61" s="515">
        <f t="shared" ca="1" si="17"/>
        <v>-1000</v>
      </c>
      <c r="Z61" s="515">
        <f t="shared" ca="1" si="17"/>
        <v>-1000</v>
      </c>
      <c r="AA61" s="515">
        <f t="shared" ca="1" si="17"/>
        <v>-16477.085287929542</v>
      </c>
      <c r="AB61" s="515">
        <f t="shared" ca="1" si="17"/>
        <v>-1000</v>
      </c>
      <c r="AC61" s="515">
        <f t="shared" ca="1" si="17"/>
        <v>-11000</v>
      </c>
      <c r="AD61" s="515">
        <f t="shared" ca="1" si="17"/>
        <v>-9209.1863859756559</v>
      </c>
      <c r="AE61" s="515">
        <f t="shared" ca="1" si="17"/>
        <v>-500</v>
      </c>
      <c r="AF61" s="515">
        <f t="shared" ca="1" si="17"/>
        <v>0</v>
      </c>
      <c r="AG61" s="515">
        <f t="shared" ca="1" si="17"/>
        <v>0</v>
      </c>
    </row>
    <row r="62" spans="1:33" ht="15" customHeight="1" outlineLevel="2">
      <c r="A62" s="786"/>
      <c r="B62" s="778"/>
      <c r="C62" s="735"/>
      <c r="D62" s="735"/>
      <c r="E62" s="735"/>
      <c r="F62" s="735"/>
      <c r="G62" s="735"/>
      <c r="H62" s="735"/>
      <c r="I62" s="735"/>
      <c r="J62" s="441"/>
      <c r="K62" s="441"/>
      <c r="L62" s="441"/>
      <c r="M62" s="441"/>
      <c r="N62" s="441"/>
      <c r="O62" s="441"/>
      <c r="P62" s="441"/>
      <c r="Q62" s="441"/>
      <c r="R62" s="441"/>
      <c r="S62" s="441"/>
      <c r="T62" s="441"/>
      <c r="U62" s="441"/>
      <c r="V62" s="441"/>
      <c r="W62" s="441"/>
      <c r="X62" s="441"/>
      <c r="Y62" s="441"/>
      <c r="Z62" s="441"/>
      <c r="AA62" s="441"/>
      <c r="AB62" s="441"/>
      <c r="AC62" s="441"/>
      <c r="AD62" s="441"/>
      <c r="AE62" s="441"/>
      <c r="AF62" s="441"/>
      <c r="AG62" s="441"/>
    </row>
    <row r="63" spans="1:33" ht="14.25" customHeight="1" outlineLevel="2">
      <c r="A63" s="786"/>
      <c r="B63" s="778"/>
      <c r="C63" s="421" t="s">
        <v>499</v>
      </c>
      <c r="D63" s="422"/>
      <c r="E63" s="737"/>
      <c r="F63" s="737"/>
      <c r="G63" s="737"/>
      <c r="H63" s="737"/>
      <c r="I63" s="508"/>
      <c r="J63" s="782">
        <f t="shared" ref="J63:AG63" ca="1" si="18">(J36+J42+J45+J49+J50+J54+J55+J59+J60)*J6</f>
        <v>0</v>
      </c>
      <c r="K63" s="782">
        <f t="shared" ca="1" si="18"/>
        <v>0</v>
      </c>
      <c r="L63" s="782">
        <f t="shared" ca="1" si="18"/>
        <v>90215.963047619065</v>
      </c>
      <c r="M63" s="782">
        <f t="shared" ca="1" si="18"/>
        <v>108534.97663060421</v>
      </c>
      <c r="N63" s="782">
        <f t="shared" ca="1" si="18"/>
        <v>70315.142424060148</v>
      </c>
      <c r="O63" s="782">
        <f t="shared" ca="1" si="18"/>
        <v>29674.744607373374</v>
      </c>
      <c r="P63" s="782">
        <f t="shared" ca="1" si="18"/>
        <v>77712.45817001976</v>
      </c>
      <c r="Q63" s="782">
        <f t="shared" ca="1" si="18"/>
        <v>15584.772415908606</v>
      </c>
      <c r="R63" s="782">
        <f t="shared" ca="1" si="18"/>
        <v>-45155.543174629362</v>
      </c>
      <c r="S63" s="782">
        <f t="shared" ca="1" si="18"/>
        <v>192470.94897682843</v>
      </c>
      <c r="T63" s="782">
        <f t="shared" ca="1" si="18"/>
        <v>79617.295437227905</v>
      </c>
      <c r="U63" s="782">
        <f t="shared" ca="1" si="18"/>
        <v>9922.5986983770708</v>
      </c>
      <c r="V63" s="782">
        <f t="shared" ca="1" si="18"/>
        <v>124181.36779836372</v>
      </c>
      <c r="W63" s="782">
        <f t="shared" ca="1" si="18"/>
        <v>22759.706849706141</v>
      </c>
      <c r="X63" s="782">
        <f t="shared" ca="1" si="18"/>
        <v>-60479.340360609247</v>
      </c>
      <c r="Y63" s="782">
        <f t="shared" ca="1" si="18"/>
        <v>205520.70194121901</v>
      </c>
      <c r="Z63" s="782">
        <f t="shared" ca="1" si="18"/>
        <v>24419.86395316702</v>
      </c>
      <c r="AA63" s="782">
        <f t="shared" ca="1" si="18"/>
        <v>-16477.085287929542</v>
      </c>
      <c r="AB63" s="782">
        <f t="shared" ca="1" si="18"/>
        <v>266482.64355656266</v>
      </c>
      <c r="AC63" s="782">
        <f t="shared" ca="1" si="18"/>
        <v>95843.580935448437</v>
      </c>
      <c r="AD63" s="782">
        <f t="shared" ca="1" si="18"/>
        <v>-9209.1863859756559</v>
      </c>
      <c r="AE63" s="782">
        <f t="shared" ca="1" si="18"/>
        <v>316554.38635250187</v>
      </c>
      <c r="AF63" s="782">
        <f t="shared" ca="1" si="18"/>
        <v>0</v>
      </c>
      <c r="AG63" s="782">
        <f t="shared" ca="1" si="18"/>
        <v>0</v>
      </c>
    </row>
    <row r="64" spans="1:33" ht="7.5" customHeight="1" outlineLevel="2">
      <c r="A64" s="786"/>
      <c r="B64" s="778"/>
      <c r="C64" s="735"/>
      <c r="D64" s="735"/>
      <c r="E64" s="735"/>
      <c r="F64" s="735"/>
      <c r="G64" s="735"/>
      <c r="H64" s="735"/>
      <c r="I64" s="735"/>
      <c r="J64" s="441"/>
      <c r="K64" s="441"/>
      <c r="L64" s="441"/>
      <c r="M64" s="441"/>
      <c r="N64" s="441"/>
      <c r="O64" s="441"/>
      <c r="P64" s="441"/>
      <c r="Q64" s="441"/>
      <c r="R64" s="441"/>
      <c r="S64" s="441"/>
      <c r="T64" s="441"/>
      <c r="U64" s="441"/>
      <c r="V64" s="441"/>
      <c r="W64" s="441"/>
      <c r="X64" s="441"/>
      <c r="Y64" s="441"/>
      <c r="Z64" s="441"/>
      <c r="AA64" s="441"/>
      <c r="AB64" s="441"/>
      <c r="AC64" s="441"/>
      <c r="AD64" s="441"/>
      <c r="AE64" s="441"/>
      <c r="AF64" s="441"/>
      <c r="AG64" s="441"/>
    </row>
    <row r="65" spans="1:33" ht="15.75" customHeight="1" outlineLevel="2">
      <c r="A65" s="786"/>
      <c r="B65" s="779" t="s">
        <v>38</v>
      </c>
      <c r="C65" s="434" t="s">
        <v>931</v>
      </c>
      <c r="D65" s="708"/>
      <c r="E65" s="735"/>
      <c r="F65" s="735"/>
      <c r="G65" s="735"/>
      <c r="H65" s="735"/>
      <c r="I65" s="735"/>
      <c r="J65" s="441"/>
      <c r="K65" s="441"/>
      <c r="L65" s="441"/>
      <c r="M65" s="441"/>
      <c r="N65" s="441"/>
      <c r="O65" s="441"/>
      <c r="P65" s="441"/>
      <c r="Q65" s="441"/>
      <c r="R65" s="441"/>
      <c r="S65" s="441"/>
      <c r="T65" s="441"/>
      <c r="U65" s="441"/>
      <c r="V65" s="441"/>
      <c r="W65" s="441"/>
      <c r="X65" s="441"/>
      <c r="Y65" s="441"/>
      <c r="Z65" s="441"/>
      <c r="AA65" s="441"/>
      <c r="AB65" s="441"/>
      <c r="AC65" s="441"/>
      <c r="AD65" s="441"/>
      <c r="AE65" s="441"/>
      <c r="AF65" s="441"/>
      <c r="AG65" s="441"/>
    </row>
    <row r="66" spans="1:33" ht="15.75" customHeight="1" outlineLevel="2">
      <c r="A66" s="786"/>
      <c r="B66" s="778"/>
      <c r="C66" s="421" t="s">
        <v>140</v>
      </c>
      <c r="D66" s="615"/>
      <c r="E66" s="737"/>
      <c r="F66" s="737"/>
      <c r="G66" s="737"/>
      <c r="H66" s="737"/>
      <c r="I66" s="737"/>
      <c r="J66" s="423">
        <f>I69*J$6</f>
        <v>0</v>
      </c>
      <c r="K66" s="423">
        <f t="shared" ref="K66:AG66" ca="1" si="19">J69*K$6</f>
        <v>0</v>
      </c>
      <c r="L66" s="423">
        <f t="shared" ca="1" si="19"/>
        <v>0</v>
      </c>
      <c r="M66" s="423">
        <f t="shared" ca="1" si="19"/>
        <v>0</v>
      </c>
      <c r="N66" s="423">
        <f t="shared" ca="1" si="19"/>
        <v>0</v>
      </c>
      <c r="O66" s="423">
        <f t="shared" ca="1" si="19"/>
        <v>0</v>
      </c>
      <c r="P66" s="423">
        <f t="shared" ca="1" si="19"/>
        <v>0</v>
      </c>
      <c r="Q66" s="423">
        <f t="shared" ca="1" si="19"/>
        <v>0</v>
      </c>
      <c r="R66" s="423">
        <f t="shared" ca="1" si="19"/>
        <v>0</v>
      </c>
      <c r="S66" s="423">
        <f t="shared" ca="1" si="19"/>
        <v>45155.543174629362</v>
      </c>
      <c r="T66" s="423">
        <f t="shared" ca="1" si="19"/>
        <v>0</v>
      </c>
      <c r="U66" s="423">
        <f t="shared" ca="1" si="19"/>
        <v>0</v>
      </c>
      <c r="V66" s="423">
        <f t="shared" ca="1" si="19"/>
        <v>0</v>
      </c>
      <c r="W66" s="423">
        <f t="shared" ca="1" si="19"/>
        <v>0</v>
      </c>
      <c r="X66" s="423">
        <f t="shared" ca="1" si="19"/>
        <v>0</v>
      </c>
      <c r="Y66" s="423">
        <f t="shared" ca="1" si="19"/>
        <v>60479.340360609247</v>
      </c>
      <c r="Z66" s="423">
        <f t="shared" ca="1" si="19"/>
        <v>0</v>
      </c>
      <c r="AA66" s="423">
        <f t="shared" ca="1" si="19"/>
        <v>0</v>
      </c>
      <c r="AB66" s="423">
        <f t="shared" ca="1" si="19"/>
        <v>16477.085287929542</v>
      </c>
      <c r="AC66" s="423">
        <f t="shared" ca="1" si="19"/>
        <v>0</v>
      </c>
      <c r="AD66" s="423">
        <f t="shared" ca="1" si="19"/>
        <v>0</v>
      </c>
      <c r="AE66" s="423">
        <f t="shared" ca="1" si="19"/>
        <v>9209.1863859756559</v>
      </c>
      <c r="AF66" s="423">
        <f t="shared" ca="1" si="19"/>
        <v>0</v>
      </c>
      <c r="AG66" s="423">
        <f t="shared" ca="1" si="19"/>
        <v>0</v>
      </c>
    </row>
    <row r="67" spans="1:33" ht="15.75" customHeight="1" outlineLevel="2">
      <c r="A67" s="786"/>
      <c r="B67" s="778"/>
      <c r="C67" s="421" t="s">
        <v>401</v>
      </c>
      <c r="D67" s="615"/>
      <c r="E67" s="737"/>
      <c r="F67" s="737"/>
      <c r="G67" s="737"/>
      <c r="H67" s="737"/>
      <c r="I67" s="236">
        <f ca="1">SUM(J67:AG67)</f>
        <v>131321.15520914382</v>
      </c>
      <c r="J67" s="423">
        <f t="shared" ref="J67:AG67" ca="1" si="20">IF(J63&gt;=0,0,-MAX(J61,J63,-J70))</f>
        <v>0</v>
      </c>
      <c r="K67" s="423">
        <f t="shared" ca="1" si="20"/>
        <v>0</v>
      </c>
      <c r="L67" s="423">
        <f t="shared" ca="1" si="20"/>
        <v>0</v>
      </c>
      <c r="M67" s="423">
        <f t="shared" ca="1" si="20"/>
        <v>0</v>
      </c>
      <c r="N67" s="423">
        <f t="shared" ca="1" si="20"/>
        <v>0</v>
      </c>
      <c r="O67" s="423">
        <f t="shared" ca="1" si="20"/>
        <v>0</v>
      </c>
      <c r="P67" s="423">
        <f t="shared" ca="1" si="20"/>
        <v>0</v>
      </c>
      <c r="Q67" s="423">
        <f t="shared" ca="1" si="20"/>
        <v>0</v>
      </c>
      <c r="R67" s="423">
        <f t="shared" ca="1" si="20"/>
        <v>45155.543174629362</v>
      </c>
      <c r="S67" s="423">
        <f t="shared" ca="1" si="20"/>
        <v>0</v>
      </c>
      <c r="T67" s="423">
        <f t="shared" ca="1" si="20"/>
        <v>0</v>
      </c>
      <c r="U67" s="423">
        <f t="shared" ca="1" si="20"/>
        <v>0</v>
      </c>
      <c r="V67" s="423">
        <f t="shared" ca="1" si="20"/>
        <v>0</v>
      </c>
      <c r="W67" s="423">
        <f t="shared" ca="1" si="20"/>
        <v>0</v>
      </c>
      <c r="X67" s="423">
        <f t="shared" ca="1" si="20"/>
        <v>60479.340360609247</v>
      </c>
      <c r="Y67" s="423">
        <f t="shared" ca="1" si="20"/>
        <v>0</v>
      </c>
      <c r="Z67" s="423">
        <f t="shared" ca="1" si="20"/>
        <v>0</v>
      </c>
      <c r="AA67" s="423">
        <f t="shared" ca="1" si="20"/>
        <v>16477.085287929542</v>
      </c>
      <c r="AB67" s="423">
        <f t="shared" ca="1" si="20"/>
        <v>0</v>
      </c>
      <c r="AC67" s="423">
        <f t="shared" ca="1" si="20"/>
        <v>0</v>
      </c>
      <c r="AD67" s="423">
        <f t="shared" ca="1" si="20"/>
        <v>9209.1863859756559</v>
      </c>
      <c r="AE67" s="423">
        <f t="shared" ca="1" si="20"/>
        <v>0</v>
      </c>
      <c r="AF67" s="423">
        <f t="shared" ca="1" si="20"/>
        <v>0</v>
      </c>
      <c r="AG67" s="423">
        <f t="shared" ca="1" si="20"/>
        <v>0</v>
      </c>
    </row>
    <row r="68" spans="1:33" ht="15.75" customHeight="1" outlineLevel="2">
      <c r="A68" s="786"/>
      <c r="B68" s="778"/>
      <c r="C68" s="421" t="s">
        <v>501</v>
      </c>
      <c r="D68" s="615"/>
      <c r="E68" s="737"/>
      <c r="F68" s="737"/>
      <c r="G68" s="737"/>
      <c r="H68" s="783" t="s">
        <v>49</v>
      </c>
      <c r="I68" s="236">
        <f ca="1">SUM(J68:AG68)</f>
        <v>-131321.15520914382</v>
      </c>
      <c r="J68" s="423">
        <f t="shared" ref="J68:AG68" ca="1" si="21">MIN(0,-MIN(J66,J63))</f>
        <v>0</v>
      </c>
      <c r="K68" s="423">
        <f t="shared" ca="1" si="21"/>
        <v>0</v>
      </c>
      <c r="L68" s="423">
        <f t="shared" ca="1" si="21"/>
        <v>0</v>
      </c>
      <c r="M68" s="423">
        <f t="shared" ca="1" si="21"/>
        <v>0</v>
      </c>
      <c r="N68" s="423">
        <f t="shared" ca="1" si="21"/>
        <v>0</v>
      </c>
      <c r="O68" s="423">
        <f t="shared" ca="1" si="21"/>
        <v>0</v>
      </c>
      <c r="P68" s="423">
        <f t="shared" ca="1" si="21"/>
        <v>0</v>
      </c>
      <c r="Q68" s="423">
        <f t="shared" ca="1" si="21"/>
        <v>0</v>
      </c>
      <c r="R68" s="423">
        <f t="shared" ca="1" si="21"/>
        <v>0</v>
      </c>
      <c r="S68" s="423">
        <f t="shared" ca="1" si="21"/>
        <v>-45155.543174629362</v>
      </c>
      <c r="T68" s="423">
        <f t="shared" ca="1" si="21"/>
        <v>0</v>
      </c>
      <c r="U68" s="423">
        <f t="shared" ca="1" si="21"/>
        <v>0</v>
      </c>
      <c r="V68" s="423">
        <f t="shared" ca="1" si="21"/>
        <v>0</v>
      </c>
      <c r="W68" s="423">
        <f t="shared" ca="1" si="21"/>
        <v>0</v>
      </c>
      <c r="X68" s="423">
        <f t="shared" ca="1" si="21"/>
        <v>0</v>
      </c>
      <c r="Y68" s="423">
        <f t="shared" ca="1" si="21"/>
        <v>-60479.340360609247</v>
      </c>
      <c r="Z68" s="423">
        <f t="shared" ca="1" si="21"/>
        <v>0</v>
      </c>
      <c r="AA68" s="423">
        <f t="shared" ca="1" si="21"/>
        <v>0</v>
      </c>
      <c r="AB68" s="423">
        <f t="shared" ca="1" si="21"/>
        <v>-16477.085287929542</v>
      </c>
      <c r="AC68" s="423">
        <f t="shared" ca="1" si="21"/>
        <v>0</v>
      </c>
      <c r="AD68" s="423">
        <f t="shared" ca="1" si="21"/>
        <v>0</v>
      </c>
      <c r="AE68" s="423">
        <f t="shared" ca="1" si="21"/>
        <v>-9209.1863859756559</v>
      </c>
      <c r="AF68" s="423">
        <f t="shared" ca="1" si="21"/>
        <v>0</v>
      </c>
      <c r="AG68" s="423">
        <f t="shared" ca="1" si="21"/>
        <v>0</v>
      </c>
    </row>
    <row r="69" spans="1:33" ht="15.75" customHeight="1" outlineLevel="2" thickBot="1">
      <c r="A69" s="786"/>
      <c r="B69" s="778"/>
      <c r="C69" s="421" t="s">
        <v>141</v>
      </c>
      <c r="D69" s="615"/>
      <c r="E69" s="737"/>
      <c r="F69" s="737"/>
      <c r="G69" s="737"/>
      <c r="H69" s="496">
        <f ca="1">MAX(0,MAX(J69:AG69)-I69)</f>
        <v>60479.340360609247</v>
      </c>
      <c r="I69" s="424">
        <f>Inputs!F272</f>
        <v>0</v>
      </c>
      <c r="J69" s="509">
        <f t="shared" ref="J69:AG69" ca="1" si="22">SUM(J66:J68)</f>
        <v>0</v>
      </c>
      <c r="K69" s="509">
        <f t="shared" ca="1" si="22"/>
        <v>0</v>
      </c>
      <c r="L69" s="509">
        <f t="shared" ca="1" si="22"/>
        <v>0</v>
      </c>
      <c r="M69" s="509">
        <f t="shared" ca="1" si="22"/>
        <v>0</v>
      </c>
      <c r="N69" s="509">
        <f t="shared" ca="1" si="22"/>
        <v>0</v>
      </c>
      <c r="O69" s="509">
        <f t="shared" ca="1" si="22"/>
        <v>0</v>
      </c>
      <c r="P69" s="509">
        <f t="shared" ca="1" si="22"/>
        <v>0</v>
      </c>
      <c r="Q69" s="509">
        <f t="shared" ca="1" si="22"/>
        <v>0</v>
      </c>
      <c r="R69" s="509">
        <f t="shared" ca="1" si="22"/>
        <v>45155.543174629362</v>
      </c>
      <c r="S69" s="509">
        <f t="shared" ca="1" si="22"/>
        <v>0</v>
      </c>
      <c r="T69" s="509">
        <f t="shared" ca="1" si="22"/>
        <v>0</v>
      </c>
      <c r="U69" s="509">
        <f t="shared" ca="1" si="22"/>
        <v>0</v>
      </c>
      <c r="V69" s="509">
        <f t="shared" ca="1" si="22"/>
        <v>0</v>
      </c>
      <c r="W69" s="509">
        <f t="shared" ca="1" si="22"/>
        <v>0</v>
      </c>
      <c r="X69" s="509">
        <f t="shared" ca="1" si="22"/>
        <v>60479.340360609247</v>
      </c>
      <c r="Y69" s="509">
        <f t="shared" ca="1" si="22"/>
        <v>0</v>
      </c>
      <c r="Z69" s="509">
        <f t="shared" ca="1" si="22"/>
        <v>0</v>
      </c>
      <c r="AA69" s="509">
        <f t="shared" ca="1" si="22"/>
        <v>16477.085287929542</v>
      </c>
      <c r="AB69" s="509">
        <f t="shared" ca="1" si="22"/>
        <v>0</v>
      </c>
      <c r="AC69" s="509">
        <f t="shared" ca="1" si="22"/>
        <v>0</v>
      </c>
      <c r="AD69" s="509">
        <f t="shared" ca="1" si="22"/>
        <v>9209.1863859756559</v>
      </c>
      <c r="AE69" s="509">
        <f t="shared" ca="1" si="22"/>
        <v>0</v>
      </c>
      <c r="AF69" s="509">
        <f t="shared" ca="1" si="22"/>
        <v>0</v>
      </c>
      <c r="AG69" s="509">
        <f t="shared" ca="1" si="22"/>
        <v>0</v>
      </c>
    </row>
    <row r="70" spans="1:33" ht="15.75" customHeight="1" outlineLevel="2" thickTop="1">
      <c r="A70" s="786"/>
      <c r="B70" s="735"/>
      <c r="C70" s="181" t="s">
        <v>500</v>
      </c>
      <c r="D70" s="615"/>
      <c r="E70" s="433">
        <f>Inputs!F191</f>
        <v>100000</v>
      </c>
      <c r="F70" s="452"/>
      <c r="G70" s="784"/>
      <c r="H70" s="737"/>
      <c r="I70" s="737"/>
      <c r="J70" s="423">
        <f t="shared" ref="J70:AG70" si="23">($E70-J66)*J6</f>
        <v>100000</v>
      </c>
      <c r="K70" s="423">
        <f t="shared" ca="1" si="23"/>
        <v>100000</v>
      </c>
      <c r="L70" s="423">
        <f t="shared" ca="1" si="23"/>
        <v>100000</v>
      </c>
      <c r="M70" s="423">
        <f t="shared" ca="1" si="23"/>
        <v>100000</v>
      </c>
      <c r="N70" s="423">
        <f t="shared" ca="1" si="23"/>
        <v>100000</v>
      </c>
      <c r="O70" s="423">
        <f t="shared" ca="1" si="23"/>
        <v>100000</v>
      </c>
      <c r="P70" s="423">
        <f t="shared" ca="1" si="23"/>
        <v>100000</v>
      </c>
      <c r="Q70" s="423">
        <f t="shared" ca="1" si="23"/>
        <v>100000</v>
      </c>
      <c r="R70" s="423">
        <f t="shared" ca="1" si="23"/>
        <v>100000</v>
      </c>
      <c r="S70" s="423">
        <f t="shared" ca="1" si="23"/>
        <v>54844.456825370638</v>
      </c>
      <c r="T70" s="423">
        <f t="shared" ca="1" si="23"/>
        <v>100000</v>
      </c>
      <c r="U70" s="423">
        <f t="shared" ca="1" si="23"/>
        <v>100000</v>
      </c>
      <c r="V70" s="423">
        <f t="shared" ca="1" si="23"/>
        <v>100000</v>
      </c>
      <c r="W70" s="423">
        <f t="shared" ca="1" si="23"/>
        <v>100000</v>
      </c>
      <c r="X70" s="423">
        <f t="shared" ca="1" si="23"/>
        <v>100000</v>
      </c>
      <c r="Y70" s="423">
        <f t="shared" ca="1" si="23"/>
        <v>39520.659639390753</v>
      </c>
      <c r="Z70" s="423">
        <f t="shared" ca="1" si="23"/>
        <v>100000</v>
      </c>
      <c r="AA70" s="423">
        <f t="shared" ca="1" si="23"/>
        <v>100000</v>
      </c>
      <c r="AB70" s="423">
        <f t="shared" ca="1" si="23"/>
        <v>83522.914712070458</v>
      </c>
      <c r="AC70" s="423">
        <f t="shared" ca="1" si="23"/>
        <v>100000</v>
      </c>
      <c r="AD70" s="423">
        <f t="shared" ca="1" si="23"/>
        <v>100000</v>
      </c>
      <c r="AE70" s="423">
        <f t="shared" ca="1" si="23"/>
        <v>90790.813614024344</v>
      </c>
      <c r="AF70" s="423">
        <f t="shared" ca="1" si="23"/>
        <v>0</v>
      </c>
      <c r="AG70" s="423">
        <f t="shared" ca="1" si="23"/>
        <v>0</v>
      </c>
    </row>
    <row r="71" spans="1:33" ht="15.75" customHeight="1" outlineLevel="2">
      <c r="A71" s="786"/>
      <c r="B71" s="735"/>
      <c r="C71" s="737" t="s">
        <v>932</v>
      </c>
      <c r="D71" s="615"/>
      <c r="E71" s="514">
        <f>Inputs!H193</f>
        <v>0.01</v>
      </c>
      <c r="F71" s="422" t="s">
        <v>505</v>
      </c>
      <c r="G71" s="784"/>
      <c r="H71" s="737"/>
      <c r="I71" s="236">
        <f ca="1">SUM(J71:AG71)</f>
        <v>1313.2115520914383</v>
      </c>
      <c r="J71" s="423">
        <f t="shared" ref="J71" si="24">$E71*J66</f>
        <v>0</v>
      </c>
      <c r="K71" s="423">
        <f t="shared" ref="K71:AG71" ca="1" si="25">$E71*K66</f>
        <v>0</v>
      </c>
      <c r="L71" s="423">
        <f t="shared" ca="1" si="25"/>
        <v>0</v>
      </c>
      <c r="M71" s="423">
        <f t="shared" ca="1" si="25"/>
        <v>0</v>
      </c>
      <c r="N71" s="423">
        <f t="shared" ca="1" si="25"/>
        <v>0</v>
      </c>
      <c r="O71" s="423">
        <f t="shared" ca="1" si="25"/>
        <v>0</v>
      </c>
      <c r="P71" s="423">
        <f t="shared" ca="1" si="25"/>
        <v>0</v>
      </c>
      <c r="Q71" s="423">
        <f t="shared" ca="1" si="25"/>
        <v>0</v>
      </c>
      <c r="R71" s="423">
        <f t="shared" ca="1" si="25"/>
        <v>0</v>
      </c>
      <c r="S71" s="423">
        <f t="shared" ca="1" si="25"/>
        <v>451.55543174629361</v>
      </c>
      <c r="T71" s="423">
        <f t="shared" ca="1" si="25"/>
        <v>0</v>
      </c>
      <c r="U71" s="423">
        <f t="shared" ca="1" si="25"/>
        <v>0</v>
      </c>
      <c r="V71" s="423">
        <f t="shared" ca="1" si="25"/>
        <v>0</v>
      </c>
      <c r="W71" s="423">
        <f t="shared" ca="1" si="25"/>
        <v>0</v>
      </c>
      <c r="X71" s="423">
        <f t="shared" ca="1" si="25"/>
        <v>0</v>
      </c>
      <c r="Y71" s="423">
        <f t="shared" ca="1" si="25"/>
        <v>604.79340360609251</v>
      </c>
      <c r="Z71" s="423">
        <f t="shared" ca="1" si="25"/>
        <v>0</v>
      </c>
      <c r="AA71" s="423">
        <f t="shared" ca="1" si="25"/>
        <v>0</v>
      </c>
      <c r="AB71" s="423">
        <f t="shared" ca="1" si="25"/>
        <v>164.77085287929543</v>
      </c>
      <c r="AC71" s="423">
        <f t="shared" ca="1" si="25"/>
        <v>0</v>
      </c>
      <c r="AD71" s="423">
        <f t="shared" ca="1" si="25"/>
        <v>0</v>
      </c>
      <c r="AE71" s="423">
        <f t="shared" ca="1" si="25"/>
        <v>92.091863859756558</v>
      </c>
      <c r="AF71" s="423">
        <f t="shared" ca="1" si="25"/>
        <v>0</v>
      </c>
      <c r="AG71" s="423">
        <f t="shared" ca="1" si="25"/>
        <v>0</v>
      </c>
    </row>
    <row r="72" spans="1:33" ht="15.75" customHeight="1" outlineLevel="2">
      <c r="A72" s="786"/>
      <c r="B72" s="735"/>
      <c r="C72" s="420"/>
      <c r="D72" s="440"/>
      <c r="E72" s="516"/>
      <c r="F72" s="516"/>
      <c r="G72" s="518"/>
      <c r="H72" s="735"/>
      <c r="I72" s="735"/>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row>
    <row r="73" spans="1:33" ht="21" customHeight="1" outlineLevel="1">
      <c r="A73" s="786"/>
      <c r="B73" s="735"/>
      <c r="C73" s="409" t="s">
        <v>506</v>
      </c>
      <c r="D73" s="735"/>
      <c r="E73" s="735"/>
      <c r="F73" s="735"/>
      <c r="G73" s="735"/>
      <c r="H73" s="735"/>
      <c r="I73" s="735"/>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row>
    <row r="74" spans="1:33" ht="15.75" customHeight="1" outlineLevel="2">
      <c r="A74" s="786"/>
      <c r="B74" s="735"/>
      <c r="C74" s="777" t="s">
        <v>507</v>
      </c>
      <c r="D74" s="386"/>
      <c r="E74" s="386"/>
      <c r="F74" s="386"/>
      <c r="G74" s="386"/>
      <c r="H74" s="386"/>
      <c r="I74" s="124"/>
      <c r="J74" s="387">
        <f t="shared" ref="J74" ca="1" si="26">J63+J67+J68</f>
        <v>0</v>
      </c>
      <c r="K74" s="387">
        <f t="shared" ref="K74:AG74" ca="1" si="27">K63+K67+K68</f>
        <v>0</v>
      </c>
      <c r="L74" s="387">
        <f t="shared" ca="1" si="27"/>
        <v>90215.963047619065</v>
      </c>
      <c r="M74" s="387">
        <f t="shared" ca="1" si="27"/>
        <v>108534.97663060421</v>
      </c>
      <c r="N74" s="387">
        <f t="shared" ca="1" si="27"/>
        <v>70315.142424060148</v>
      </c>
      <c r="O74" s="387">
        <f t="shared" ca="1" si="27"/>
        <v>29674.744607373374</v>
      </c>
      <c r="P74" s="387">
        <f t="shared" ca="1" si="27"/>
        <v>77712.45817001976</v>
      </c>
      <c r="Q74" s="387">
        <f t="shared" ca="1" si="27"/>
        <v>15584.772415908606</v>
      </c>
      <c r="R74" s="387">
        <f t="shared" ca="1" si="27"/>
        <v>0</v>
      </c>
      <c r="S74" s="387">
        <f t="shared" ca="1" si="27"/>
        <v>147315.40580219906</v>
      </c>
      <c r="T74" s="387">
        <f t="shared" ca="1" si="27"/>
        <v>79617.295437227905</v>
      </c>
      <c r="U74" s="387">
        <f t="shared" ca="1" si="27"/>
        <v>9922.5986983770708</v>
      </c>
      <c r="V74" s="387">
        <f t="shared" ca="1" si="27"/>
        <v>124181.36779836372</v>
      </c>
      <c r="W74" s="387">
        <f t="shared" ca="1" si="27"/>
        <v>22759.706849706141</v>
      </c>
      <c r="X74" s="387">
        <f t="shared" ca="1" si="27"/>
        <v>0</v>
      </c>
      <c r="Y74" s="387">
        <f t="shared" ca="1" si="27"/>
        <v>145041.36158060975</v>
      </c>
      <c r="Z74" s="387">
        <f t="shared" ca="1" si="27"/>
        <v>24419.86395316702</v>
      </c>
      <c r="AA74" s="387">
        <f t="shared" ca="1" si="27"/>
        <v>0</v>
      </c>
      <c r="AB74" s="387">
        <f t="shared" ca="1" si="27"/>
        <v>250005.55826863312</v>
      </c>
      <c r="AC74" s="387">
        <f t="shared" ca="1" si="27"/>
        <v>95843.580935448437</v>
      </c>
      <c r="AD74" s="387">
        <f t="shared" ca="1" si="27"/>
        <v>0</v>
      </c>
      <c r="AE74" s="387">
        <f t="shared" ca="1" si="27"/>
        <v>307345.19996652624</v>
      </c>
      <c r="AF74" s="387">
        <f t="shared" ca="1" si="27"/>
        <v>0</v>
      </c>
      <c r="AG74" s="387">
        <f t="shared" ca="1" si="27"/>
        <v>0</v>
      </c>
    </row>
    <row r="75" spans="1:33" s="799" customFormat="1" ht="15.75" customHeight="1" outlineLevel="2">
      <c r="A75" s="786"/>
      <c r="B75" s="282"/>
      <c r="C75" s="737" t="s">
        <v>606</v>
      </c>
      <c r="D75" s="737"/>
      <c r="E75" s="737"/>
      <c r="F75" s="737"/>
      <c r="G75" s="737"/>
      <c r="H75" s="737"/>
      <c r="I75" s="236">
        <f>SUMPRODUCT((J$6:AG$6),(J75:AG75))</f>
        <v>0</v>
      </c>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row>
    <row r="76" spans="1:33" s="799" customFormat="1" ht="15.75" customHeight="1" outlineLevel="2">
      <c r="A76" s="786"/>
      <c r="B76" s="282"/>
      <c r="C76" s="133" t="s">
        <v>549</v>
      </c>
      <c r="D76" s="132"/>
      <c r="E76" s="132"/>
      <c r="F76" s="132"/>
      <c r="G76" s="132"/>
      <c r="H76" s="132"/>
      <c r="I76" s="803">
        <f>Inputs!F269</f>
        <v>0</v>
      </c>
      <c r="J76" s="142">
        <f t="shared" ref="J76:AG76" ca="1" si="28">(J74+J75)*J6</f>
        <v>0</v>
      </c>
      <c r="K76" s="142">
        <f t="shared" ca="1" si="28"/>
        <v>0</v>
      </c>
      <c r="L76" s="142">
        <f t="shared" ca="1" si="28"/>
        <v>90215.963047619065</v>
      </c>
      <c r="M76" s="142">
        <f t="shared" ca="1" si="28"/>
        <v>108534.97663060421</v>
      </c>
      <c r="N76" s="142">
        <f t="shared" ca="1" si="28"/>
        <v>70315.142424060148</v>
      </c>
      <c r="O76" s="142">
        <f t="shared" ca="1" si="28"/>
        <v>29674.744607373374</v>
      </c>
      <c r="P76" s="142">
        <f t="shared" ca="1" si="28"/>
        <v>77712.45817001976</v>
      </c>
      <c r="Q76" s="142">
        <f t="shared" ca="1" si="28"/>
        <v>15584.772415908606</v>
      </c>
      <c r="R76" s="142">
        <f t="shared" ca="1" si="28"/>
        <v>0</v>
      </c>
      <c r="S76" s="142">
        <f t="shared" ca="1" si="28"/>
        <v>147315.40580219906</v>
      </c>
      <c r="T76" s="142">
        <f t="shared" ca="1" si="28"/>
        <v>79617.295437227905</v>
      </c>
      <c r="U76" s="142">
        <f t="shared" ca="1" si="28"/>
        <v>9922.5986983770708</v>
      </c>
      <c r="V76" s="142">
        <f t="shared" ca="1" si="28"/>
        <v>124181.36779836372</v>
      </c>
      <c r="W76" s="142">
        <f t="shared" ca="1" si="28"/>
        <v>22759.706849706141</v>
      </c>
      <c r="X76" s="142">
        <f t="shared" ca="1" si="28"/>
        <v>0</v>
      </c>
      <c r="Y76" s="142">
        <f t="shared" ca="1" si="28"/>
        <v>145041.36158060975</v>
      </c>
      <c r="Z76" s="142">
        <f t="shared" ca="1" si="28"/>
        <v>24419.86395316702</v>
      </c>
      <c r="AA76" s="142">
        <f t="shared" ca="1" si="28"/>
        <v>0</v>
      </c>
      <c r="AB76" s="142">
        <f t="shared" ca="1" si="28"/>
        <v>250005.55826863312</v>
      </c>
      <c r="AC76" s="142">
        <f t="shared" ca="1" si="28"/>
        <v>95843.580935448437</v>
      </c>
      <c r="AD76" s="142">
        <f t="shared" ca="1" si="28"/>
        <v>0</v>
      </c>
      <c r="AE76" s="142">
        <f t="shared" ca="1" si="28"/>
        <v>307345.19996652624</v>
      </c>
      <c r="AF76" s="142">
        <f t="shared" ca="1" si="28"/>
        <v>0</v>
      </c>
      <c r="AG76" s="142">
        <f t="shared" ca="1" si="28"/>
        <v>0</v>
      </c>
    </row>
    <row r="77" spans="1:33" ht="15.75" customHeight="1" outlineLevel="2">
      <c r="A77" s="786"/>
      <c r="B77" s="735"/>
      <c r="C77" s="421" t="s">
        <v>509</v>
      </c>
      <c r="D77" s="737"/>
      <c r="E77" s="737"/>
      <c r="F77" s="737"/>
      <c r="G77" s="737"/>
      <c r="H77" s="785" t="str">
        <f ca="1">IF(I77&lt;&gt;0,"Insufficient Funding !   ","")</f>
        <v/>
      </c>
      <c r="I77" s="668">
        <f ca="1">SUM(J77:AG77)</f>
        <v>0</v>
      </c>
      <c r="J77" s="507">
        <f ca="1">IF(J76&lt;0,1,0)</f>
        <v>0</v>
      </c>
      <c r="K77" s="507">
        <f t="shared" ref="K77:AG77" ca="1" si="29">IF(K76&lt;0,1,0)</f>
        <v>0</v>
      </c>
      <c r="L77" s="507">
        <f t="shared" ca="1" si="29"/>
        <v>0</v>
      </c>
      <c r="M77" s="507">
        <f t="shared" ca="1" si="29"/>
        <v>0</v>
      </c>
      <c r="N77" s="507">
        <f t="shared" ca="1" si="29"/>
        <v>0</v>
      </c>
      <c r="O77" s="507">
        <f t="shared" ca="1" si="29"/>
        <v>0</v>
      </c>
      <c r="P77" s="507">
        <f t="shared" ca="1" si="29"/>
        <v>0</v>
      </c>
      <c r="Q77" s="507">
        <f t="shared" ca="1" si="29"/>
        <v>0</v>
      </c>
      <c r="R77" s="507">
        <f t="shared" ca="1" si="29"/>
        <v>0</v>
      </c>
      <c r="S77" s="507">
        <f t="shared" ca="1" si="29"/>
        <v>0</v>
      </c>
      <c r="T77" s="507">
        <f t="shared" ca="1" si="29"/>
        <v>0</v>
      </c>
      <c r="U77" s="507">
        <f t="shared" ca="1" si="29"/>
        <v>0</v>
      </c>
      <c r="V77" s="507">
        <f t="shared" ca="1" si="29"/>
        <v>0</v>
      </c>
      <c r="W77" s="507">
        <f t="shared" ca="1" si="29"/>
        <v>0</v>
      </c>
      <c r="X77" s="507">
        <f t="shared" ca="1" si="29"/>
        <v>0</v>
      </c>
      <c r="Y77" s="507">
        <f t="shared" ca="1" si="29"/>
        <v>0</v>
      </c>
      <c r="Z77" s="507">
        <f t="shared" ca="1" si="29"/>
        <v>0</v>
      </c>
      <c r="AA77" s="507">
        <f t="shared" ca="1" si="29"/>
        <v>0</v>
      </c>
      <c r="AB77" s="507">
        <f t="shared" ca="1" si="29"/>
        <v>0</v>
      </c>
      <c r="AC77" s="507">
        <f t="shared" ca="1" si="29"/>
        <v>0</v>
      </c>
      <c r="AD77" s="507">
        <f t="shared" ca="1" si="29"/>
        <v>0</v>
      </c>
      <c r="AE77" s="507">
        <f t="shared" ca="1" si="29"/>
        <v>0</v>
      </c>
      <c r="AF77" s="507">
        <f t="shared" ca="1" si="29"/>
        <v>0</v>
      </c>
      <c r="AG77" s="507">
        <f t="shared" ca="1" si="29"/>
        <v>0</v>
      </c>
    </row>
    <row r="78" spans="1:33" s="199" customFormat="1" ht="15.75" customHeight="1" outlineLevel="2">
      <c r="A78" s="786"/>
      <c r="B78" s="786"/>
      <c r="C78" s="737" t="s">
        <v>930</v>
      </c>
      <c r="D78" s="737"/>
      <c r="E78" s="737"/>
      <c r="F78" s="737"/>
      <c r="G78" s="737"/>
      <c r="H78" s="785" t="str">
        <f ca="1">IF(I78&lt;&gt;0,"Attention: Debt repayments (partly) financed by overdraft  ","")</f>
        <v xml:space="preserve">Attention: Debt repayments (partly) financed by overdraft  </v>
      </c>
      <c r="I78" s="1057">
        <f ca="1">SUM(J78:AG78)</f>
        <v>3</v>
      </c>
      <c r="J78" s="804">
        <f t="shared" ref="J78:AG78" ca="1" si="30">IF(AND(J67&gt;0,-(J50+J55+J60)&gt;0,-(J50+J55+J60)&gt;J36),1,0)*J6</f>
        <v>0</v>
      </c>
      <c r="K78" s="804">
        <f t="shared" ca="1" si="30"/>
        <v>0</v>
      </c>
      <c r="L78" s="804">
        <f t="shared" ca="1" si="30"/>
        <v>0</v>
      </c>
      <c r="M78" s="804">
        <f t="shared" ca="1" si="30"/>
        <v>0</v>
      </c>
      <c r="N78" s="804">
        <f t="shared" ca="1" si="30"/>
        <v>0</v>
      </c>
      <c r="O78" s="804">
        <f t="shared" ca="1" si="30"/>
        <v>0</v>
      </c>
      <c r="P78" s="804">
        <f t="shared" ca="1" si="30"/>
        <v>0</v>
      </c>
      <c r="Q78" s="804">
        <f t="shared" ca="1" si="30"/>
        <v>0</v>
      </c>
      <c r="R78" s="804">
        <f t="shared" ca="1" si="30"/>
        <v>0</v>
      </c>
      <c r="S78" s="804">
        <f t="shared" ca="1" si="30"/>
        <v>0</v>
      </c>
      <c r="T78" s="804">
        <f t="shared" ca="1" si="30"/>
        <v>0</v>
      </c>
      <c r="U78" s="804">
        <f t="shared" ca="1" si="30"/>
        <v>0</v>
      </c>
      <c r="V78" s="804">
        <f t="shared" ca="1" si="30"/>
        <v>0</v>
      </c>
      <c r="W78" s="804">
        <f t="shared" ca="1" si="30"/>
        <v>0</v>
      </c>
      <c r="X78" s="804">
        <f t="shared" ca="1" si="30"/>
        <v>1</v>
      </c>
      <c r="Y78" s="804">
        <f t="shared" ca="1" si="30"/>
        <v>0</v>
      </c>
      <c r="Z78" s="804">
        <f t="shared" ca="1" si="30"/>
        <v>0</v>
      </c>
      <c r="AA78" s="804">
        <f t="shared" ca="1" si="30"/>
        <v>1</v>
      </c>
      <c r="AB78" s="804">
        <f t="shared" ca="1" si="30"/>
        <v>0</v>
      </c>
      <c r="AC78" s="804">
        <f t="shared" ca="1" si="30"/>
        <v>0</v>
      </c>
      <c r="AD78" s="804">
        <f t="shared" ca="1" si="30"/>
        <v>1</v>
      </c>
      <c r="AE78" s="804">
        <f t="shared" ca="1" si="30"/>
        <v>0</v>
      </c>
      <c r="AF78" s="804">
        <f t="shared" ca="1" si="30"/>
        <v>0</v>
      </c>
      <c r="AG78" s="804">
        <f t="shared" ca="1" si="30"/>
        <v>0</v>
      </c>
    </row>
    <row r="79" spans="1:33" ht="15.75" customHeight="1">
      <c r="A79" s="861"/>
      <c r="B79" s="235"/>
      <c r="C79" s="235"/>
      <c r="D79" s="235"/>
      <c r="E79" s="235"/>
      <c r="F79" s="235"/>
      <c r="G79" s="235"/>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row>
    <row r="80" spans="1:33" ht="20.25" customHeight="1" thickBot="1">
      <c r="A80" s="325"/>
      <c r="B80" s="787"/>
      <c r="C80" s="787" t="s">
        <v>510</v>
      </c>
      <c r="D80" s="788" t="str">
        <f>"(all figures in " &amp;Currency_Label &amp;")"</f>
        <v>(all figures in USD)</v>
      </c>
      <c r="E80" s="787"/>
      <c r="F80" s="787"/>
      <c r="G80" s="787"/>
      <c r="H80" s="787"/>
      <c r="I80" s="787"/>
      <c r="J80" s="787"/>
      <c r="K80" s="787"/>
      <c r="L80" s="787"/>
      <c r="M80" s="787"/>
      <c r="N80" s="787"/>
      <c r="O80" s="787"/>
      <c r="P80" s="787"/>
      <c r="Q80" s="787"/>
      <c r="R80" s="787"/>
      <c r="S80" s="787"/>
      <c r="T80" s="787"/>
      <c r="U80" s="787"/>
      <c r="V80" s="787"/>
      <c r="W80" s="787"/>
      <c r="X80" s="787"/>
      <c r="Y80" s="787"/>
      <c r="Z80" s="787"/>
      <c r="AA80" s="787"/>
      <c r="AB80" s="787"/>
      <c r="AC80" s="787"/>
      <c r="AD80" s="787"/>
      <c r="AE80" s="787"/>
      <c r="AF80" s="787"/>
      <c r="AG80" s="787"/>
    </row>
    <row r="81" spans="1:33" ht="22.5" customHeight="1" outlineLevel="1">
      <c r="A81" s="861"/>
      <c r="B81" s="409" t="s">
        <v>33</v>
      </c>
      <c r="C81" s="409" t="s">
        <v>591</v>
      </c>
      <c r="D81" s="512"/>
      <c r="E81" s="735"/>
      <c r="F81" s="735"/>
      <c r="G81" s="735"/>
      <c r="H81" s="735"/>
      <c r="I81" s="735"/>
      <c r="J81" s="735"/>
      <c r="K81" s="735"/>
      <c r="L81" s="735"/>
      <c r="M81" s="735"/>
      <c r="N81" s="735"/>
      <c r="O81" s="735"/>
      <c r="P81" s="735"/>
      <c r="Q81" s="735"/>
      <c r="R81" s="735"/>
      <c r="S81" s="735"/>
      <c r="T81" s="735"/>
      <c r="U81" s="735"/>
      <c r="V81" s="735"/>
      <c r="W81" s="735"/>
      <c r="X81" s="735"/>
      <c r="Y81" s="735"/>
      <c r="Z81" s="735"/>
      <c r="AA81" s="735"/>
      <c r="AB81" s="735"/>
      <c r="AC81" s="735"/>
      <c r="AD81" s="735"/>
      <c r="AE81" s="735"/>
      <c r="AF81" s="735"/>
      <c r="AG81" s="735"/>
    </row>
    <row r="82" spans="1:33" ht="15.75" customHeight="1" outlineLevel="2">
      <c r="A82" s="861"/>
      <c r="B82" s="735"/>
      <c r="C82" s="421" t="s">
        <v>140</v>
      </c>
      <c r="D82" s="615"/>
      <c r="E82" s="737"/>
      <c r="F82" s="737"/>
      <c r="G82" s="737"/>
      <c r="H82" s="737"/>
      <c r="I82" s="737"/>
      <c r="J82" s="746">
        <f>I84*J$6</f>
        <v>20000</v>
      </c>
      <c r="K82" s="746">
        <f t="shared" ref="K82:AG82" ca="1" si="31">J84*K$6</f>
        <v>49864.397428571428</v>
      </c>
      <c r="L82" s="746">
        <f t="shared" ca="1" si="31"/>
        <v>72478.44769073221</v>
      </c>
      <c r="M82" s="746">
        <f t="shared" ca="1" si="31"/>
        <v>250000</v>
      </c>
      <c r="N82" s="746">
        <f t="shared" ca="1" si="31"/>
        <v>250000</v>
      </c>
      <c r="O82" s="746">
        <f t="shared" ca="1" si="31"/>
        <v>250000</v>
      </c>
      <c r="P82" s="746">
        <f t="shared" ca="1" si="31"/>
        <v>250000</v>
      </c>
      <c r="Q82" s="746">
        <f t="shared" ca="1" si="31"/>
        <v>250000</v>
      </c>
      <c r="R82" s="746">
        <f t="shared" ca="1" si="31"/>
        <v>250000</v>
      </c>
      <c r="S82" s="746">
        <f t="shared" ca="1" si="31"/>
        <v>250000</v>
      </c>
      <c r="T82" s="746">
        <f t="shared" ca="1" si="31"/>
        <v>250000</v>
      </c>
      <c r="U82" s="746">
        <f t="shared" ca="1" si="31"/>
        <v>250000</v>
      </c>
      <c r="V82" s="746">
        <f t="shared" ca="1" si="31"/>
        <v>250000</v>
      </c>
      <c r="W82" s="746">
        <f t="shared" ca="1" si="31"/>
        <v>250000</v>
      </c>
      <c r="X82" s="746">
        <f t="shared" ca="1" si="31"/>
        <v>250000</v>
      </c>
      <c r="Y82" s="746">
        <f t="shared" ca="1" si="31"/>
        <v>250000</v>
      </c>
      <c r="Z82" s="746">
        <f t="shared" ca="1" si="31"/>
        <v>250000</v>
      </c>
      <c r="AA82" s="746">
        <f t="shared" ca="1" si="31"/>
        <v>250000</v>
      </c>
      <c r="AB82" s="746">
        <f t="shared" ca="1" si="31"/>
        <v>250000</v>
      </c>
      <c r="AC82" s="746">
        <f t="shared" ca="1" si="31"/>
        <v>250000</v>
      </c>
      <c r="AD82" s="746">
        <f t="shared" ca="1" si="31"/>
        <v>250000</v>
      </c>
      <c r="AE82" s="746">
        <f t="shared" ca="1" si="31"/>
        <v>250000</v>
      </c>
      <c r="AF82" s="746">
        <f t="shared" ca="1" si="31"/>
        <v>0</v>
      </c>
      <c r="AG82" s="746">
        <f t="shared" ca="1" si="31"/>
        <v>0</v>
      </c>
    </row>
    <row r="83" spans="1:33" ht="15.75" customHeight="1" outlineLevel="2">
      <c r="A83" s="861"/>
      <c r="B83" s="735"/>
      <c r="C83" s="181" t="s">
        <v>511</v>
      </c>
      <c r="D83" s="615"/>
      <c r="E83" s="737"/>
      <c r="F83" s="737"/>
      <c r="G83" s="737"/>
      <c r="H83" s="737"/>
      <c r="I83" s="236">
        <f ca="1">SUM(J83:AG83)</f>
        <v>230000</v>
      </c>
      <c r="J83" s="423">
        <f t="shared" ref="J83:AG83" ca="1" si="32">J42</f>
        <v>29864.397428571428</v>
      </c>
      <c r="K83" s="423">
        <f t="shared" ca="1" si="32"/>
        <v>22614.050262160781</v>
      </c>
      <c r="L83" s="423">
        <f t="shared" ca="1" si="32"/>
        <v>177521.5523092678</v>
      </c>
      <c r="M83" s="423">
        <f t="shared" ca="1" si="32"/>
        <v>0</v>
      </c>
      <c r="N83" s="423">
        <f t="shared" ca="1" si="32"/>
        <v>0</v>
      </c>
      <c r="O83" s="423">
        <f t="shared" ca="1" si="32"/>
        <v>0</v>
      </c>
      <c r="P83" s="423">
        <f t="shared" ca="1" si="32"/>
        <v>0</v>
      </c>
      <c r="Q83" s="423">
        <f t="shared" ca="1" si="32"/>
        <v>0</v>
      </c>
      <c r="R83" s="423">
        <f t="shared" ca="1" si="32"/>
        <v>0</v>
      </c>
      <c r="S83" s="423">
        <f t="shared" ca="1" si="32"/>
        <v>0</v>
      </c>
      <c r="T83" s="423">
        <f t="shared" ca="1" si="32"/>
        <v>0</v>
      </c>
      <c r="U83" s="423">
        <f t="shared" ca="1" si="32"/>
        <v>0</v>
      </c>
      <c r="V83" s="423">
        <f t="shared" ca="1" si="32"/>
        <v>0</v>
      </c>
      <c r="W83" s="423">
        <f t="shared" ca="1" si="32"/>
        <v>0</v>
      </c>
      <c r="X83" s="423">
        <f t="shared" ca="1" si="32"/>
        <v>0</v>
      </c>
      <c r="Y83" s="423">
        <f t="shared" ca="1" si="32"/>
        <v>0</v>
      </c>
      <c r="Z83" s="423">
        <f t="shared" ca="1" si="32"/>
        <v>0</v>
      </c>
      <c r="AA83" s="423">
        <f t="shared" ca="1" si="32"/>
        <v>0</v>
      </c>
      <c r="AB83" s="423">
        <f t="shared" ca="1" si="32"/>
        <v>0</v>
      </c>
      <c r="AC83" s="423">
        <f t="shared" ca="1" si="32"/>
        <v>0</v>
      </c>
      <c r="AD83" s="423">
        <f t="shared" ca="1" si="32"/>
        <v>0</v>
      </c>
      <c r="AE83" s="423">
        <f t="shared" ca="1" si="32"/>
        <v>0</v>
      </c>
      <c r="AF83" s="423">
        <f t="shared" ca="1" si="32"/>
        <v>0</v>
      </c>
      <c r="AG83" s="423">
        <f t="shared" ca="1" si="32"/>
        <v>0</v>
      </c>
    </row>
    <row r="84" spans="1:33" ht="15.75" customHeight="1" outlineLevel="2" thickBot="1">
      <c r="A84" s="861"/>
      <c r="B84" s="735"/>
      <c r="C84" s="421" t="s">
        <v>141</v>
      </c>
      <c r="D84" s="615"/>
      <c r="E84" s="737"/>
      <c r="F84" s="737"/>
      <c r="G84" s="737"/>
      <c r="H84" s="737"/>
      <c r="I84" s="424">
        <f>Inputs!$F$283</f>
        <v>20000</v>
      </c>
      <c r="J84" s="672">
        <f t="shared" ref="J84:AG84" ca="1" si="33">SUM(J82:J83)</f>
        <v>49864.397428571428</v>
      </c>
      <c r="K84" s="672">
        <f t="shared" ca="1" si="33"/>
        <v>72478.44769073221</v>
      </c>
      <c r="L84" s="672">
        <f t="shared" ca="1" si="33"/>
        <v>250000</v>
      </c>
      <c r="M84" s="672">
        <f t="shared" ca="1" si="33"/>
        <v>250000</v>
      </c>
      <c r="N84" s="672">
        <f t="shared" ca="1" si="33"/>
        <v>250000</v>
      </c>
      <c r="O84" s="672">
        <f t="shared" ca="1" si="33"/>
        <v>250000</v>
      </c>
      <c r="P84" s="672">
        <f t="shared" ca="1" si="33"/>
        <v>250000</v>
      </c>
      <c r="Q84" s="672">
        <f t="shared" ca="1" si="33"/>
        <v>250000</v>
      </c>
      <c r="R84" s="672">
        <f t="shared" ca="1" si="33"/>
        <v>250000</v>
      </c>
      <c r="S84" s="672">
        <f t="shared" ca="1" si="33"/>
        <v>250000</v>
      </c>
      <c r="T84" s="672">
        <f t="shared" ca="1" si="33"/>
        <v>250000</v>
      </c>
      <c r="U84" s="672">
        <f t="shared" ca="1" si="33"/>
        <v>250000</v>
      </c>
      <c r="V84" s="672">
        <f t="shared" ca="1" si="33"/>
        <v>250000</v>
      </c>
      <c r="W84" s="672">
        <f t="shared" ca="1" si="33"/>
        <v>250000</v>
      </c>
      <c r="X84" s="672">
        <f t="shared" ca="1" si="33"/>
        <v>250000</v>
      </c>
      <c r="Y84" s="672">
        <f t="shared" ca="1" si="33"/>
        <v>250000</v>
      </c>
      <c r="Z84" s="672">
        <f t="shared" ca="1" si="33"/>
        <v>250000</v>
      </c>
      <c r="AA84" s="672">
        <f t="shared" ca="1" si="33"/>
        <v>250000</v>
      </c>
      <c r="AB84" s="672">
        <f t="shared" ca="1" si="33"/>
        <v>250000</v>
      </c>
      <c r="AC84" s="672">
        <f t="shared" ca="1" si="33"/>
        <v>250000</v>
      </c>
      <c r="AD84" s="672">
        <f t="shared" ca="1" si="33"/>
        <v>250000</v>
      </c>
      <c r="AE84" s="672">
        <f t="shared" ca="1" si="33"/>
        <v>250000</v>
      </c>
      <c r="AF84" s="672">
        <f t="shared" ca="1" si="33"/>
        <v>0</v>
      </c>
      <c r="AG84" s="672">
        <f t="shared" ca="1" si="33"/>
        <v>0</v>
      </c>
    </row>
    <row r="85" spans="1:33" ht="15.75" customHeight="1" outlineLevel="2" thickTop="1">
      <c r="A85" s="861"/>
      <c r="B85" s="735"/>
      <c r="C85" s="181" t="s">
        <v>500</v>
      </c>
      <c r="D85" s="615"/>
      <c r="E85" s="433">
        <f>Inputs!F151</f>
        <v>130000</v>
      </c>
      <c r="F85" s="737"/>
      <c r="G85" s="737"/>
      <c r="H85" s="737"/>
      <c r="I85" s="737"/>
      <c r="J85" s="423">
        <f>MAX(0,($E85-J82+Inputs!$F$283)*J$6)</f>
        <v>130000</v>
      </c>
      <c r="K85" s="423">
        <f ca="1">MAX(0,($E85-K82+Inputs!$F$283)*K$6)</f>
        <v>100135.60257142858</v>
      </c>
      <c r="L85" s="423">
        <f ca="1">MAX(0,($E85-L82+Inputs!$F$283)*L$6)</f>
        <v>77521.55230926779</v>
      </c>
      <c r="M85" s="423">
        <f ca="1">MAX(0,($E85-M82+Inputs!$F$283)*M$6)</f>
        <v>0</v>
      </c>
      <c r="N85" s="423">
        <f ca="1">MAX(0,($E85-N82+Inputs!$F$283)*N$6)</f>
        <v>0</v>
      </c>
      <c r="O85" s="423">
        <f ca="1">MAX(0,($E85-O82+Inputs!$F$283)*O$6)</f>
        <v>0</v>
      </c>
      <c r="P85" s="423">
        <f ca="1">MAX(0,($E85-P82+Inputs!$F$283)*P$6)</f>
        <v>0</v>
      </c>
      <c r="Q85" s="423">
        <f ca="1">MAX(0,($E85-Q82+Inputs!$F$283)*Q$6)</f>
        <v>0</v>
      </c>
      <c r="R85" s="423">
        <f ca="1">MAX(0,($E85-R82+Inputs!$F$283)*R$6)</f>
        <v>0</v>
      </c>
      <c r="S85" s="423">
        <f ca="1">MAX(0,($E85-S82+Inputs!$F$283)*S$6)</f>
        <v>0</v>
      </c>
      <c r="T85" s="423">
        <f ca="1">MAX(0,($E85-T82+Inputs!$F$283)*T$6)</f>
        <v>0</v>
      </c>
      <c r="U85" s="423">
        <f ca="1">MAX(0,($E85-U82+Inputs!$F$283)*U$6)</f>
        <v>0</v>
      </c>
      <c r="V85" s="423">
        <f ca="1">MAX(0,($E85-V82+Inputs!$F$283)*V$6)</f>
        <v>0</v>
      </c>
      <c r="W85" s="423">
        <f ca="1">MAX(0,($E85-W82+Inputs!$F$283)*W$6)</f>
        <v>0</v>
      </c>
      <c r="X85" s="423">
        <f ca="1">MAX(0,($E85-X82+Inputs!$F$283)*X$6)</f>
        <v>0</v>
      </c>
      <c r="Y85" s="423">
        <f ca="1">MAX(0,($E85-Y82+Inputs!$F$283)*Y$6)</f>
        <v>0</v>
      </c>
      <c r="Z85" s="423">
        <f ca="1">MAX(0,($E85-Z82+Inputs!$F$283)*Z$6)</f>
        <v>0</v>
      </c>
      <c r="AA85" s="423">
        <f ca="1">MAX(0,($E85-AA82+Inputs!$F$283)*AA$6)</f>
        <v>0</v>
      </c>
      <c r="AB85" s="423">
        <f ca="1">MAX(0,($E85-AB82+Inputs!$F$283)*AB$6)</f>
        <v>0</v>
      </c>
      <c r="AC85" s="423">
        <f ca="1">MAX(0,($E85-AC82+Inputs!$F$283)*AC$6)</f>
        <v>0</v>
      </c>
      <c r="AD85" s="423">
        <f ca="1">MAX(0,($E85-AD82+Inputs!$F$283)*AD$6)</f>
        <v>0</v>
      </c>
      <c r="AE85" s="423">
        <f ca="1">MAX(0,($E85-AE82+Inputs!$F$283)*AE$6)</f>
        <v>0</v>
      </c>
      <c r="AF85" s="423">
        <f ca="1">MAX(0,($E85-AF82+Inputs!$F$283)*AF$6)</f>
        <v>0</v>
      </c>
      <c r="AG85" s="423">
        <f ca="1">MAX(0,($E85-AG82+Inputs!$F$283)*AG$6)</f>
        <v>0</v>
      </c>
    </row>
    <row r="86" spans="1:33" ht="15.75" customHeight="1" outlineLevel="2">
      <c r="A86" s="861"/>
      <c r="B86" s="735"/>
      <c r="C86" s="735"/>
      <c r="D86" s="512"/>
      <c r="E86" s="735"/>
      <c r="F86" s="735"/>
      <c r="G86" s="735"/>
      <c r="H86" s="735"/>
      <c r="I86" s="735"/>
      <c r="J86" s="735"/>
      <c r="K86" s="516"/>
      <c r="L86" s="735"/>
      <c r="M86" s="735"/>
      <c r="N86" s="735"/>
      <c r="O86" s="735"/>
      <c r="P86" s="735"/>
      <c r="Q86" s="735"/>
      <c r="R86" s="735"/>
      <c r="S86" s="735"/>
      <c r="T86" s="735"/>
      <c r="U86" s="735"/>
      <c r="V86" s="735"/>
      <c r="W86" s="735"/>
      <c r="X86" s="735"/>
      <c r="Y86" s="735"/>
      <c r="Z86" s="735"/>
      <c r="AA86" s="735"/>
      <c r="AB86" s="735"/>
      <c r="AC86" s="735"/>
      <c r="AD86" s="735"/>
      <c r="AE86" s="735"/>
      <c r="AF86" s="735"/>
      <c r="AG86" s="735"/>
    </row>
    <row r="87" spans="1:33" ht="20.25" customHeight="1" outlineLevel="1">
      <c r="A87" s="861"/>
      <c r="B87" s="409" t="s">
        <v>34</v>
      </c>
      <c r="C87" s="409" t="str">
        <f>"Debt 1: "&amp;Inputs!$F$157</f>
        <v>Debt 1: EasyCredit</v>
      </c>
      <c r="D87" s="708" t="s">
        <v>512</v>
      </c>
      <c r="E87" s="735"/>
      <c r="F87" s="776">
        <f>Inputs!$F$158</f>
        <v>1</v>
      </c>
      <c r="G87" s="735"/>
      <c r="H87" s="735"/>
      <c r="I87" s="735"/>
      <c r="J87" s="735"/>
      <c r="K87" s="735"/>
      <c r="L87" s="735"/>
      <c r="M87" s="735"/>
      <c r="N87" s="735"/>
      <c r="O87" s="735"/>
      <c r="P87" s="735"/>
      <c r="Q87" s="735"/>
      <c r="R87" s="735"/>
      <c r="S87" s="735"/>
      <c r="T87" s="735"/>
      <c r="U87" s="735"/>
      <c r="V87" s="735"/>
      <c r="W87" s="735"/>
      <c r="X87" s="735"/>
      <c r="Y87" s="735"/>
      <c r="Z87" s="735"/>
      <c r="AA87" s="735"/>
      <c r="AB87" s="735"/>
      <c r="AC87" s="735"/>
      <c r="AD87" s="735"/>
      <c r="AE87" s="735"/>
      <c r="AF87" s="735"/>
      <c r="AG87" s="735"/>
    </row>
    <row r="88" spans="1:33" ht="15.75" customHeight="1" outlineLevel="2">
      <c r="A88" s="861"/>
      <c r="B88" s="735"/>
      <c r="C88" s="442" t="str">
        <f>"Flags: "&amp;Inputs!$F$157</f>
        <v>Flags: EasyCredit</v>
      </c>
      <c r="D88" s="512"/>
      <c r="E88" s="735"/>
      <c r="F88" s="735"/>
      <c r="G88" s="735"/>
      <c r="H88" s="735"/>
      <c r="I88" s="735"/>
      <c r="J88" s="735"/>
      <c r="K88" s="735"/>
      <c r="L88" s="735"/>
      <c r="M88" s="735"/>
      <c r="N88" s="735"/>
      <c r="O88" s="735"/>
      <c r="P88" s="735"/>
      <c r="Q88" s="735"/>
      <c r="R88" s="735"/>
      <c r="S88" s="735"/>
      <c r="T88" s="735"/>
      <c r="U88" s="735"/>
      <c r="V88" s="735"/>
      <c r="W88" s="735"/>
      <c r="X88" s="735"/>
      <c r="Y88" s="735"/>
      <c r="Z88" s="735"/>
      <c r="AA88" s="735"/>
      <c r="AB88" s="735"/>
      <c r="AC88" s="735"/>
      <c r="AD88" s="735"/>
      <c r="AE88" s="735"/>
      <c r="AF88" s="735"/>
      <c r="AG88" s="735"/>
    </row>
    <row r="89" spans="1:33" ht="15.75" customHeight="1" outlineLevel="2">
      <c r="A89" s="861"/>
      <c r="B89" s="735"/>
      <c r="C89" s="421" t="s">
        <v>515</v>
      </c>
      <c r="D89" s="422" t="s">
        <v>29</v>
      </c>
      <c r="E89" s="789" t="s">
        <v>513</v>
      </c>
      <c r="F89" s="506">
        <f>Inputs!$F$162</f>
        <v>43312</v>
      </c>
      <c r="G89" s="737"/>
      <c r="H89" s="737"/>
      <c r="I89" s="737"/>
      <c r="J89" s="507">
        <f t="shared" ref="J89:AG89" si="34">IF(J$5&lt;=$F89,1,0)</f>
        <v>1</v>
      </c>
      <c r="K89" s="507">
        <f t="shared" si="34"/>
        <v>1</v>
      </c>
      <c r="L89" s="507">
        <f t="shared" si="34"/>
        <v>1</v>
      </c>
      <c r="M89" s="507">
        <f t="shared" si="34"/>
        <v>1</v>
      </c>
      <c r="N89" s="507">
        <f t="shared" si="34"/>
        <v>1</v>
      </c>
      <c r="O89" s="507">
        <f t="shared" si="34"/>
        <v>1</v>
      </c>
      <c r="P89" s="507">
        <f t="shared" si="34"/>
        <v>0</v>
      </c>
      <c r="Q89" s="507">
        <f t="shared" si="34"/>
        <v>0</v>
      </c>
      <c r="R89" s="507">
        <f t="shared" si="34"/>
        <v>0</v>
      </c>
      <c r="S89" s="507">
        <f t="shared" si="34"/>
        <v>0</v>
      </c>
      <c r="T89" s="507">
        <f t="shared" si="34"/>
        <v>0</v>
      </c>
      <c r="U89" s="507">
        <f t="shared" si="34"/>
        <v>0</v>
      </c>
      <c r="V89" s="507">
        <f t="shared" si="34"/>
        <v>0</v>
      </c>
      <c r="W89" s="507">
        <f t="shared" si="34"/>
        <v>0</v>
      </c>
      <c r="X89" s="507">
        <f t="shared" si="34"/>
        <v>0</v>
      </c>
      <c r="Y89" s="507">
        <f t="shared" si="34"/>
        <v>0</v>
      </c>
      <c r="Z89" s="507">
        <f t="shared" si="34"/>
        <v>0</v>
      </c>
      <c r="AA89" s="507">
        <f t="shared" si="34"/>
        <v>0</v>
      </c>
      <c r="AB89" s="507">
        <f t="shared" si="34"/>
        <v>0</v>
      </c>
      <c r="AC89" s="507">
        <f t="shared" si="34"/>
        <v>0</v>
      </c>
      <c r="AD89" s="507">
        <f t="shared" si="34"/>
        <v>0</v>
      </c>
      <c r="AE89" s="507">
        <f t="shared" si="34"/>
        <v>0</v>
      </c>
      <c r="AF89" s="507">
        <f t="shared" si="34"/>
        <v>0</v>
      </c>
      <c r="AG89" s="507">
        <f t="shared" si="34"/>
        <v>0</v>
      </c>
    </row>
    <row r="90" spans="1:33" ht="15.75" customHeight="1" outlineLevel="2">
      <c r="A90" s="861"/>
      <c r="B90" s="735"/>
      <c r="C90" s="421" t="s">
        <v>516</v>
      </c>
      <c r="D90" s="422" t="s">
        <v>29</v>
      </c>
      <c r="E90" s="506">
        <f>Inputs!F162+1</f>
        <v>43313</v>
      </c>
      <c r="F90" s="506">
        <f>Inputs!F166</f>
        <v>46965</v>
      </c>
      <c r="G90" s="737"/>
      <c r="H90" s="737"/>
      <c r="I90" s="236">
        <f>SUM(J90:AG90)</f>
        <v>18</v>
      </c>
      <c r="J90" s="510">
        <f t="shared" ref="J90:AG90" si="35">IF(AND(J$4&gt;=$E90,J$5&lt;=$F90),1,0)</f>
        <v>0</v>
      </c>
      <c r="K90" s="510">
        <f t="shared" si="35"/>
        <v>0</v>
      </c>
      <c r="L90" s="510">
        <f t="shared" si="35"/>
        <v>0</v>
      </c>
      <c r="M90" s="510">
        <f t="shared" si="35"/>
        <v>0</v>
      </c>
      <c r="N90" s="510">
        <f t="shared" si="35"/>
        <v>0</v>
      </c>
      <c r="O90" s="510">
        <f t="shared" si="35"/>
        <v>0</v>
      </c>
      <c r="P90" s="510">
        <f t="shared" si="35"/>
        <v>1</v>
      </c>
      <c r="Q90" s="510">
        <f t="shared" si="35"/>
        <v>1</v>
      </c>
      <c r="R90" s="510">
        <f t="shared" si="35"/>
        <v>1</v>
      </c>
      <c r="S90" s="510">
        <f t="shared" si="35"/>
        <v>1</v>
      </c>
      <c r="T90" s="510">
        <f t="shared" si="35"/>
        <v>1</v>
      </c>
      <c r="U90" s="510">
        <f t="shared" si="35"/>
        <v>1</v>
      </c>
      <c r="V90" s="510">
        <f t="shared" si="35"/>
        <v>1</v>
      </c>
      <c r="W90" s="510">
        <f t="shared" si="35"/>
        <v>1</v>
      </c>
      <c r="X90" s="510">
        <f t="shared" si="35"/>
        <v>1</v>
      </c>
      <c r="Y90" s="510">
        <f t="shared" si="35"/>
        <v>1</v>
      </c>
      <c r="Z90" s="510">
        <f t="shared" si="35"/>
        <v>1</v>
      </c>
      <c r="AA90" s="510">
        <f t="shared" si="35"/>
        <v>1</v>
      </c>
      <c r="AB90" s="510">
        <f t="shared" si="35"/>
        <v>1</v>
      </c>
      <c r="AC90" s="510">
        <f t="shared" si="35"/>
        <v>1</v>
      </c>
      <c r="AD90" s="510">
        <f t="shared" si="35"/>
        <v>1</v>
      </c>
      <c r="AE90" s="510">
        <f t="shared" si="35"/>
        <v>1</v>
      </c>
      <c r="AF90" s="510">
        <f t="shared" si="35"/>
        <v>1</v>
      </c>
      <c r="AG90" s="510">
        <f t="shared" si="35"/>
        <v>1</v>
      </c>
    </row>
    <row r="91" spans="1:33" ht="15.75" customHeight="1" outlineLevel="2">
      <c r="A91" s="861"/>
      <c r="B91" s="735"/>
      <c r="C91" s="421" t="s">
        <v>517</v>
      </c>
      <c r="D91" s="422" t="s">
        <v>39</v>
      </c>
      <c r="E91" s="737"/>
      <c r="F91" s="737"/>
      <c r="G91" s="737"/>
      <c r="H91" s="737"/>
      <c r="I91" s="737"/>
      <c r="J91" s="790">
        <f t="shared" ref="J91:AG91" si="36">IF(J$4=$E90,1,I91+1)*J90</f>
        <v>0</v>
      </c>
      <c r="K91" s="790">
        <f t="shared" si="36"/>
        <v>0</v>
      </c>
      <c r="L91" s="790">
        <f t="shared" si="36"/>
        <v>0</v>
      </c>
      <c r="M91" s="790">
        <f t="shared" si="36"/>
        <v>0</v>
      </c>
      <c r="N91" s="790">
        <f t="shared" si="36"/>
        <v>0</v>
      </c>
      <c r="O91" s="790">
        <f t="shared" si="36"/>
        <v>0</v>
      </c>
      <c r="P91" s="790">
        <f t="shared" si="36"/>
        <v>1</v>
      </c>
      <c r="Q91" s="790">
        <f t="shared" si="36"/>
        <v>2</v>
      </c>
      <c r="R91" s="790">
        <f t="shared" si="36"/>
        <v>3</v>
      </c>
      <c r="S91" s="790">
        <f t="shared" si="36"/>
        <v>4</v>
      </c>
      <c r="T91" s="790">
        <f t="shared" si="36"/>
        <v>5</v>
      </c>
      <c r="U91" s="790">
        <f t="shared" si="36"/>
        <v>6</v>
      </c>
      <c r="V91" s="790">
        <f t="shared" si="36"/>
        <v>7</v>
      </c>
      <c r="W91" s="790">
        <f t="shared" si="36"/>
        <v>8</v>
      </c>
      <c r="X91" s="790">
        <f t="shared" si="36"/>
        <v>9</v>
      </c>
      <c r="Y91" s="790">
        <f t="shared" si="36"/>
        <v>10</v>
      </c>
      <c r="Z91" s="790">
        <f t="shared" si="36"/>
        <v>11</v>
      </c>
      <c r="AA91" s="790">
        <f t="shared" si="36"/>
        <v>12</v>
      </c>
      <c r="AB91" s="790">
        <f t="shared" si="36"/>
        <v>13</v>
      </c>
      <c r="AC91" s="790">
        <f t="shared" si="36"/>
        <v>14</v>
      </c>
      <c r="AD91" s="790">
        <f t="shared" si="36"/>
        <v>15</v>
      </c>
      <c r="AE91" s="790">
        <f t="shared" si="36"/>
        <v>16</v>
      </c>
      <c r="AF91" s="790">
        <f t="shared" si="36"/>
        <v>17</v>
      </c>
      <c r="AG91" s="790">
        <f t="shared" si="36"/>
        <v>18</v>
      </c>
    </row>
    <row r="92" spans="1:33" ht="15.75" customHeight="1" outlineLevel="2">
      <c r="A92" s="861"/>
      <c r="B92" s="735"/>
      <c r="C92" s="421" t="s">
        <v>518</v>
      </c>
      <c r="D92" s="422" t="s">
        <v>29</v>
      </c>
      <c r="E92" s="789" t="s">
        <v>514</v>
      </c>
      <c r="F92" s="506">
        <f>Inputs!$F$165</f>
        <v>43313</v>
      </c>
      <c r="G92" s="737"/>
      <c r="H92" s="737"/>
      <c r="I92" s="236">
        <f>SUM(J92:AG92)</f>
        <v>0</v>
      </c>
      <c r="J92" s="510">
        <f t="shared" ref="J92:AG92" si="37">IF(J$4&lt;$F92,1,0)*J90</f>
        <v>0</v>
      </c>
      <c r="K92" s="510">
        <f t="shared" si="37"/>
        <v>0</v>
      </c>
      <c r="L92" s="510">
        <f t="shared" si="37"/>
        <v>0</v>
      </c>
      <c r="M92" s="510">
        <f t="shared" si="37"/>
        <v>0</v>
      </c>
      <c r="N92" s="510">
        <f t="shared" si="37"/>
        <v>0</v>
      </c>
      <c r="O92" s="510">
        <f t="shared" si="37"/>
        <v>0</v>
      </c>
      <c r="P92" s="510">
        <f t="shared" si="37"/>
        <v>0</v>
      </c>
      <c r="Q92" s="510">
        <f t="shared" si="37"/>
        <v>0</v>
      </c>
      <c r="R92" s="510">
        <f t="shared" si="37"/>
        <v>0</v>
      </c>
      <c r="S92" s="510">
        <f t="shared" si="37"/>
        <v>0</v>
      </c>
      <c r="T92" s="510">
        <f t="shared" si="37"/>
        <v>0</v>
      </c>
      <c r="U92" s="510">
        <f t="shared" si="37"/>
        <v>0</v>
      </c>
      <c r="V92" s="510">
        <f t="shared" si="37"/>
        <v>0</v>
      </c>
      <c r="W92" s="510">
        <f t="shared" si="37"/>
        <v>0</v>
      </c>
      <c r="X92" s="510">
        <f t="shared" si="37"/>
        <v>0</v>
      </c>
      <c r="Y92" s="510">
        <f t="shared" si="37"/>
        <v>0</v>
      </c>
      <c r="Z92" s="510">
        <f t="shared" si="37"/>
        <v>0</v>
      </c>
      <c r="AA92" s="510">
        <f t="shared" si="37"/>
        <v>0</v>
      </c>
      <c r="AB92" s="510">
        <f t="shared" si="37"/>
        <v>0</v>
      </c>
      <c r="AC92" s="510">
        <f t="shared" si="37"/>
        <v>0</v>
      </c>
      <c r="AD92" s="510">
        <f t="shared" si="37"/>
        <v>0</v>
      </c>
      <c r="AE92" s="510">
        <f t="shared" si="37"/>
        <v>0</v>
      </c>
      <c r="AF92" s="510">
        <f t="shared" si="37"/>
        <v>0</v>
      </c>
      <c r="AG92" s="510">
        <f t="shared" si="37"/>
        <v>0</v>
      </c>
    </row>
    <row r="93" spans="1:33" ht="15.75" customHeight="1" outlineLevel="2">
      <c r="A93" s="861"/>
      <c r="B93" s="735"/>
      <c r="C93" s="421" t="s">
        <v>519</v>
      </c>
      <c r="D93" s="422" t="s">
        <v>29</v>
      </c>
      <c r="E93" s="737"/>
      <c r="F93" s="737"/>
      <c r="G93" s="737"/>
      <c r="H93" s="737"/>
      <c r="I93" s="236">
        <f>SUM(J93:AG93)</f>
        <v>18</v>
      </c>
      <c r="J93" s="510">
        <f t="shared" ref="J93:AG93" si="38">J90-J92</f>
        <v>0</v>
      </c>
      <c r="K93" s="510">
        <f t="shared" si="38"/>
        <v>0</v>
      </c>
      <c r="L93" s="510">
        <f t="shared" si="38"/>
        <v>0</v>
      </c>
      <c r="M93" s="510">
        <f t="shared" si="38"/>
        <v>0</v>
      </c>
      <c r="N93" s="510">
        <f t="shared" si="38"/>
        <v>0</v>
      </c>
      <c r="O93" s="510">
        <f t="shared" si="38"/>
        <v>0</v>
      </c>
      <c r="P93" s="510">
        <f t="shared" si="38"/>
        <v>1</v>
      </c>
      <c r="Q93" s="510">
        <f t="shared" si="38"/>
        <v>1</v>
      </c>
      <c r="R93" s="510">
        <f t="shared" si="38"/>
        <v>1</v>
      </c>
      <c r="S93" s="510">
        <f t="shared" si="38"/>
        <v>1</v>
      </c>
      <c r="T93" s="510">
        <f t="shared" si="38"/>
        <v>1</v>
      </c>
      <c r="U93" s="510">
        <f t="shared" si="38"/>
        <v>1</v>
      </c>
      <c r="V93" s="510">
        <f t="shared" si="38"/>
        <v>1</v>
      </c>
      <c r="W93" s="510">
        <f t="shared" si="38"/>
        <v>1</v>
      </c>
      <c r="X93" s="510">
        <f t="shared" si="38"/>
        <v>1</v>
      </c>
      <c r="Y93" s="510">
        <f t="shared" si="38"/>
        <v>1</v>
      </c>
      <c r="Z93" s="510">
        <f t="shared" si="38"/>
        <v>1</v>
      </c>
      <c r="AA93" s="510">
        <f t="shared" si="38"/>
        <v>1</v>
      </c>
      <c r="AB93" s="510">
        <f t="shared" si="38"/>
        <v>1</v>
      </c>
      <c r="AC93" s="510">
        <f t="shared" si="38"/>
        <v>1</v>
      </c>
      <c r="AD93" s="510">
        <f t="shared" si="38"/>
        <v>1</v>
      </c>
      <c r="AE93" s="510">
        <f t="shared" si="38"/>
        <v>1</v>
      </c>
      <c r="AF93" s="510">
        <f t="shared" si="38"/>
        <v>1</v>
      </c>
      <c r="AG93" s="510">
        <f t="shared" si="38"/>
        <v>1</v>
      </c>
    </row>
    <row r="94" spans="1:33" ht="15.75" customHeight="1" outlineLevel="2">
      <c r="A94" s="861"/>
      <c r="B94" s="735"/>
      <c r="C94" s="791" t="s">
        <v>520</v>
      </c>
      <c r="D94" s="422" t="s">
        <v>29</v>
      </c>
      <c r="E94" s="635" t="s">
        <v>522</v>
      </c>
      <c r="F94" s="422" t="s">
        <v>523</v>
      </c>
      <c r="G94" s="737"/>
      <c r="H94" s="737"/>
      <c r="I94" s="737"/>
      <c r="J94" s="507">
        <f t="shared" ref="J94:AG94" si="39">IF(J$91=0,0,IF(MOD(J$91,3)=0,1,0)*J$6)</f>
        <v>0</v>
      </c>
      <c r="K94" s="507">
        <f t="shared" si="39"/>
        <v>0</v>
      </c>
      <c r="L94" s="507">
        <f t="shared" si="39"/>
        <v>0</v>
      </c>
      <c r="M94" s="507">
        <f t="shared" si="39"/>
        <v>0</v>
      </c>
      <c r="N94" s="507">
        <f t="shared" si="39"/>
        <v>0</v>
      </c>
      <c r="O94" s="507">
        <f t="shared" si="39"/>
        <v>0</v>
      </c>
      <c r="P94" s="507">
        <f t="shared" si="39"/>
        <v>0</v>
      </c>
      <c r="Q94" s="507">
        <f t="shared" si="39"/>
        <v>0</v>
      </c>
      <c r="R94" s="507">
        <f t="shared" si="39"/>
        <v>1</v>
      </c>
      <c r="S94" s="507">
        <f t="shared" si="39"/>
        <v>0</v>
      </c>
      <c r="T94" s="507">
        <f t="shared" si="39"/>
        <v>0</v>
      </c>
      <c r="U94" s="507">
        <f t="shared" si="39"/>
        <v>1</v>
      </c>
      <c r="V94" s="507">
        <f t="shared" si="39"/>
        <v>0</v>
      </c>
      <c r="W94" s="507">
        <f t="shared" si="39"/>
        <v>0</v>
      </c>
      <c r="X94" s="507">
        <f t="shared" si="39"/>
        <v>1</v>
      </c>
      <c r="Y94" s="507">
        <f t="shared" si="39"/>
        <v>0</v>
      </c>
      <c r="Z94" s="507">
        <f t="shared" si="39"/>
        <v>0</v>
      </c>
      <c r="AA94" s="507">
        <f t="shared" si="39"/>
        <v>1</v>
      </c>
      <c r="AB94" s="507">
        <f t="shared" si="39"/>
        <v>0</v>
      </c>
      <c r="AC94" s="507">
        <f t="shared" si="39"/>
        <v>0</v>
      </c>
      <c r="AD94" s="507">
        <f t="shared" si="39"/>
        <v>1</v>
      </c>
      <c r="AE94" s="507">
        <f t="shared" si="39"/>
        <v>0</v>
      </c>
      <c r="AF94" s="507">
        <f t="shared" si="39"/>
        <v>0</v>
      </c>
      <c r="AG94" s="507">
        <f t="shared" si="39"/>
        <v>0</v>
      </c>
    </row>
    <row r="95" spans="1:33" ht="15.75" customHeight="1" outlineLevel="2">
      <c r="A95" s="861"/>
      <c r="B95" s="735"/>
      <c r="C95" s="421" t="s">
        <v>521</v>
      </c>
      <c r="D95" s="422" t="s">
        <v>39</v>
      </c>
      <c r="E95" s="506">
        <f>EOMONTH(Inputs!$F$165,1)+1</f>
        <v>43374</v>
      </c>
      <c r="F95" s="511">
        <f>Inputs!F167</f>
        <v>40</v>
      </c>
      <c r="G95" s="422"/>
      <c r="H95" s="737"/>
      <c r="I95" s="737"/>
      <c r="J95" s="790">
        <f>IF($E95=J4,$F95,$F95-SUMPRODUCT(($J93:J93)*($J94:J94))+1)*J93*J94</f>
        <v>0</v>
      </c>
      <c r="K95" s="790">
        <f>IF($E95=K4,$F95,$F95-SUMPRODUCT(($J93:K93)*($J94:K94))+1)*K93*K94</f>
        <v>0</v>
      </c>
      <c r="L95" s="790">
        <f>IF($E95=L4,$F95,$F95-SUMPRODUCT(($J93:L93)*($J94:L94))+1)*L93*L94</f>
        <v>0</v>
      </c>
      <c r="M95" s="790">
        <f>IF($E95=M4,$F95,$F95-SUMPRODUCT(($J93:M93)*($J94:M94))+1)*M93*M94</f>
        <v>0</v>
      </c>
      <c r="N95" s="790">
        <f>IF($E95=N4,$F95,$F95-SUMPRODUCT(($J93:N93)*($J94:N94))+1)*N93*N94</f>
        <v>0</v>
      </c>
      <c r="O95" s="790">
        <f>IF($E95=O4,$F95,$F95-SUMPRODUCT(($J93:O93)*($J94:O94))+1)*O93*O94</f>
        <v>0</v>
      </c>
      <c r="P95" s="790">
        <f>IF($E95=P4,$F95,$F95-SUMPRODUCT(($J93:P93)*($J94:P94))+1)*P93*P94</f>
        <v>0</v>
      </c>
      <c r="Q95" s="790">
        <f>IF($E95=Q4,$F95,$F95-SUMPRODUCT(($J93:Q93)*($J94:Q94))+1)*Q93*Q94</f>
        <v>0</v>
      </c>
      <c r="R95" s="790">
        <f>IF($E95=R4,$F95,$F95-SUMPRODUCT(($J93:R93)*($J94:R94))+1)*R93*R94</f>
        <v>40</v>
      </c>
      <c r="S95" s="790">
        <f>IF($E95=S4,$F95,$F95-SUMPRODUCT(($J93:S93)*($J94:S94))+1)*S93*S94</f>
        <v>0</v>
      </c>
      <c r="T95" s="790">
        <f>IF($E95=T4,$F95,$F95-SUMPRODUCT(($J93:T93)*($J94:T94))+1)*T93*T94</f>
        <v>0</v>
      </c>
      <c r="U95" s="790">
        <f>IF($E95=U4,$F95,$F95-SUMPRODUCT(($J93:U93)*($J94:U94))+1)*U93*U94</f>
        <v>39</v>
      </c>
      <c r="V95" s="790">
        <f>IF($E95=V4,$F95,$F95-SUMPRODUCT(($J93:V93)*($J94:V94))+1)*V93*V94</f>
        <v>0</v>
      </c>
      <c r="W95" s="790">
        <f>IF($E95=W4,$F95,$F95-SUMPRODUCT(($J93:W93)*($J94:W94))+1)*W93*W94</f>
        <v>0</v>
      </c>
      <c r="X95" s="790">
        <f>IF($E95=X4,$F95,$F95-SUMPRODUCT(($J93:X93)*($J94:X94))+1)*X93*X94</f>
        <v>38</v>
      </c>
      <c r="Y95" s="790">
        <f>IF($E95=Y4,$F95,$F95-SUMPRODUCT(($J93:Y93)*($J94:Y94))+1)*Y93*Y94</f>
        <v>0</v>
      </c>
      <c r="Z95" s="790">
        <f>IF($E95=Z4,$F95,$F95-SUMPRODUCT(($J93:Z93)*($J94:Z94))+1)*Z93*Z94</f>
        <v>0</v>
      </c>
      <c r="AA95" s="790">
        <f>IF($E95=AA4,$F95,$F95-SUMPRODUCT(($J93:AA93)*($J94:AA94))+1)*AA93*AA94</f>
        <v>37</v>
      </c>
      <c r="AB95" s="790">
        <f>IF($E95=AB4,$F95,$F95-SUMPRODUCT(($J93:AB93)*($J94:AB94))+1)*AB93*AB94</f>
        <v>0</v>
      </c>
      <c r="AC95" s="790">
        <f>IF($E95=AC4,$F95,$F95-SUMPRODUCT(($J93:AC93)*($J94:AC94))+1)*AC93*AC94</f>
        <v>0</v>
      </c>
      <c r="AD95" s="790">
        <f>IF($E95=AD4,$F95,$F95-SUMPRODUCT(($J93:AD93)*($J94:AD94))+1)*AD93*AD94</f>
        <v>36</v>
      </c>
      <c r="AE95" s="790">
        <f>IF($E95=AE4,$F95,$F95-SUMPRODUCT(($J93:AE93)*($J94:AE94))+1)*AE93*AE94</f>
        <v>0</v>
      </c>
      <c r="AF95" s="790">
        <f>IF($E95=AF4,$F95,$F95-SUMPRODUCT(($J93:AF93)*($J94:AF94))+1)*AF93*AF94</f>
        <v>0</v>
      </c>
      <c r="AG95" s="790">
        <f>IF($E95=AG4,$F95,$F95-SUMPRODUCT(($J93:AG93)*($J94:AG94))+1)*AG93*AG94</f>
        <v>0</v>
      </c>
    </row>
    <row r="96" spans="1:33" ht="15.75" customHeight="1" outlineLevel="2">
      <c r="A96" s="861"/>
      <c r="B96" s="735"/>
      <c r="C96" s="442" t="str">
        <f>"BS Account: "&amp;Inputs!$F$157</f>
        <v>BS Account: EasyCredit</v>
      </c>
      <c r="D96" s="512"/>
      <c r="E96" s="735"/>
      <c r="F96" s="735"/>
      <c r="G96" s="735"/>
      <c r="H96" s="735"/>
      <c r="I96" s="735"/>
      <c r="J96" s="735"/>
      <c r="K96" s="735"/>
      <c r="L96" s="735"/>
      <c r="M96" s="735"/>
      <c r="N96" s="735"/>
      <c r="O96" s="735"/>
      <c r="P96" s="735"/>
      <c r="Q96" s="735"/>
      <c r="R96" s="735"/>
      <c r="S96" s="735"/>
      <c r="T96" s="735"/>
      <c r="U96" s="735"/>
      <c r="V96" s="735"/>
      <c r="W96" s="735"/>
      <c r="X96" s="735"/>
      <c r="Y96" s="735"/>
      <c r="Z96" s="735"/>
      <c r="AA96" s="735"/>
      <c r="AB96" s="735"/>
      <c r="AC96" s="735"/>
      <c r="AD96" s="735"/>
      <c r="AE96" s="735"/>
      <c r="AF96" s="735"/>
      <c r="AG96" s="735"/>
    </row>
    <row r="97" spans="1:33" ht="15.75" customHeight="1" outlineLevel="2">
      <c r="A97" s="861"/>
      <c r="B97" s="735"/>
      <c r="C97" s="421" t="s">
        <v>140</v>
      </c>
      <c r="D97" s="422" t="str">
        <f>Currency_Label</f>
        <v>USD</v>
      </c>
      <c r="E97" s="737"/>
      <c r="F97" s="737"/>
      <c r="G97" s="737"/>
      <c r="H97" s="737"/>
      <c r="I97" s="737"/>
      <c r="J97" s="423">
        <f>I100*J$6</f>
        <v>0</v>
      </c>
      <c r="K97" s="423">
        <f t="shared" ref="K97:AG97" ca="1" si="40">J100*K$6</f>
        <v>0</v>
      </c>
      <c r="L97" s="423">
        <f t="shared" ca="1" si="40"/>
        <v>0</v>
      </c>
      <c r="M97" s="423">
        <f t="shared" ca="1" si="40"/>
        <v>0</v>
      </c>
      <c r="N97" s="423">
        <f t="shared" ca="1" si="40"/>
        <v>0</v>
      </c>
      <c r="O97" s="423">
        <f t="shared" ca="1" si="40"/>
        <v>0</v>
      </c>
      <c r="P97" s="423">
        <f t="shared" ca="1" si="40"/>
        <v>0</v>
      </c>
      <c r="Q97" s="423">
        <f t="shared" ca="1" si="40"/>
        <v>0</v>
      </c>
      <c r="R97" s="423">
        <f t="shared" ca="1" si="40"/>
        <v>0</v>
      </c>
      <c r="S97" s="423">
        <f t="shared" ca="1" si="40"/>
        <v>0</v>
      </c>
      <c r="T97" s="423">
        <f t="shared" ca="1" si="40"/>
        <v>0</v>
      </c>
      <c r="U97" s="423">
        <f t="shared" ca="1" si="40"/>
        <v>0</v>
      </c>
      <c r="V97" s="423">
        <f t="shared" ca="1" si="40"/>
        <v>0</v>
      </c>
      <c r="W97" s="423">
        <f t="shared" ca="1" si="40"/>
        <v>0</v>
      </c>
      <c r="X97" s="423">
        <f t="shared" ca="1" si="40"/>
        <v>0</v>
      </c>
      <c r="Y97" s="423">
        <f t="shared" ca="1" si="40"/>
        <v>0</v>
      </c>
      <c r="Z97" s="423">
        <f t="shared" ca="1" si="40"/>
        <v>0</v>
      </c>
      <c r="AA97" s="423">
        <f t="shared" ca="1" si="40"/>
        <v>0</v>
      </c>
      <c r="AB97" s="423">
        <f t="shared" ca="1" si="40"/>
        <v>0</v>
      </c>
      <c r="AC97" s="423">
        <f t="shared" ca="1" si="40"/>
        <v>0</v>
      </c>
      <c r="AD97" s="423">
        <f t="shared" ca="1" si="40"/>
        <v>0</v>
      </c>
      <c r="AE97" s="423">
        <f t="shared" ca="1" si="40"/>
        <v>0</v>
      </c>
      <c r="AF97" s="423">
        <f t="shared" ca="1" si="40"/>
        <v>0</v>
      </c>
      <c r="AG97" s="423">
        <f t="shared" ca="1" si="40"/>
        <v>0</v>
      </c>
    </row>
    <row r="98" spans="1:33" ht="15.75" customHeight="1" outlineLevel="2">
      <c r="A98" s="861"/>
      <c r="B98" s="735"/>
      <c r="C98" s="421" t="s">
        <v>524</v>
      </c>
      <c r="D98" s="422" t="str">
        <f>Currency_Label</f>
        <v>USD</v>
      </c>
      <c r="E98" s="737"/>
      <c r="F98" s="737"/>
      <c r="G98" s="737"/>
      <c r="H98" s="737"/>
      <c r="I98" s="236">
        <f ca="1">SUM(J98:AG98)</f>
        <v>0</v>
      </c>
      <c r="J98" s="423">
        <f t="shared" ref="J98:AG98" ca="1" si="41">J45</f>
        <v>0</v>
      </c>
      <c r="K98" s="423">
        <f t="shared" ca="1" si="41"/>
        <v>0</v>
      </c>
      <c r="L98" s="423">
        <f t="shared" ca="1" si="41"/>
        <v>0</v>
      </c>
      <c r="M98" s="423">
        <f t="shared" ca="1" si="41"/>
        <v>0</v>
      </c>
      <c r="N98" s="423">
        <f t="shared" ca="1" si="41"/>
        <v>0</v>
      </c>
      <c r="O98" s="423">
        <f t="shared" ca="1" si="41"/>
        <v>0</v>
      </c>
      <c r="P98" s="423">
        <f t="shared" ca="1" si="41"/>
        <v>0</v>
      </c>
      <c r="Q98" s="423">
        <f t="shared" ca="1" si="41"/>
        <v>0</v>
      </c>
      <c r="R98" s="423">
        <f t="shared" ca="1" si="41"/>
        <v>0</v>
      </c>
      <c r="S98" s="423">
        <f t="shared" ca="1" si="41"/>
        <v>0</v>
      </c>
      <c r="T98" s="423">
        <f t="shared" ca="1" si="41"/>
        <v>0</v>
      </c>
      <c r="U98" s="423">
        <f t="shared" ca="1" si="41"/>
        <v>0</v>
      </c>
      <c r="V98" s="423">
        <f t="shared" ca="1" si="41"/>
        <v>0</v>
      </c>
      <c r="W98" s="423">
        <f t="shared" ca="1" si="41"/>
        <v>0</v>
      </c>
      <c r="X98" s="423">
        <f t="shared" ca="1" si="41"/>
        <v>0</v>
      </c>
      <c r="Y98" s="423">
        <f t="shared" ca="1" si="41"/>
        <v>0</v>
      </c>
      <c r="Z98" s="423">
        <f t="shared" ca="1" si="41"/>
        <v>0</v>
      </c>
      <c r="AA98" s="423">
        <f t="shared" ca="1" si="41"/>
        <v>0</v>
      </c>
      <c r="AB98" s="423">
        <f t="shared" ca="1" si="41"/>
        <v>0</v>
      </c>
      <c r="AC98" s="423">
        <f t="shared" ca="1" si="41"/>
        <v>0</v>
      </c>
      <c r="AD98" s="423">
        <f t="shared" ca="1" si="41"/>
        <v>0</v>
      </c>
      <c r="AE98" s="423">
        <f t="shared" ca="1" si="41"/>
        <v>0</v>
      </c>
      <c r="AF98" s="423">
        <f t="shared" ca="1" si="41"/>
        <v>0</v>
      </c>
      <c r="AG98" s="423">
        <f t="shared" ca="1" si="41"/>
        <v>0</v>
      </c>
    </row>
    <row r="99" spans="1:33" ht="15.75" customHeight="1" outlineLevel="2">
      <c r="A99" s="861"/>
      <c r="B99" s="735"/>
      <c r="C99" s="421" t="s">
        <v>525</v>
      </c>
      <c r="D99" s="422" t="str">
        <f>Currency_Label</f>
        <v>USD</v>
      </c>
      <c r="E99" s="737"/>
      <c r="F99" s="737"/>
      <c r="G99" s="737"/>
      <c r="H99" s="737"/>
      <c r="I99" s="236">
        <f ca="1">SUM(J99:AG99)</f>
        <v>0</v>
      </c>
      <c r="J99" s="423">
        <f t="shared" ref="J99:AG99" si="42">-J112</f>
        <v>0</v>
      </c>
      <c r="K99" s="423">
        <f t="shared" ca="1" si="42"/>
        <v>0</v>
      </c>
      <c r="L99" s="423">
        <f t="shared" ca="1" si="42"/>
        <v>0</v>
      </c>
      <c r="M99" s="423">
        <f t="shared" ca="1" si="42"/>
        <v>0</v>
      </c>
      <c r="N99" s="423">
        <f t="shared" ca="1" si="42"/>
        <v>0</v>
      </c>
      <c r="O99" s="423">
        <f t="shared" ca="1" si="42"/>
        <v>0</v>
      </c>
      <c r="P99" s="423">
        <f t="shared" ca="1" si="42"/>
        <v>0</v>
      </c>
      <c r="Q99" s="423">
        <f t="shared" ca="1" si="42"/>
        <v>0</v>
      </c>
      <c r="R99" s="423">
        <f t="shared" ca="1" si="42"/>
        <v>0</v>
      </c>
      <c r="S99" s="423">
        <f t="shared" ca="1" si="42"/>
        <v>0</v>
      </c>
      <c r="T99" s="423">
        <f t="shared" ca="1" si="42"/>
        <v>0</v>
      </c>
      <c r="U99" s="423">
        <f t="shared" ca="1" si="42"/>
        <v>0</v>
      </c>
      <c r="V99" s="423">
        <f t="shared" ca="1" si="42"/>
        <v>0</v>
      </c>
      <c r="W99" s="423">
        <f t="shared" ca="1" si="42"/>
        <v>0</v>
      </c>
      <c r="X99" s="423">
        <f t="shared" ca="1" si="42"/>
        <v>0</v>
      </c>
      <c r="Y99" s="423">
        <f t="shared" ca="1" si="42"/>
        <v>0</v>
      </c>
      <c r="Z99" s="423">
        <f t="shared" ca="1" si="42"/>
        <v>0</v>
      </c>
      <c r="AA99" s="423">
        <f t="shared" ca="1" si="42"/>
        <v>0</v>
      </c>
      <c r="AB99" s="423">
        <f t="shared" ca="1" si="42"/>
        <v>0</v>
      </c>
      <c r="AC99" s="423">
        <f t="shared" ca="1" si="42"/>
        <v>0</v>
      </c>
      <c r="AD99" s="423">
        <f t="shared" ca="1" si="42"/>
        <v>0</v>
      </c>
      <c r="AE99" s="423">
        <f t="shared" ca="1" si="42"/>
        <v>0</v>
      </c>
      <c r="AF99" s="423">
        <f t="shared" ca="1" si="42"/>
        <v>0</v>
      </c>
      <c r="AG99" s="423">
        <f t="shared" ca="1" si="42"/>
        <v>0</v>
      </c>
    </row>
    <row r="100" spans="1:33" ht="15.75" customHeight="1" outlineLevel="2" thickBot="1">
      <c r="A100" s="861"/>
      <c r="B100" s="735"/>
      <c r="C100" s="421" t="s">
        <v>141</v>
      </c>
      <c r="D100" s="422" t="str">
        <f>Currency_Label</f>
        <v>USD</v>
      </c>
      <c r="E100" s="737"/>
      <c r="F100" s="737"/>
      <c r="G100" s="737"/>
      <c r="H100" s="737"/>
      <c r="I100" s="508"/>
      <c r="J100" s="792">
        <f t="shared" ref="J100:AG100" ca="1" si="43">IF(ABS(SUM(J97:J99))&lt;0.01,0,SUM(J97:J99))*J$6</f>
        <v>0</v>
      </c>
      <c r="K100" s="792">
        <f t="shared" ca="1" si="43"/>
        <v>0</v>
      </c>
      <c r="L100" s="792">
        <f t="shared" ca="1" si="43"/>
        <v>0</v>
      </c>
      <c r="M100" s="792">
        <f t="shared" ca="1" si="43"/>
        <v>0</v>
      </c>
      <c r="N100" s="792">
        <f t="shared" ca="1" si="43"/>
        <v>0</v>
      </c>
      <c r="O100" s="792">
        <f t="shared" ca="1" si="43"/>
        <v>0</v>
      </c>
      <c r="P100" s="792">
        <f t="shared" ca="1" si="43"/>
        <v>0</v>
      </c>
      <c r="Q100" s="792">
        <f t="shared" ca="1" si="43"/>
        <v>0</v>
      </c>
      <c r="R100" s="792">
        <f t="shared" ca="1" si="43"/>
        <v>0</v>
      </c>
      <c r="S100" s="792">
        <f t="shared" ca="1" si="43"/>
        <v>0</v>
      </c>
      <c r="T100" s="792">
        <f t="shared" ca="1" si="43"/>
        <v>0</v>
      </c>
      <c r="U100" s="792">
        <f t="shared" ca="1" si="43"/>
        <v>0</v>
      </c>
      <c r="V100" s="792">
        <f t="shared" ca="1" si="43"/>
        <v>0</v>
      </c>
      <c r="W100" s="792">
        <f t="shared" ca="1" si="43"/>
        <v>0</v>
      </c>
      <c r="X100" s="792">
        <f t="shared" ca="1" si="43"/>
        <v>0</v>
      </c>
      <c r="Y100" s="792">
        <f t="shared" ca="1" si="43"/>
        <v>0</v>
      </c>
      <c r="Z100" s="792">
        <f t="shared" ca="1" si="43"/>
        <v>0</v>
      </c>
      <c r="AA100" s="792">
        <f t="shared" ca="1" si="43"/>
        <v>0</v>
      </c>
      <c r="AB100" s="792">
        <f t="shared" ca="1" si="43"/>
        <v>0</v>
      </c>
      <c r="AC100" s="792">
        <f t="shared" ca="1" si="43"/>
        <v>0</v>
      </c>
      <c r="AD100" s="792">
        <f t="shared" ca="1" si="43"/>
        <v>0</v>
      </c>
      <c r="AE100" s="792">
        <f t="shared" ca="1" si="43"/>
        <v>0</v>
      </c>
      <c r="AF100" s="792">
        <f t="shared" ca="1" si="43"/>
        <v>0</v>
      </c>
      <c r="AG100" s="792">
        <f t="shared" ca="1" si="43"/>
        <v>0</v>
      </c>
    </row>
    <row r="101" spans="1:33" ht="15.75" customHeight="1" outlineLevel="2" thickTop="1">
      <c r="A101" s="861"/>
      <c r="B101" s="735"/>
      <c r="C101" s="181" t="s">
        <v>500</v>
      </c>
      <c r="D101" s="422" t="str">
        <f>Currency_Label</f>
        <v>USD</v>
      </c>
      <c r="E101" s="433">
        <f>Inputs!G159</f>
        <v>100000</v>
      </c>
      <c r="F101" s="737"/>
      <c r="G101" s="784"/>
      <c r="H101" s="737"/>
      <c r="I101" s="737"/>
      <c r="J101" s="423">
        <f t="shared" ref="J101:AG101" si="44">($E101-J97)*J$89</f>
        <v>100000</v>
      </c>
      <c r="K101" s="423">
        <f t="shared" ca="1" si="44"/>
        <v>100000</v>
      </c>
      <c r="L101" s="423">
        <f t="shared" ca="1" si="44"/>
        <v>100000</v>
      </c>
      <c r="M101" s="423">
        <f t="shared" ca="1" si="44"/>
        <v>100000</v>
      </c>
      <c r="N101" s="423">
        <f t="shared" ca="1" si="44"/>
        <v>100000</v>
      </c>
      <c r="O101" s="423">
        <f t="shared" ca="1" si="44"/>
        <v>100000</v>
      </c>
      <c r="P101" s="423">
        <f t="shared" ca="1" si="44"/>
        <v>0</v>
      </c>
      <c r="Q101" s="423">
        <f t="shared" ca="1" si="44"/>
        <v>0</v>
      </c>
      <c r="R101" s="423">
        <f t="shared" ca="1" si="44"/>
        <v>0</v>
      </c>
      <c r="S101" s="423">
        <f t="shared" ca="1" si="44"/>
        <v>0</v>
      </c>
      <c r="T101" s="423">
        <f t="shared" ca="1" si="44"/>
        <v>0</v>
      </c>
      <c r="U101" s="423">
        <f t="shared" ca="1" si="44"/>
        <v>0</v>
      </c>
      <c r="V101" s="423">
        <f t="shared" ca="1" si="44"/>
        <v>0</v>
      </c>
      <c r="W101" s="423">
        <f t="shared" ca="1" si="44"/>
        <v>0</v>
      </c>
      <c r="X101" s="423">
        <f t="shared" ca="1" si="44"/>
        <v>0</v>
      </c>
      <c r="Y101" s="423">
        <f t="shared" ca="1" si="44"/>
        <v>0</v>
      </c>
      <c r="Z101" s="423">
        <f t="shared" ca="1" si="44"/>
        <v>0</v>
      </c>
      <c r="AA101" s="423">
        <f t="shared" ca="1" si="44"/>
        <v>0</v>
      </c>
      <c r="AB101" s="423">
        <f t="shared" ca="1" si="44"/>
        <v>0</v>
      </c>
      <c r="AC101" s="423">
        <f t="shared" ca="1" si="44"/>
        <v>0</v>
      </c>
      <c r="AD101" s="423">
        <f t="shared" ca="1" si="44"/>
        <v>0</v>
      </c>
      <c r="AE101" s="423">
        <f t="shared" ca="1" si="44"/>
        <v>0</v>
      </c>
      <c r="AF101" s="423">
        <f t="shared" ca="1" si="44"/>
        <v>0</v>
      </c>
      <c r="AG101" s="423">
        <f t="shared" ca="1" si="44"/>
        <v>0</v>
      </c>
    </row>
    <row r="102" spans="1:33" ht="15.75" customHeight="1" outlineLevel="2">
      <c r="A102" s="861"/>
      <c r="B102" s="735"/>
      <c r="C102" s="442" t="s">
        <v>534</v>
      </c>
      <c r="D102" s="512"/>
      <c r="E102" s="735"/>
      <c r="F102" s="735"/>
      <c r="G102" s="735"/>
      <c r="H102" s="735"/>
      <c r="I102" s="735"/>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row>
    <row r="103" spans="1:33" ht="15.75" customHeight="1" outlineLevel="2">
      <c r="A103" s="861"/>
      <c r="B103" s="735"/>
      <c r="C103" s="181" t="s">
        <v>487</v>
      </c>
      <c r="D103" s="422" t="str">
        <f>Currency_Label</f>
        <v>USD</v>
      </c>
      <c r="E103" s="793">
        <f>Inputs!F172</f>
        <v>1000</v>
      </c>
      <c r="F103" s="506">
        <f>Startdatum</f>
        <v>43132</v>
      </c>
      <c r="G103" s="737"/>
      <c r="H103" s="737"/>
      <c r="I103" s="236">
        <f>SUM(J103:AG103)</f>
        <v>1000</v>
      </c>
      <c r="J103" s="423">
        <f t="shared" ref="J103:AG103" si="45">IF(J$4=$F103,$E103,0)</f>
        <v>1000</v>
      </c>
      <c r="K103" s="423">
        <f t="shared" si="45"/>
        <v>0</v>
      </c>
      <c r="L103" s="423">
        <f t="shared" si="45"/>
        <v>0</v>
      </c>
      <c r="M103" s="423">
        <f t="shared" si="45"/>
        <v>0</v>
      </c>
      <c r="N103" s="423">
        <f t="shared" si="45"/>
        <v>0</v>
      </c>
      <c r="O103" s="423">
        <f t="shared" si="45"/>
        <v>0</v>
      </c>
      <c r="P103" s="423">
        <f t="shared" si="45"/>
        <v>0</v>
      </c>
      <c r="Q103" s="423">
        <f t="shared" si="45"/>
        <v>0</v>
      </c>
      <c r="R103" s="423">
        <f t="shared" si="45"/>
        <v>0</v>
      </c>
      <c r="S103" s="423">
        <f t="shared" si="45"/>
        <v>0</v>
      </c>
      <c r="T103" s="423">
        <f t="shared" si="45"/>
        <v>0</v>
      </c>
      <c r="U103" s="423">
        <f t="shared" si="45"/>
        <v>0</v>
      </c>
      <c r="V103" s="423">
        <f t="shared" si="45"/>
        <v>0</v>
      </c>
      <c r="W103" s="423">
        <f t="shared" si="45"/>
        <v>0</v>
      </c>
      <c r="X103" s="423">
        <f t="shared" si="45"/>
        <v>0</v>
      </c>
      <c r="Y103" s="423">
        <f t="shared" si="45"/>
        <v>0</v>
      </c>
      <c r="Z103" s="423">
        <f t="shared" si="45"/>
        <v>0</v>
      </c>
      <c r="AA103" s="423">
        <f t="shared" si="45"/>
        <v>0</v>
      </c>
      <c r="AB103" s="423">
        <f t="shared" si="45"/>
        <v>0</v>
      </c>
      <c r="AC103" s="423">
        <f t="shared" si="45"/>
        <v>0</v>
      </c>
      <c r="AD103" s="423">
        <f t="shared" si="45"/>
        <v>0</v>
      </c>
      <c r="AE103" s="423">
        <f t="shared" si="45"/>
        <v>0</v>
      </c>
      <c r="AF103" s="423">
        <f t="shared" si="45"/>
        <v>0</v>
      </c>
      <c r="AG103" s="423">
        <f t="shared" si="45"/>
        <v>0</v>
      </c>
    </row>
    <row r="104" spans="1:33" ht="15.75" customHeight="1" outlineLevel="2">
      <c r="A104" s="861"/>
      <c r="B104" s="735"/>
      <c r="C104" s="421" t="s">
        <v>488</v>
      </c>
      <c r="D104" s="422" t="str">
        <f>Currency_Label</f>
        <v>USD</v>
      </c>
      <c r="E104" s="514">
        <f>Inputs!H173</f>
        <v>2.0833333333333335E-4</v>
      </c>
      <c r="F104" s="422" t="s">
        <v>505</v>
      </c>
      <c r="G104" s="737"/>
      <c r="H104" s="737"/>
      <c r="I104" s="236">
        <f ca="1">SUM(J104:AG104)</f>
        <v>125.00000000000003</v>
      </c>
      <c r="J104" s="423">
        <f t="shared" ref="J104:AG104" si="46">$E104*J101</f>
        <v>20.833333333333336</v>
      </c>
      <c r="K104" s="423">
        <f t="shared" ca="1" si="46"/>
        <v>20.833333333333336</v>
      </c>
      <c r="L104" s="423">
        <f t="shared" ca="1" si="46"/>
        <v>20.833333333333336</v>
      </c>
      <c r="M104" s="423">
        <f t="shared" ca="1" si="46"/>
        <v>20.833333333333336</v>
      </c>
      <c r="N104" s="423">
        <f t="shared" ca="1" si="46"/>
        <v>20.833333333333336</v>
      </c>
      <c r="O104" s="423">
        <f t="shared" ca="1" si="46"/>
        <v>20.833333333333336</v>
      </c>
      <c r="P104" s="423">
        <f t="shared" ca="1" si="46"/>
        <v>0</v>
      </c>
      <c r="Q104" s="423">
        <f t="shared" ca="1" si="46"/>
        <v>0</v>
      </c>
      <c r="R104" s="423">
        <f t="shared" ca="1" si="46"/>
        <v>0</v>
      </c>
      <c r="S104" s="423">
        <f t="shared" ca="1" si="46"/>
        <v>0</v>
      </c>
      <c r="T104" s="423">
        <f t="shared" ca="1" si="46"/>
        <v>0</v>
      </c>
      <c r="U104" s="423">
        <f t="shared" ca="1" si="46"/>
        <v>0</v>
      </c>
      <c r="V104" s="423">
        <f t="shared" ca="1" si="46"/>
        <v>0</v>
      </c>
      <c r="W104" s="423">
        <f t="shared" ca="1" si="46"/>
        <v>0</v>
      </c>
      <c r="X104" s="423">
        <f t="shared" ca="1" si="46"/>
        <v>0</v>
      </c>
      <c r="Y104" s="423">
        <f t="shared" ca="1" si="46"/>
        <v>0</v>
      </c>
      <c r="Z104" s="423">
        <f t="shared" ca="1" si="46"/>
        <v>0</v>
      </c>
      <c r="AA104" s="423">
        <f t="shared" ca="1" si="46"/>
        <v>0</v>
      </c>
      <c r="AB104" s="423">
        <f t="shared" ca="1" si="46"/>
        <v>0</v>
      </c>
      <c r="AC104" s="423">
        <f t="shared" ca="1" si="46"/>
        <v>0</v>
      </c>
      <c r="AD104" s="423">
        <f t="shared" ca="1" si="46"/>
        <v>0</v>
      </c>
      <c r="AE104" s="423">
        <f t="shared" ca="1" si="46"/>
        <v>0</v>
      </c>
      <c r="AF104" s="423">
        <f t="shared" ca="1" si="46"/>
        <v>0</v>
      </c>
      <c r="AG104" s="423">
        <f t="shared" ca="1" si="46"/>
        <v>0</v>
      </c>
    </row>
    <row r="105" spans="1:33" ht="15.75" customHeight="1" outlineLevel="2">
      <c r="A105" s="861"/>
      <c r="B105" s="735"/>
      <c r="C105" s="786" t="s">
        <v>486</v>
      </c>
      <c r="D105" s="512"/>
      <c r="E105" s="735"/>
      <c r="F105" s="735"/>
      <c r="G105" s="735"/>
      <c r="H105" s="735"/>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row>
    <row r="106" spans="1:33" ht="15.75" customHeight="1" outlineLevel="2">
      <c r="A106" s="861"/>
      <c r="B106" s="735"/>
      <c r="C106" s="181" t="s">
        <v>527</v>
      </c>
      <c r="D106" s="422" t="str">
        <f>Currency_Label</f>
        <v>USD</v>
      </c>
      <c r="E106" s="514">
        <f>Inputs!$H$170</f>
        <v>8.7500000000000008E-3</v>
      </c>
      <c r="F106" s="422" t="s">
        <v>526</v>
      </c>
      <c r="G106" s="737"/>
      <c r="H106" s="737"/>
      <c r="I106" s="236">
        <f ca="1">SUM(J106:AG106)</f>
        <v>0</v>
      </c>
      <c r="J106" s="423">
        <f t="shared" ref="J106:AG106" si="47">$E106*J97*J92*J94</f>
        <v>0</v>
      </c>
      <c r="K106" s="423">
        <f t="shared" ca="1" si="47"/>
        <v>0</v>
      </c>
      <c r="L106" s="423">
        <f t="shared" ca="1" si="47"/>
        <v>0</v>
      </c>
      <c r="M106" s="423">
        <f t="shared" ca="1" si="47"/>
        <v>0</v>
      </c>
      <c r="N106" s="423">
        <f t="shared" ca="1" si="47"/>
        <v>0</v>
      </c>
      <c r="O106" s="423">
        <f t="shared" ca="1" si="47"/>
        <v>0</v>
      </c>
      <c r="P106" s="423">
        <f t="shared" ca="1" si="47"/>
        <v>0</v>
      </c>
      <c r="Q106" s="423">
        <f t="shared" ca="1" si="47"/>
        <v>0</v>
      </c>
      <c r="R106" s="423">
        <f t="shared" ca="1" si="47"/>
        <v>0</v>
      </c>
      <c r="S106" s="423">
        <f t="shared" ca="1" si="47"/>
        <v>0</v>
      </c>
      <c r="T106" s="423">
        <f t="shared" ca="1" si="47"/>
        <v>0</v>
      </c>
      <c r="U106" s="423">
        <f t="shared" ca="1" si="47"/>
        <v>0</v>
      </c>
      <c r="V106" s="423">
        <f t="shared" ca="1" si="47"/>
        <v>0</v>
      </c>
      <c r="W106" s="423">
        <f t="shared" ca="1" si="47"/>
        <v>0</v>
      </c>
      <c r="X106" s="423">
        <f t="shared" ca="1" si="47"/>
        <v>0</v>
      </c>
      <c r="Y106" s="423">
        <f t="shared" ca="1" si="47"/>
        <v>0</v>
      </c>
      <c r="Z106" s="423">
        <f t="shared" ca="1" si="47"/>
        <v>0</v>
      </c>
      <c r="AA106" s="423">
        <f t="shared" ca="1" si="47"/>
        <v>0</v>
      </c>
      <c r="AB106" s="423">
        <f t="shared" ca="1" si="47"/>
        <v>0</v>
      </c>
      <c r="AC106" s="423">
        <f t="shared" ca="1" si="47"/>
        <v>0</v>
      </c>
      <c r="AD106" s="423">
        <f t="shared" ca="1" si="47"/>
        <v>0</v>
      </c>
      <c r="AE106" s="423">
        <f t="shared" ca="1" si="47"/>
        <v>0</v>
      </c>
      <c r="AF106" s="423">
        <f t="shared" ca="1" si="47"/>
        <v>0</v>
      </c>
      <c r="AG106" s="423">
        <f t="shared" ca="1" si="47"/>
        <v>0</v>
      </c>
    </row>
    <row r="107" spans="1:33" ht="15.75" customHeight="1" outlineLevel="2">
      <c r="A107" s="861"/>
      <c r="B107" s="735"/>
      <c r="C107" s="421" t="s">
        <v>528</v>
      </c>
      <c r="D107" s="422" t="str">
        <f>Currency_Label</f>
        <v>USD</v>
      </c>
      <c r="E107" s="514">
        <f>Inputs!$H$170</f>
        <v>8.7500000000000008E-3</v>
      </c>
      <c r="F107" s="422" t="s">
        <v>526</v>
      </c>
      <c r="G107" s="737"/>
      <c r="H107" s="737"/>
      <c r="I107" s="236">
        <f ca="1">SUM(J107:AG107)</f>
        <v>0</v>
      </c>
      <c r="J107" s="423">
        <f t="shared" ref="J107:AG107" si="48">$E107*J97*J93*J94</f>
        <v>0</v>
      </c>
      <c r="K107" s="423">
        <f t="shared" ca="1" si="48"/>
        <v>0</v>
      </c>
      <c r="L107" s="423">
        <f t="shared" ca="1" si="48"/>
        <v>0</v>
      </c>
      <c r="M107" s="423">
        <f t="shared" ca="1" si="48"/>
        <v>0</v>
      </c>
      <c r="N107" s="423">
        <f t="shared" ca="1" si="48"/>
        <v>0</v>
      </c>
      <c r="O107" s="423">
        <f t="shared" ca="1" si="48"/>
        <v>0</v>
      </c>
      <c r="P107" s="423">
        <f t="shared" ca="1" si="48"/>
        <v>0</v>
      </c>
      <c r="Q107" s="423">
        <f t="shared" ca="1" si="48"/>
        <v>0</v>
      </c>
      <c r="R107" s="423">
        <f t="shared" ca="1" si="48"/>
        <v>0</v>
      </c>
      <c r="S107" s="423">
        <f t="shared" ca="1" si="48"/>
        <v>0</v>
      </c>
      <c r="T107" s="423">
        <f t="shared" ca="1" si="48"/>
        <v>0</v>
      </c>
      <c r="U107" s="423">
        <f t="shared" ca="1" si="48"/>
        <v>0</v>
      </c>
      <c r="V107" s="423">
        <f t="shared" ca="1" si="48"/>
        <v>0</v>
      </c>
      <c r="W107" s="423">
        <f t="shared" ca="1" si="48"/>
        <v>0</v>
      </c>
      <c r="X107" s="423">
        <f t="shared" ca="1" si="48"/>
        <v>0</v>
      </c>
      <c r="Y107" s="423">
        <f t="shared" ca="1" si="48"/>
        <v>0</v>
      </c>
      <c r="Z107" s="423">
        <f t="shared" ca="1" si="48"/>
        <v>0</v>
      </c>
      <c r="AA107" s="423">
        <f t="shared" ca="1" si="48"/>
        <v>0</v>
      </c>
      <c r="AB107" s="423">
        <f t="shared" ca="1" si="48"/>
        <v>0</v>
      </c>
      <c r="AC107" s="423">
        <f t="shared" ca="1" si="48"/>
        <v>0</v>
      </c>
      <c r="AD107" s="423">
        <f t="shared" ca="1" si="48"/>
        <v>0</v>
      </c>
      <c r="AE107" s="423">
        <f t="shared" ca="1" si="48"/>
        <v>0</v>
      </c>
      <c r="AF107" s="423">
        <f t="shared" ca="1" si="48"/>
        <v>0</v>
      </c>
      <c r="AG107" s="423">
        <f t="shared" ca="1" si="48"/>
        <v>0</v>
      </c>
    </row>
    <row r="108" spans="1:33" ht="15.75" customHeight="1" outlineLevel="2">
      <c r="A108" s="861"/>
      <c r="B108" s="735"/>
      <c r="C108" s="181" t="s">
        <v>529</v>
      </c>
      <c r="D108" s="422" t="str">
        <f>Currency_Label</f>
        <v>USD</v>
      </c>
      <c r="E108" s="737"/>
      <c r="F108" s="737"/>
      <c r="G108" s="737"/>
      <c r="H108" s="737"/>
      <c r="I108" s="236">
        <f ca="1">SUM(J108:AG108)</f>
        <v>0</v>
      </c>
      <c r="J108" s="515">
        <f t="shared" ref="J108:AG108" si="49">SUM(J106:J107)</f>
        <v>0</v>
      </c>
      <c r="K108" s="515">
        <f t="shared" ca="1" si="49"/>
        <v>0</v>
      </c>
      <c r="L108" s="515">
        <f t="shared" ca="1" si="49"/>
        <v>0</v>
      </c>
      <c r="M108" s="515">
        <f t="shared" ca="1" si="49"/>
        <v>0</v>
      </c>
      <c r="N108" s="515">
        <f t="shared" ca="1" si="49"/>
        <v>0</v>
      </c>
      <c r="O108" s="515">
        <f t="shared" ca="1" si="49"/>
        <v>0</v>
      </c>
      <c r="P108" s="515">
        <f t="shared" ca="1" si="49"/>
        <v>0</v>
      </c>
      <c r="Q108" s="515">
        <f t="shared" ca="1" si="49"/>
        <v>0</v>
      </c>
      <c r="R108" s="515">
        <f t="shared" ca="1" si="49"/>
        <v>0</v>
      </c>
      <c r="S108" s="515">
        <f t="shared" ca="1" si="49"/>
        <v>0</v>
      </c>
      <c r="T108" s="515">
        <f t="shared" ca="1" si="49"/>
        <v>0</v>
      </c>
      <c r="U108" s="515">
        <f t="shared" ca="1" si="49"/>
        <v>0</v>
      </c>
      <c r="V108" s="515">
        <f t="shared" ca="1" si="49"/>
        <v>0</v>
      </c>
      <c r="W108" s="515">
        <f t="shared" ca="1" si="49"/>
        <v>0</v>
      </c>
      <c r="X108" s="515">
        <f t="shared" ca="1" si="49"/>
        <v>0</v>
      </c>
      <c r="Y108" s="515">
        <f t="shared" ca="1" si="49"/>
        <v>0</v>
      </c>
      <c r="Z108" s="515">
        <f t="shared" ca="1" si="49"/>
        <v>0</v>
      </c>
      <c r="AA108" s="515">
        <f t="shared" ca="1" si="49"/>
        <v>0</v>
      </c>
      <c r="AB108" s="515">
        <f t="shared" ca="1" si="49"/>
        <v>0</v>
      </c>
      <c r="AC108" s="515">
        <f t="shared" ca="1" si="49"/>
        <v>0</v>
      </c>
      <c r="AD108" s="515">
        <f t="shared" ca="1" si="49"/>
        <v>0</v>
      </c>
      <c r="AE108" s="515">
        <f t="shared" ca="1" si="49"/>
        <v>0</v>
      </c>
      <c r="AF108" s="515">
        <f t="shared" ca="1" si="49"/>
        <v>0</v>
      </c>
      <c r="AG108" s="515">
        <f t="shared" ca="1" si="49"/>
        <v>0</v>
      </c>
    </row>
    <row r="109" spans="1:33" ht="15.75" customHeight="1" outlineLevel="2">
      <c r="A109" s="861"/>
      <c r="B109" s="735"/>
      <c r="C109" s="786" t="s">
        <v>525</v>
      </c>
      <c r="D109" s="735"/>
      <c r="E109" s="735"/>
      <c r="F109" s="735"/>
      <c r="G109" s="735"/>
      <c r="H109" s="735"/>
      <c r="I109" s="735"/>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row>
    <row r="110" spans="1:33" ht="15.75" customHeight="1" outlineLevel="2">
      <c r="A110" s="861"/>
      <c r="B110" s="735"/>
      <c r="C110" s="421" t="s">
        <v>530</v>
      </c>
      <c r="D110" s="422" t="str">
        <f>Currency_Label</f>
        <v>USD</v>
      </c>
      <c r="E110" s="737"/>
      <c r="F110" s="737"/>
      <c r="G110" s="737"/>
      <c r="H110" s="737"/>
      <c r="I110" s="236">
        <f ca="1">SUM(J110:AG110)</f>
        <v>0</v>
      </c>
      <c r="J110" s="423">
        <f t="shared" ref="J110:AG110" si="50">IF(J$95=0,0,J97*$E$111/(1-(1+$E$111)^-J95))</f>
        <v>0</v>
      </c>
      <c r="K110" s="423">
        <f t="shared" si="50"/>
        <v>0</v>
      </c>
      <c r="L110" s="423">
        <f t="shared" si="50"/>
        <v>0</v>
      </c>
      <c r="M110" s="423">
        <f t="shared" si="50"/>
        <v>0</v>
      </c>
      <c r="N110" s="423">
        <f t="shared" si="50"/>
        <v>0</v>
      </c>
      <c r="O110" s="423">
        <f t="shared" si="50"/>
        <v>0</v>
      </c>
      <c r="P110" s="423">
        <f t="shared" si="50"/>
        <v>0</v>
      </c>
      <c r="Q110" s="423">
        <f t="shared" si="50"/>
        <v>0</v>
      </c>
      <c r="R110" s="423">
        <f t="shared" ca="1" si="50"/>
        <v>0</v>
      </c>
      <c r="S110" s="423">
        <f t="shared" si="50"/>
        <v>0</v>
      </c>
      <c r="T110" s="423">
        <f t="shared" si="50"/>
        <v>0</v>
      </c>
      <c r="U110" s="423">
        <f t="shared" ca="1" si="50"/>
        <v>0</v>
      </c>
      <c r="V110" s="423">
        <f t="shared" si="50"/>
        <v>0</v>
      </c>
      <c r="W110" s="423">
        <f t="shared" si="50"/>
        <v>0</v>
      </c>
      <c r="X110" s="423">
        <f t="shared" ca="1" si="50"/>
        <v>0</v>
      </c>
      <c r="Y110" s="423">
        <f t="shared" si="50"/>
        <v>0</v>
      </c>
      <c r="Z110" s="423">
        <f t="shared" si="50"/>
        <v>0</v>
      </c>
      <c r="AA110" s="423">
        <f t="shared" ca="1" si="50"/>
        <v>0</v>
      </c>
      <c r="AB110" s="423">
        <f t="shared" si="50"/>
        <v>0</v>
      </c>
      <c r="AC110" s="423">
        <f t="shared" si="50"/>
        <v>0</v>
      </c>
      <c r="AD110" s="423">
        <f t="shared" ca="1" si="50"/>
        <v>0</v>
      </c>
      <c r="AE110" s="423">
        <f t="shared" si="50"/>
        <v>0</v>
      </c>
      <c r="AF110" s="423">
        <f t="shared" si="50"/>
        <v>0</v>
      </c>
      <c r="AG110" s="423">
        <f t="shared" si="50"/>
        <v>0</v>
      </c>
    </row>
    <row r="111" spans="1:33" ht="15.75" customHeight="1" outlineLevel="2">
      <c r="A111" s="861"/>
      <c r="B111" s="735"/>
      <c r="C111" s="421" t="s">
        <v>486</v>
      </c>
      <c r="D111" s="422" t="str">
        <f>Currency_Label</f>
        <v>USD</v>
      </c>
      <c r="E111" s="514">
        <f>IF(Inputs!$H$170=0,VerySmallNumber,Inputs!$H$170)</f>
        <v>8.7500000000000008E-3</v>
      </c>
      <c r="F111" s="422" t="s">
        <v>526</v>
      </c>
      <c r="G111" s="737"/>
      <c r="H111" s="737"/>
      <c r="I111" s="236">
        <f ca="1">SUM(J111:AG111)</f>
        <v>0</v>
      </c>
      <c r="J111" s="423">
        <f t="shared" ref="J111:AG111" si="51">J107</f>
        <v>0</v>
      </c>
      <c r="K111" s="423">
        <f t="shared" ca="1" si="51"/>
        <v>0</v>
      </c>
      <c r="L111" s="423">
        <f t="shared" ca="1" si="51"/>
        <v>0</v>
      </c>
      <c r="M111" s="423">
        <f t="shared" ca="1" si="51"/>
        <v>0</v>
      </c>
      <c r="N111" s="423">
        <f t="shared" ca="1" si="51"/>
        <v>0</v>
      </c>
      <c r="O111" s="423">
        <f t="shared" ca="1" si="51"/>
        <v>0</v>
      </c>
      <c r="P111" s="423">
        <f t="shared" ca="1" si="51"/>
        <v>0</v>
      </c>
      <c r="Q111" s="423">
        <f t="shared" ca="1" si="51"/>
        <v>0</v>
      </c>
      <c r="R111" s="423">
        <f t="shared" ca="1" si="51"/>
        <v>0</v>
      </c>
      <c r="S111" s="423">
        <f t="shared" ca="1" si="51"/>
        <v>0</v>
      </c>
      <c r="T111" s="423">
        <f t="shared" ca="1" si="51"/>
        <v>0</v>
      </c>
      <c r="U111" s="423">
        <f t="shared" ca="1" si="51"/>
        <v>0</v>
      </c>
      <c r="V111" s="423">
        <f t="shared" ca="1" si="51"/>
        <v>0</v>
      </c>
      <c r="W111" s="423">
        <f t="shared" ca="1" si="51"/>
        <v>0</v>
      </c>
      <c r="X111" s="423">
        <f t="shared" ca="1" si="51"/>
        <v>0</v>
      </c>
      <c r="Y111" s="423">
        <f t="shared" ca="1" si="51"/>
        <v>0</v>
      </c>
      <c r="Z111" s="423">
        <f t="shared" ca="1" si="51"/>
        <v>0</v>
      </c>
      <c r="AA111" s="423">
        <f t="shared" ca="1" si="51"/>
        <v>0</v>
      </c>
      <c r="AB111" s="423">
        <f t="shared" ca="1" si="51"/>
        <v>0</v>
      </c>
      <c r="AC111" s="423">
        <f t="shared" ca="1" si="51"/>
        <v>0</v>
      </c>
      <c r="AD111" s="423">
        <f t="shared" ca="1" si="51"/>
        <v>0</v>
      </c>
      <c r="AE111" s="423">
        <f t="shared" ca="1" si="51"/>
        <v>0</v>
      </c>
      <c r="AF111" s="423">
        <f t="shared" ca="1" si="51"/>
        <v>0</v>
      </c>
      <c r="AG111" s="423">
        <f t="shared" ca="1" si="51"/>
        <v>0</v>
      </c>
    </row>
    <row r="112" spans="1:33" ht="15.75" customHeight="1" outlineLevel="2">
      <c r="A112" s="861"/>
      <c r="B112" s="735"/>
      <c r="C112" s="421" t="s">
        <v>525</v>
      </c>
      <c r="D112" s="422" t="str">
        <f>Currency_Label</f>
        <v>USD</v>
      </c>
      <c r="E112" s="737"/>
      <c r="F112" s="737"/>
      <c r="G112" s="737"/>
      <c r="H112" s="737"/>
      <c r="I112" s="236">
        <f ca="1">SUM(J112:AG112)</f>
        <v>0</v>
      </c>
      <c r="J112" s="515">
        <f t="shared" ref="J112:AG112" si="52">J110-J111</f>
        <v>0</v>
      </c>
      <c r="K112" s="515">
        <f t="shared" ca="1" si="52"/>
        <v>0</v>
      </c>
      <c r="L112" s="515">
        <f t="shared" ca="1" si="52"/>
        <v>0</v>
      </c>
      <c r="M112" s="515">
        <f t="shared" ca="1" si="52"/>
        <v>0</v>
      </c>
      <c r="N112" s="515">
        <f t="shared" ca="1" si="52"/>
        <v>0</v>
      </c>
      <c r="O112" s="515">
        <f t="shared" ca="1" si="52"/>
        <v>0</v>
      </c>
      <c r="P112" s="515">
        <f t="shared" ca="1" si="52"/>
        <v>0</v>
      </c>
      <c r="Q112" s="515">
        <f t="shared" ca="1" si="52"/>
        <v>0</v>
      </c>
      <c r="R112" s="515">
        <f t="shared" ca="1" si="52"/>
        <v>0</v>
      </c>
      <c r="S112" s="515">
        <f t="shared" ca="1" si="52"/>
        <v>0</v>
      </c>
      <c r="T112" s="515">
        <f t="shared" ca="1" si="52"/>
        <v>0</v>
      </c>
      <c r="U112" s="515">
        <f t="shared" ca="1" si="52"/>
        <v>0</v>
      </c>
      <c r="V112" s="515">
        <f t="shared" ca="1" si="52"/>
        <v>0</v>
      </c>
      <c r="W112" s="515">
        <f t="shared" ca="1" si="52"/>
        <v>0</v>
      </c>
      <c r="X112" s="515">
        <f t="shared" ca="1" si="52"/>
        <v>0</v>
      </c>
      <c r="Y112" s="515">
        <f t="shared" ca="1" si="52"/>
        <v>0</v>
      </c>
      <c r="Z112" s="515">
        <f t="shared" ca="1" si="52"/>
        <v>0</v>
      </c>
      <c r="AA112" s="515">
        <f t="shared" ca="1" si="52"/>
        <v>0</v>
      </c>
      <c r="AB112" s="515">
        <f t="shared" ca="1" si="52"/>
        <v>0</v>
      </c>
      <c r="AC112" s="515">
        <f t="shared" ca="1" si="52"/>
        <v>0</v>
      </c>
      <c r="AD112" s="515">
        <f t="shared" ca="1" si="52"/>
        <v>0</v>
      </c>
      <c r="AE112" s="515">
        <f t="shared" ca="1" si="52"/>
        <v>0</v>
      </c>
      <c r="AF112" s="515">
        <f t="shared" ca="1" si="52"/>
        <v>0</v>
      </c>
      <c r="AG112" s="515">
        <f t="shared" ca="1" si="52"/>
        <v>0</v>
      </c>
    </row>
    <row r="113" spans="1:33" ht="15.75" customHeight="1" outlineLevel="2">
      <c r="A113" s="861"/>
      <c r="B113" s="735"/>
      <c r="C113" s="735"/>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5"/>
      <c r="AA113" s="735"/>
      <c r="AB113" s="735"/>
      <c r="AC113" s="735"/>
      <c r="AD113" s="735"/>
      <c r="AE113" s="735"/>
      <c r="AF113" s="735"/>
      <c r="AG113" s="735"/>
    </row>
    <row r="114" spans="1:33" ht="21" customHeight="1" outlineLevel="1">
      <c r="A114" s="861"/>
      <c r="B114" s="409" t="s">
        <v>35</v>
      </c>
      <c r="C114" s="409" t="str">
        <f>"Debt 2: "&amp;Inputs!$F$176</f>
        <v>Debt 2: URB Bank</v>
      </c>
      <c r="D114" s="708"/>
      <c r="E114" s="735"/>
      <c r="F114" s="735"/>
      <c r="G114" s="735"/>
      <c r="H114" s="735"/>
      <c r="I114" s="735"/>
      <c r="J114" s="735"/>
      <c r="K114" s="735"/>
      <c r="L114" s="735"/>
      <c r="M114" s="735"/>
      <c r="N114" s="735"/>
      <c r="O114" s="735"/>
      <c r="P114" s="735"/>
      <c r="Q114" s="735"/>
      <c r="R114" s="735"/>
      <c r="S114" s="735"/>
      <c r="T114" s="735"/>
      <c r="U114" s="735"/>
      <c r="V114" s="735"/>
      <c r="W114" s="735"/>
      <c r="X114" s="735"/>
      <c r="Y114" s="735"/>
      <c r="Z114" s="735"/>
      <c r="AA114" s="735"/>
      <c r="AB114" s="735"/>
      <c r="AC114" s="735"/>
      <c r="AD114" s="735"/>
      <c r="AE114" s="735"/>
      <c r="AF114" s="735"/>
      <c r="AG114" s="735"/>
    </row>
    <row r="115" spans="1:33" ht="15.75" customHeight="1" outlineLevel="2">
      <c r="A115" s="861"/>
      <c r="B115" s="735"/>
      <c r="C115" s="421" t="s">
        <v>140</v>
      </c>
      <c r="D115" s="422" t="str">
        <f t="shared" ref="D115:D122" si="53">Currency_Label</f>
        <v>USD</v>
      </c>
      <c r="E115" s="737"/>
      <c r="F115" s="737"/>
      <c r="G115" s="737"/>
      <c r="H115" s="737"/>
      <c r="I115" s="737"/>
      <c r="J115" s="423">
        <f t="shared" ref="J115:AG115" si="54">I118*J$6</f>
        <v>0</v>
      </c>
      <c r="K115" s="423">
        <f t="shared" si="54"/>
        <v>0</v>
      </c>
      <c r="L115" s="423">
        <f t="shared" si="54"/>
        <v>0</v>
      </c>
      <c r="M115" s="423">
        <f t="shared" si="54"/>
        <v>0</v>
      </c>
      <c r="N115" s="423">
        <f t="shared" si="54"/>
        <v>0</v>
      </c>
      <c r="O115" s="423">
        <f t="shared" si="54"/>
        <v>0</v>
      </c>
      <c r="P115" s="423">
        <f t="shared" si="54"/>
        <v>0</v>
      </c>
      <c r="Q115" s="423">
        <f t="shared" si="54"/>
        <v>0</v>
      </c>
      <c r="R115" s="423">
        <f t="shared" si="54"/>
        <v>0</v>
      </c>
      <c r="S115" s="423">
        <f t="shared" si="54"/>
        <v>0</v>
      </c>
      <c r="T115" s="423">
        <f t="shared" si="54"/>
        <v>70000</v>
      </c>
      <c r="U115" s="423">
        <f t="shared" si="54"/>
        <v>70000</v>
      </c>
      <c r="V115" s="423">
        <f t="shared" si="54"/>
        <v>70000</v>
      </c>
      <c r="W115" s="423">
        <f t="shared" si="54"/>
        <v>70000</v>
      </c>
      <c r="X115" s="423">
        <f t="shared" si="54"/>
        <v>70000</v>
      </c>
      <c r="Y115" s="423">
        <f t="shared" si="54"/>
        <v>70000</v>
      </c>
      <c r="Z115" s="423">
        <f t="shared" si="54"/>
        <v>70000</v>
      </c>
      <c r="AA115" s="423">
        <f t="shared" si="54"/>
        <v>70000</v>
      </c>
      <c r="AB115" s="423">
        <f t="shared" si="54"/>
        <v>70000</v>
      </c>
      <c r="AC115" s="423">
        <f t="shared" si="54"/>
        <v>70000</v>
      </c>
      <c r="AD115" s="423">
        <f t="shared" si="54"/>
        <v>60000</v>
      </c>
      <c r="AE115" s="423">
        <f t="shared" si="54"/>
        <v>60000</v>
      </c>
      <c r="AF115" s="423">
        <f t="shared" si="54"/>
        <v>0</v>
      </c>
      <c r="AG115" s="423">
        <f t="shared" si="54"/>
        <v>0</v>
      </c>
    </row>
    <row r="116" spans="1:33" ht="15.75" customHeight="1" outlineLevel="2">
      <c r="A116" s="861"/>
      <c r="B116" s="735"/>
      <c r="C116" s="421" t="s">
        <v>524</v>
      </c>
      <c r="D116" s="422" t="str">
        <f t="shared" si="53"/>
        <v>USD</v>
      </c>
      <c r="E116" s="737"/>
      <c r="F116" s="737"/>
      <c r="G116" s="737"/>
      <c r="H116" s="737"/>
      <c r="I116" s="236">
        <f>SUM(J116:AG116)</f>
        <v>70000</v>
      </c>
      <c r="J116" s="423">
        <f t="shared" ref="J116:AG116" si="55">J49*J$6</f>
        <v>0</v>
      </c>
      <c r="K116" s="423">
        <f t="shared" si="55"/>
        <v>0</v>
      </c>
      <c r="L116" s="423">
        <f t="shared" si="55"/>
        <v>0</v>
      </c>
      <c r="M116" s="423">
        <f t="shared" si="55"/>
        <v>0</v>
      </c>
      <c r="N116" s="423">
        <f t="shared" si="55"/>
        <v>0</v>
      </c>
      <c r="O116" s="423">
        <f t="shared" si="55"/>
        <v>0</v>
      </c>
      <c r="P116" s="423">
        <f t="shared" si="55"/>
        <v>0</v>
      </c>
      <c r="Q116" s="423">
        <f t="shared" si="55"/>
        <v>0</v>
      </c>
      <c r="R116" s="423">
        <f t="shared" si="55"/>
        <v>0</v>
      </c>
      <c r="S116" s="423">
        <f t="shared" si="55"/>
        <v>70000</v>
      </c>
      <c r="T116" s="423">
        <f t="shared" si="55"/>
        <v>0</v>
      </c>
      <c r="U116" s="423">
        <f t="shared" si="55"/>
        <v>0</v>
      </c>
      <c r="V116" s="423">
        <f t="shared" si="55"/>
        <v>0</v>
      </c>
      <c r="W116" s="423">
        <f t="shared" si="55"/>
        <v>0</v>
      </c>
      <c r="X116" s="423">
        <f t="shared" si="55"/>
        <v>0</v>
      </c>
      <c r="Y116" s="423">
        <f t="shared" si="55"/>
        <v>0</v>
      </c>
      <c r="Z116" s="423">
        <f t="shared" si="55"/>
        <v>0</v>
      </c>
      <c r="AA116" s="423">
        <f t="shared" si="55"/>
        <v>0</v>
      </c>
      <c r="AB116" s="423">
        <f t="shared" si="55"/>
        <v>0</v>
      </c>
      <c r="AC116" s="423">
        <f t="shared" si="55"/>
        <v>0</v>
      </c>
      <c r="AD116" s="423">
        <f t="shared" si="55"/>
        <v>0</v>
      </c>
      <c r="AE116" s="423">
        <f t="shared" si="55"/>
        <v>0</v>
      </c>
      <c r="AF116" s="423">
        <f t="shared" si="55"/>
        <v>0</v>
      </c>
      <c r="AG116" s="423">
        <f t="shared" si="55"/>
        <v>0</v>
      </c>
    </row>
    <row r="117" spans="1:33" ht="15.75" customHeight="1" outlineLevel="2">
      <c r="A117" s="861"/>
      <c r="B117" s="735"/>
      <c r="C117" s="421" t="s">
        <v>525</v>
      </c>
      <c r="D117" s="422" t="str">
        <f t="shared" si="53"/>
        <v>USD</v>
      </c>
      <c r="E117" s="737"/>
      <c r="F117" s="737"/>
      <c r="G117" s="737"/>
      <c r="H117" s="737"/>
      <c r="I117" s="236">
        <f>SUM(J117:AG117)</f>
        <v>-10000</v>
      </c>
      <c r="J117" s="423">
        <f t="shared" ref="J117:AG117" si="56">J50*J$6</f>
        <v>0</v>
      </c>
      <c r="K117" s="423">
        <f t="shared" si="56"/>
        <v>0</v>
      </c>
      <c r="L117" s="423">
        <f t="shared" si="56"/>
        <v>0</v>
      </c>
      <c r="M117" s="423">
        <f t="shared" si="56"/>
        <v>0</v>
      </c>
      <c r="N117" s="423">
        <f t="shared" si="56"/>
        <v>0</v>
      </c>
      <c r="O117" s="423">
        <f t="shared" si="56"/>
        <v>0</v>
      </c>
      <c r="P117" s="423">
        <f t="shared" si="56"/>
        <v>0</v>
      </c>
      <c r="Q117" s="423">
        <f t="shared" si="56"/>
        <v>0</v>
      </c>
      <c r="R117" s="423">
        <f t="shared" si="56"/>
        <v>0</v>
      </c>
      <c r="S117" s="423">
        <f t="shared" si="56"/>
        <v>0</v>
      </c>
      <c r="T117" s="423">
        <f t="shared" si="56"/>
        <v>0</v>
      </c>
      <c r="U117" s="423">
        <f t="shared" si="56"/>
        <v>0</v>
      </c>
      <c r="V117" s="423">
        <f t="shared" si="56"/>
        <v>0</v>
      </c>
      <c r="W117" s="423">
        <f t="shared" si="56"/>
        <v>0</v>
      </c>
      <c r="X117" s="423">
        <f t="shared" si="56"/>
        <v>0</v>
      </c>
      <c r="Y117" s="423">
        <f t="shared" si="56"/>
        <v>0</v>
      </c>
      <c r="Z117" s="423">
        <f t="shared" si="56"/>
        <v>0</v>
      </c>
      <c r="AA117" s="423">
        <f t="shared" si="56"/>
        <v>0</v>
      </c>
      <c r="AB117" s="423">
        <f t="shared" si="56"/>
        <v>0</v>
      </c>
      <c r="AC117" s="423">
        <f t="shared" si="56"/>
        <v>-10000</v>
      </c>
      <c r="AD117" s="423">
        <f t="shared" si="56"/>
        <v>0</v>
      </c>
      <c r="AE117" s="423">
        <f t="shared" si="56"/>
        <v>0</v>
      </c>
      <c r="AF117" s="423">
        <f t="shared" si="56"/>
        <v>0</v>
      </c>
      <c r="AG117" s="423">
        <f t="shared" si="56"/>
        <v>0</v>
      </c>
    </row>
    <row r="118" spans="1:33" ht="15.75" customHeight="1" outlineLevel="2" thickBot="1">
      <c r="A118" s="861"/>
      <c r="B118" s="735"/>
      <c r="C118" s="421" t="s">
        <v>141</v>
      </c>
      <c r="D118" s="422" t="str">
        <f t="shared" si="53"/>
        <v>USD</v>
      </c>
      <c r="E118" s="794" t="s">
        <v>406</v>
      </c>
      <c r="F118" s="794" t="s">
        <v>407</v>
      </c>
      <c r="G118" s="737"/>
      <c r="H118" s="737"/>
      <c r="I118" s="795"/>
      <c r="J118" s="509">
        <f t="shared" ref="J118:AG118" si="57">IF(ABS(SUM(J115:J117))&lt;0.001,0,SUM(J115:J117))*J$6</f>
        <v>0</v>
      </c>
      <c r="K118" s="509">
        <f t="shared" si="57"/>
        <v>0</v>
      </c>
      <c r="L118" s="509">
        <f t="shared" si="57"/>
        <v>0</v>
      </c>
      <c r="M118" s="509">
        <f t="shared" si="57"/>
        <v>0</v>
      </c>
      <c r="N118" s="509">
        <f t="shared" si="57"/>
        <v>0</v>
      </c>
      <c r="O118" s="509">
        <f t="shared" si="57"/>
        <v>0</v>
      </c>
      <c r="P118" s="509">
        <f t="shared" si="57"/>
        <v>0</v>
      </c>
      <c r="Q118" s="509">
        <f t="shared" si="57"/>
        <v>0</v>
      </c>
      <c r="R118" s="509">
        <f t="shared" si="57"/>
        <v>0</v>
      </c>
      <c r="S118" s="509">
        <f t="shared" si="57"/>
        <v>70000</v>
      </c>
      <c r="T118" s="509">
        <f t="shared" si="57"/>
        <v>70000</v>
      </c>
      <c r="U118" s="509">
        <f t="shared" si="57"/>
        <v>70000</v>
      </c>
      <c r="V118" s="509">
        <f t="shared" si="57"/>
        <v>70000</v>
      </c>
      <c r="W118" s="509">
        <f t="shared" si="57"/>
        <v>70000</v>
      </c>
      <c r="X118" s="509">
        <f t="shared" si="57"/>
        <v>70000</v>
      </c>
      <c r="Y118" s="509">
        <f t="shared" si="57"/>
        <v>70000</v>
      </c>
      <c r="Z118" s="509">
        <f t="shared" si="57"/>
        <v>70000</v>
      </c>
      <c r="AA118" s="509">
        <f t="shared" si="57"/>
        <v>70000</v>
      </c>
      <c r="AB118" s="509">
        <f t="shared" si="57"/>
        <v>70000</v>
      </c>
      <c r="AC118" s="509">
        <f t="shared" si="57"/>
        <v>60000</v>
      </c>
      <c r="AD118" s="509">
        <f t="shared" si="57"/>
        <v>60000</v>
      </c>
      <c r="AE118" s="509">
        <f t="shared" si="57"/>
        <v>60000</v>
      </c>
      <c r="AF118" s="509">
        <f t="shared" si="57"/>
        <v>0</v>
      </c>
      <c r="AG118" s="509">
        <f t="shared" si="57"/>
        <v>0</v>
      </c>
    </row>
    <row r="119" spans="1:33" ht="15.75" customHeight="1" outlineLevel="2" thickTop="1">
      <c r="A119" s="861"/>
      <c r="B119" s="796">
        <f>IF(B120=1,0,1)</f>
        <v>1</v>
      </c>
      <c r="C119" s="737" t="s">
        <v>531</v>
      </c>
      <c r="D119" s="422" t="str">
        <f t="shared" si="53"/>
        <v>USD</v>
      </c>
      <c r="E119" s="797">
        <f>Inputs!F178</f>
        <v>4.4999999999999998E-2</v>
      </c>
      <c r="F119" s="798">
        <f>E119/months_yr</f>
        <v>3.7499999999999999E-3</v>
      </c>
      <c r="G119" s="737"/>
      <c r="H119" s="737"/>
      <c r="I119" s="236">
        <f>SUM(J119:AG119)</f>
        <v>3075</v>
      </c>
      <c r="J119" s="423">
        <f t="shared" ref="J119:AG119" si="58">$F119*J115</f>
        <v>0</v>
      </c>
      <c r="K119" s="423">
        <f t="shared" si="58"/>
        <v>0</v>
      </c>
      <c r="L119" s="423">
        <f t="shared" si="58"/>
        <v>0</v>
      </c>
      <c r="M119" s="423">
        <f t="shared" si="58"/>
        <v>0</v>
      </c>
      <c r="N119" s="423">
        <f t="shared" si="58"/>
        <v>0</v>
      </c>
      <c r="O119" s="423">
        <f t="shared" si="58"/>
        <v>0</v>
      </c>
      <c r="P119" s="423">
        <f t="shared" si="58"/>
        <v>0</v>
      </c>
      <c r="Q119" s="423">
        <f t="shared" si="58"/>
        <v>0</v>
      </c>
      <c r="R119" s="423">
        <f t="shared" si="58"/>
        <v>0</v>
      </c>
      <c r="S119" s="423">
        <f t="shared" si="58"/>
        <v>0</v>
      </c>
      <c r="T119" s="423">
        <f t="shared" si="58"/>
        <v>262.5</v>
      </c>
      <c r="U119" s="423">
        <f t="shared" si="58"/>
        <v>262.5</v>
      </c>
      <c r="V119" s="423">
        <f t="shared" si="58"/>
        <v>262.5</v>
      </c>
      <c r="W119" s="423">
        <f t="shared" si="58"/>
        <v>262.5</v>
      </c>
      <c r="X119" s="423">
        <f t="shared" si="58"/>
        <v>262.5</v>
      </c>
      <c r="Y119" s="423">
        <f t="shared" si="58"/>
        <v>262.5</v>
      </c>
      <c r="Z119" s="423">
        <f t="shared" si="58"/>
        <v>262.5</v>
      </c>
      <c r="AA119" s="423">
        <f t="shared" si="58"/>
        <v>262.5</v>
      </c>
      <c r="AB119" s="423">
        <f t="shared" si="58"/>
        <v>262.5</v>
      </c>
      <c r="AC119" s="423">
        <f t="shared" si="58"/>
        <v>262.5</v>
      </c>
      <c r="AD119" s="423">
        <f t="shared" si="58"/>
        <v>225</v>
      </c>
      <c r="AE119" s="423">
        <f t="shared" si="58"/>
        <v>225</v>
      </c>
      <c r="AF119" s="423">
        <f t="shared" si="58"/>
        <v>0</v>
      </c>
      <c r="AG119" s="423">
        <f t="shared" si="58"/>
        <v>0</v>
      </c>
    </row>
    <row r="120" spans="1:33" ht="15.75" customHeight="1" outlineLevel="2">
      <c r="A120" s="861"/>
      <c r="B120" s="796">
        <f>Inputs!F177</f>
        <v>0</v>
      </c>
      <c r="C120" s="737" t="s">
        <v>532</v>
      </c>
      <c r="D120" s="422" t="str">
        <f t="shared" si="53"/>
        <v>USD</v>
      </c>
      <c r="E120" s="737"/>
      <c r="F120" s="737"/>
      <c r="G120" s="737"/>
      <c r="H120" s="737"/>
      <c r="I120" s="236">
        <f>SUM(J120:AG120)</f>
        <v>0</v>
      </c>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row>
    <row r="121" spans="1:33" ht="15.75" customHeight="1" outlineLevel="2">
      <c r="A121" s="861"/>
      <c r="B121" s="735"/>
      <c r="C121" s="737" t="s">
        <v>533</v>
      </c>
      <c r="D121" s="422" t="str">
        <f t="shared" si="53"/>
        <v>USD</v>
      </c>
      <c r="E121" s="737"/>
      <c r="F121" s="737"/>
      <c r="G121" s="737"/>
      <c r="H121" s="737"/>
      <c r="I121" s="236">
        <f>SUM(J121:AG121)</f>
        <v>3075</v>
      </c>
      <c r="J121" s="515">
        <f t="shared" ref="J121:AG121" si="59">SUMPRODUCT(($B119:$B120)*(J119:J120))*J$6</f>
        <v>0</v>
      </c>
      <c r="K121" s="515">
        <f t="shared" si="59"/>
        <v>0</v>
      </c>
      <c r="L121" s="515">
        <f t="shared" si="59"/>
        <v>0</v>
      </c>
      <c r="M121" s="515">
        <f t="shared" si="59"/>
        <v>0</v>
      </c>
      <c r="N121" s="515">
        <f t="shared" si="59"/>
        <v>0</v>
      </c>
      <c r="O121" s="515">
        <f t="shared" si="59"/>
        <v>0</v>
      </c>
      <c r="P121" s="515">
        <f t="shared" si="59"/>
        <v>0</v>
      </c>
      <c r="Q121" s="515">
        <f t="shared" si="59"/>
        <v>0</v>
      </c>
      <c r="R121" s="515">
        <f t="shared" si="59"/>
        <v>0</v>
      </c>
      <c r="S121" s="515">
        <f t="shared" si="59"/>
        <v>0</v>
      </c>
      <c r="T121" s="515">
        <f t="shared" si="59"/>
        <v>262.5</v>
      </c>
      <c r="U121" s="515">
        <f t="shared" si="59"/>
        <v>262.5</v>
      </c>
      <c r="V121" s="515">
        <f t="shared" si="59"/>
        <v>262.5</v>
      </c>
      <c r="W121" s="515">
        <f t="shared" si="59"/>
        <v>262.5</v>
      </c>
      <c r="X121" s="515">
        <f t="shared" si="59"/>
        <v>262.5</v>
      </c>
      <c r="Y121" s="515">
        <f t="shared" si="59"/>
        <v>262.5</v>
      </c>
      <c r="Z121" s="515">
        <f t="shared" si="59"/>
        <v>262.5</v>
      </c>
      <c r="AA121" s="515">
        <f t="shared" si="59"/>
        <v>262.5</v>
      </c>
      <c r="AB121" s="515">
        <f t="shared" si="59"/>
        <v>262.5</v>
      </c>
      <c r="AC121" s="515">
        <f t="shared" si="59"/>
        <v>262.5</v>
      </c>
      <c r="AD121" s="515">
        <f t="shared" si="59"/>
        <v>225</v>
      </c>
      <c r="AE121" s="515">
        <f t="shared" si="59"/>
        <v>225</v>
      </c>
      <c r="AF121" s="515">
        <f t="shared" si="59"/>
        <v>0</v>
      </c>
      <c r="AG121" s="515">
        <f t="shared" si="59"/>
        <v>0</v>
      </c>
    </row>
    <row r="122" spans="1:33" s="199" customFormat="1" ht="15.75" customHeight="1" outlineLevel="2">
      <c r="A122" s="861"/>
      <c r="B122" s="497"/>
      <c r="C122" s="251" t="str">
        <f>"Financing Fees "&amp;C114</f>
        <v>Financing Fees Debt 2: URB Bank</v>
      </c>
      <c r="D122" s="422" t="str">
        <f t="shared" si="53"/>
        <v>USD</v>
      </c>
      <c r="E122" s="737"/>
      <c r="F122" s="737"/>
      <c r="G122" s="737"/>
      <c r="H122" s="737"/>
      <c r="I122" s="236">
        <f>SUMPRODUCT((J$6:AG$6),(J122:AG122))</f>
        <v>0</v>
      </c>
      <c r="J122" s="437"/>
      <c r="K122" s="437"/>
      <c r="L122" s="437"/>
      <c r="M122" s="437"/>
      <c r="N122" s="437"/>
      <c r="O122" s="437"/>
      <c r="P122" s="437"/>
      <c r="Q122" s="437"/>
      <c r="R122" s="437"/>
      <c r="S122" s="437"/>
      <c r="T122" s="437"/>
      <c r="U122" s="437"/>
      <c r="V122" s="437"/>
      <c r="W122" s="437"/>
      <c r="X122" s="437"/>
      <c r="Y122" s="437"/>
      <c r="Z122" s="437"/>
      <c r="AA122" s="437"/>
      <c r="AB122" s="437"/>
      <c r="AC122" s="437"/>
      <c r="AD122" s="437"/>
      <c r="AE122" s="437"/>
      <c r="AF122" s="437"/>
      <c r="AG122" s="437"/>
    </row>
    <row r="123" spans="1:33" ht="15.75" customHeight="1" outlineLevel="2">
      <c r="A123" s="861"/>
      <c r="B123" s="735"/>
      <c r="C123" s="735"/>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row>
    <row r="124" spans="1:33" ht="21" customHeight="1" outlineLevel="1">
      <c r="A124" s="861"/>
      <c r="B124" s="409" t="s">
        <v>37</v>
      </c>
      <c r="C124" s="409" t="str">
        <f>"Debt 3: "&amp;Inputs!$F$181</f>
        <v>Debt 3: FounderBank</v>
      </c>
      <c r="D124" s="708"/>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c r="AA124" s="735"/>
      <c r="AB124" s="735"/>
      <c r="AC124" s="735"/>
      <c r="AD124" s="735"/>
      <c r="AE124" s="735"/>
      <c r="AF124" s="735"/>
      <c r="AG124" s="735"/>
    </row>
    <row r="125" spans="1:33" ht="15.75" customHeight="1" outlineLevel="2">
      <c r="A125" s="861"/>
      <c r="B125" s="735"/>
      <c r="C125" s="421" t="s">
        <v>140</v>
      </c>
      <c r="D125" s="422" t="str">
        <f t="shared" ref="D125:D132" si="60">Currency_Label</f>
        <v>USD</v>
      </c>
      <c r="E125" s="737"/>
      <c r="F125" s="737"/>
      <c r="G125" s="737"/>
      <c r="H125" s="737"/>
      <c r="I125" s="737"/>
      <c r="J125" s="423">
        <f t="shared" ref="J125:AG125" si="61">I128*J$6</f>
        <v>0</v>
      </c>
      <c r="K125" s="423">
        <f t="shared" si="61"/>
        <v>0</v>
      </c>
      <c r="L125" s="423">
        <f t="shared" si="61"/>
        <v>0</v>
      </c>
      <c r="M125" s="423">
        <f t="shared" si="61"/>
        <v>0</v>
      </c>
      <c r="N125" s="423">
        <f t="shared" si="61"/>
        <v>0</v>
      </c>
      <c r="O125" s="423">
        <f t="shared" si="61"/>
        <v>0</v>
      </c>
      <c r="P125" s="423">
        <f t="shared" si="61"/>
        <v>0</v>
      </c>
      <c r="Q125" s="423">
        <f t="shared" si="61"/>
        <v>0</v>
      </c>
      <c r="R125" s="423">
        <f t="shared" si="61"/>
        <v>110000</v>
      </c>
      <c r="S125" s="423">
        <f t="shared" si="61"/>
        <v>110000</v>
      </c>
      <c r="T125" s="423">
        <f t="shared" si="61"/>
        <v>110000</v>
      </c>
      <c r="U125" s="423">
        <f t="shared" si="61"/>
        <v>110000</v>
      </c>
      <c r="V125" s="423">
        <f t="shared" si="61"/>
        <v>109000</v>
      </c>
      <c r="W125" s="423">
        <f t="shared" si="61"/>
        <v>108000</v>
      </c>
      <c r="X125" s="423">
        <f t="shared" si="61"/>
        <v>107000</v>
      </c>
      <c r="Y125" s="423">
        <f t="shared" si="61"/>
        <v>106000</v>
      </c>
      <c r="Z125" s="423">
        <f t="shared" si="61"/>
        <v>105000</v>
      </c>
      <c r="AA125" s="423">
        <f t="shared" si="61"/>
        <v>104000</v>
      </c>
      <c r="AB125" s="423">
        <f t="shared" si="61"/>
        <v>103000</v>
      </c>
      <c r="AC125" s="423">
        <f t="shared" si="61"/>
        <v>102000</v>
      </c>
      <c r="AD125" s="423">
        <f t="shared" si="61"/>
        <v>101000</v>
      </c>
      <c r="AE125" s="423">
        <f t="shared" si="61"/>
        <v>100500</v>
      </c>
      <c r="AF125" s="423">
        <f t="shared" si="61"/>
        <v>0</v>
      </c>
      <c r="AG125" s="423">
        <f t="shared" si="61"/>
        <v>0</v>
      </c>
    </row>
    <row r="126" spans="1:33" ht="15.75" customHeight="1" outlineLevel="2">
      <c r="A126" s="861"/>
      <c r="B126" s="735"/>
      <c r="C126" s="421" t="s">
        <v>524</v>
      </c>
      <c r="D126" s="422" t="str">
        <f t="shared" si="60"/>
        <v>USD</v>
      </c>
      <c r="E126" s="737"/>
      <c r="F126" s="737"/>
      <c r="G126" s="737"/>
      <c r="H126" s="737"/>
      <c r="I126" s="236">
        <f>SUM(J126:AG126)</f>
        <v>110000</v>
      </c>
      <c r="J126" s="423">
        <f t="shared" ref="J126:AG126" si="62">J54*J$6</f>
        <v>0</v>
      </c>
      <c r="K126" s="423">
        <f t="shared" si="62"/>
        <v>0</v>
      </c>
      <c r="L126" s="423">
        <f t="shared" si="62"/>
        <v>0</v>
      </c>
      <c r="M126" s="423">
        <f t="shared" si="62"/>
        <v>0</v>
      </c>
      <c r="N126" s="423">
        <f t="shared" si="62"/>
        <v>0</v>
      </c>
      <c r="O126" s="423">
        <f t="shared" si="62"/>
        <v>0</v>
      </c>
      <c r="P126" s="423">
        <f t="shared" si="62"/>
        <v>0</v>
      </c>
      <c r="Q126" s="423">
        <f t="shared" si="62"/>
        <v>110000</v>
      </c>
      <c r="R126" s="423">
        <f t="shared" si="62"/>
        <v>0</v>
      </c>
      <c r="S126" s="423">
        <f t="shared" si="62"/>
        <v>0</v>
      </c>
      <c r="T126" s="423">
        <f t="shared" si="62"/>
        <v>0</v>
      </c>
      <c r="U126" s="423">
        <f t="shared" si="62"/>
        <v>0</v>
      </c>
      <c r="V126" s="423">
        <f t="shared" si="62"/>
        <v>0</v>
      </c>
      <c r="W126" s="423">
        <f t="shared" si="62"/>
        <v>0</v>
      </c>
      <c r="X126" s="423">
        <f t="shared" si="62"/>
        <v>0</v>
      </c>
      <c r="Y126" s="423">
        <f t="shared" si="62"/>
        <v>0</v>
      </c>
      <c r="Z126" s="423">
        <f t="shared" si="62"/>
        <v>0</v>
      </c>
      <c r="AA126" s="423">
        <f t="shared" si="62"/>
        <v>0</v>
      </c>
      <c r="AB126" s="423">
        <f t="shared" si="62"/>
        <v>0</v>
      </c>
      <c r="AC126" s="423">
        <f t="shared" si="62"/>
        <v>0</v>
      </c>
      <c r="AD126" s="423">
        <f t="shared" si="62"/>
        <v>0</v>
      </c>
      <c r="AE126" s="423">
        <f t="shared" si="62"/>
        <v>0</v>
      </c>
      <c r="AF126" s="423">
        <f t="shared" si="62"/>
        <v>0</v>
      </c>
      <c r="AG126" s="423">
        <f t="shared" si="62"/>
        <v>0</v>
      </c>
    </row>
    <row r="127" spans="1:33" ht="15.75" customHeight="1" outlineLevel="2">
      <c r="A127" s="861"/>
      <c r="B127" s="735"/>
      <c r="C127" s="421" t="s">
        <v>525</v>
      </c>
      <c r="D127" s="422" t="str">
        <f t="shared" si="60"/>
        <v>USD</v>
      </c>
      <c r="E127" s="737"/>
      <c r="F127" s="737"/>
      <c r="G127" s="737"/>
      <c r="H127" s="737"/>
      <c r="I127" s="236">
        <f>SUM(J127:AG127)</f>
        <v>-10000</v>
      </c>
      <c r="J127" s="423">
        <f t="shared" ref="J127:AG127" si="63">J55*J$6</f>
        <v>0</v>
      </c>
      <c r="K127" s="423">
        <f t="shared" si="63"/>
        <v>0</v>
      </c>
      <c r="L127" s="423">
        <f t="shared" si="63"/>
        <v>0</v>
      </c>
      <c r="M127" s="423">
        <f t="shared" si="63"/>
        <v>0</v>
      </c>
      <c r="N127" s="423">
        <f t="shared" si="63"/>
        <v>0</v>
      </c>
      <c r="O127" s="423">
        <f t="shared" si="63"/>
        <v>0</v>
      </c>
      <c r="P127" s="423">
        <f t="shared" si="63"/>
        <v>0</v>
      </c>
      <c r="Q127" s="423">
        <f t="shared" si="63"/>
        <v>0</v>
      </c>
      <c r="R127" s="423">
        <f t="shared" si="63"/>
        <v>0</v>
      </c>
      <c r="S127" s="423">
        <f t="shared" si="63"/>
        <v>0</v>
      </c>
      <c r="T127" s="423">
        <f t="shared" si="63"/>
        <v>0</v>
      </c>
      <c r="U127" s="423">
        <f t="shared" si="63"/>
        <v>-1000</v>
      </c>
      <c r="V127" s="423">
        <f t="shared" si="63"/>
        <v>-1000</v>
      </c>
      <c r="W127" s="423">
        <f t="shared" si="63"/>
        <v>-1000</v>
      </c>
      <c r="X127" s="423">
        <f t="shared" si="63"/>
        <v>-1000</v>
      </c>
      <c r="Y127" s="423">
        <f t="shared" si="63"/>
        <v>-1000</v>
      </c>
      <c r="Z127" s="423">
        <f t="shared" si="63"/>
        <v>-1000</v>
      </c>
      <c r="AA127" s="423">
        <f t="shared" si="63"/>
        <v>-1000</v>
      </c>
      <c r="AB127" s="423">
        <f t="shared" si="63"/>
        <v>-1000</v>
      </c>
      <c r="AC127" s="423">
        <f t="shared" si="63"/>
        <v>-1000</v>
      </c>
      <c r="AD127" s="423">
        <f t="shared" si="63"/>
        <v>-500</v>
      </c>
      <c r="AE127" s="423">
        <f t="shared" si="63"/>
        <v>-500</v>
      </c>
      <c r="AF127" s="423">
        <f t="shared" si="63"/>
        <v>0</v>
      </c>
      <c r="AG127" s="423">
        <f t="shared" si="63"/>
        <v>0</v>
      </c>
    </row>
    <row r="128" spans="1:33" ht="15.75" customHeight="1" outlineLevel="2" thickBot="1">
      <c r="A128" s="861"/>
      <c r="B128" s="735"/>
      <c r="C128" s="421" t="s">
        <v>141</v>
      </c>
      <c r="D128" s="422" t="str">
        <f t="shared" si="60"/>
        <v>USD</v>
      </c>
      <c r="E128" s="794" t="s">
        <v>406</v>
      </c>
      <c r="F128" s="794" t="s">
        <v>407</v>
      </c>
      <c r="G128" s="737"/>
      <c r="H128" s="737"/>
      <c r="I128" s="795"/>
      <c r="J128" s="509">
        <f t="shared" ref="J128:AG128" si="64">IF(ABS(SUM(J125:J127))&lt;0.001,0,SUM(J125:J127))*J$6</f>
        <v>0</v>
      </c>
      <c r="K128" s="509">
        <f t="shared" si="64"/>
        <v>0</v>
      </c>
      <c r="L128" s="509">
        <f t="shared" si="64"/>
        <v>0</v>
      </c>
      <c r="M128" s="509">
        <f t="shared" si="64"/>
        <v>0</v>
      </c>
      <c r="N128" s="509">
        <f t="shared" si="64"/>
        <v>0</v>
      </c>
      <c r="O128" s="509">
        <f t="shared" si="64"/>
        <v>0</v>
      </c>
      <c r="P128" s="509">
        <f t="shared" si="64"/>
        <v>0</v>
      </c>
      <c r="Q128" s="509">
        <f t="shared" si="64"/>
        <v>110000</v>
      </c>
      <c r="R128" s="509">
        <f t="shared" si="64"/>
        <v>110000</v>
      </c>
      <c r="S128" s="509">
        <f t="shared" si="64"/>
        <v>110000</v>
      </c>
      <c r="T128" s="509">
        <f t="shared" si="64"/>
        <v>110000</v>
      </c>
      <c r="U128" s="509">
        <f t="shared" si="64"/>
        <v>109000</v>
      </c>
      <c r="V128" s="509">
        <f t="shared" si="64"/>
        <v>108000</v>
      </c>
      <c r="W128" s="509">
        <f t="shared" si="64"/>
        <v>107000</v>
      </c>
      <c r="X128" s="509">
        <f t="shared" si="64"/>
        <v>106000</v>
      </c>
      <c r="Y128" s="509">
        <f t="shared" si="64"/>
        <v>105000</v>
      </c>
      <c r="Z128" s="509">
        <f t="shared" si="64"/>
        <v>104000</v>
      </c>
      <c r="AA128" s="509">
        <f t="shared" si="64"/>
        <v>103000</v>
      </c>
      <c r="AB128" s="509">
        <f t="shared" si="64"/>
        <v>102000</v>
      </c>
      <c r="AC128" s="509">
        <f t="shared" si="64"/>
        <v>101000</v>
      </c>
      <c r="AD128" s="509">
        <f t="shared" si="64"/>
        <v>100500</v>
      </c>
      <c r="AE128" s="509">
        <f t="shared" si="64"/>
        <v>100000</v>
      </c>
      <c r="AF128" s="509">
        <f t="shared" si="64"/>
        <v>0</v>
      </c>
      <c r="AG128" s="509">
        <f t="shared" si="64"/>
        <v>0</v>
      </c>
    </row>
    <row r="129" spans="1:33" ht="15.75" customHeight="1" outlineLevel="2" thickTop="1">
      <c r="A129" s="861"/>
      <c r="B129" s="796">
        <f>IF(B130=1,0,1)</f>
        <v>1</v>
      </c>
      <c r="C129" s="737" t="s">
        <v>531</v>
      </c>
      <c r="D129" s="422" t="str">
        <f t="shared" si="60"/>
        <v>USD</v>
      </c>
      <c r="E129" s="797">
        <f>Inputs!F183</f>
        <v>0.04</v>
      </c>
      <c r="F129" s="798">
        <f>E129/months_yr</f>
        <v>3.3333333333333335E-3</v>
      </c>
      <c r="G129" s="737"/>
      <c r="H129" s="737"/>
      <c r="I129" s="236">
        <f>SUM(J129:AG129)</f>
        <v>4951.666666666667</v>
      </c>
      <c r="J129" s="423">
        <f t="shared" ref="J129:AG129" si="65">$F129*J125</f>
        <v>0</v>
      </c>
      <c r="K129" s="423">
        <f t="shared" si="65"/>
        <v>0</v>
      </c>
      <c r="L129" s="423">
        <f t="shared" si="65"/>
        <v>0</v>
      </c>
      <c r="M129" s="423">
        <f t="shared" si="65"/>
        <v>0</v>
      </c>
      <c r="N129" s="423">
        <f t="shared" si="65"/>
        <v>0</v>
      </c>
      <c r="O129" s="423">
        <f t="shared" si="65"/>
        <v>0</v>
      </c>
      <c r="P129" s="423">
        <f t="shared" si="65"/>
        <v>0</v>
      </c>
      <c r="Q129" s="423">
        <f t="shared" si="65"/>
        <v>0</v>
      </c>
      <c r="R129" s="423">
        <f t="shared" si="65"/>
        <v>366.66666666666669</v>
      </c>
      <c r="S129" s="423">
        <f t="shared" si="65"/>
        <v>366.66666666666669</v>
      </c>
      <c r="T129" s="423">
        <f t="shared" si="65"/>
        <v>366.66666666666669</v>
      </c>
      <c r="U129" s="423">
        <f t="shared" si="65"/>
        <v>366.66666666666669</v>
      </c>
      <c r="V129" s="423">
        <f t="shared" si="65"/>
        <v>363.33333333333337</v>
      </c>
      <c r="W129" s="423">
        <f t="shared" si="65"/>
        <v>360</v>
      </c>
      <c r="X129" s="423">
        <f t="shared" si="65"/>
        <v>356.66666666666669</v>
      </c>
      <c r="Y129" s="423">
        <f t="shared" si="65"/>
        <v>353.33333333333337</v>
      </c>
      <c r="Z129" s="423">
        <f t="shared" si="65"/>
        <v>350</v>
      </c>
      <c r="AA129" s="423">
        <f t="shared" si="65"/>
        <v>346.66666666666669</v>
      </c>
      <c r="AB129" s="423">
        <f t="shared" si="65"/>
        <v>343.33333333333337</v>
      </c>
      <c r="AC129" s="423">
        <f t="shared" si="65"/>
        <v>340</v>
      </c>
      <c r="AD129" s="423">
        <f t="shared" si="65"/>
        <v>336.66666666666669</v>
      </c>
      <c r="AE129" s="423">
        <f t="shared" si="65"/>
        <v>335</v>
      </c>
      <c r="AF129" s="423">
        <f t="shared" si="65"/>
        <v>0</v>
      </c>
      <c r="AG129" s="423">
        <f t="shared" si="65"/>
        <v>0</v>
      </c>
    </row>
    <row r="130" spans="1:33" ht="15.75" customHeight="1" outlineLevel="2">
      <c r="A130" s="861"/>
      <c r="B130" s="796">
        <f>Inputs!F182</f>
        <v>0</v>
      </c>
      <c r="C130" s="737" t="s">
        <v>532</v>
      </c>
      <c r="D130" s="422" t="str">
        <f t="shared" si="60"/>
        <v>USD</v>
      </c>
      <c r="E130" s="737"/>
      <c r="F130" s="737"/>
      <c r="G130" s="737"/>
      <c r="H130" s="737"/>
      <c r="I130" s="236">
        <f>SUM(J130:AG130)</f>
        <v>0</v>
      </c>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437"/>
      <c r="AF130" s="437"/>
      <c r="AG130" s="437"/>
    </row>
    <row r="131" spans="1:33" ht="15.75" customHeight="1" outlineLevel="2">
      <c r="A131" s="861"/>
      <c r="B131" s="735"/>
      <c r="C131" s="737" t="s">
        <v>533</v>
      </c>
      <c r="D131" s="422" t="str">
        <f t="shared" si="60"/>
        <v>USD</v>
      </c>
      <c r="E131" s="737"/>
      <c r="F131" s="737"/>
      <c r="G131" s="737"/>
      <c r="H131" s="737"/>
      <c r="I131" s="236">
        <f>SUM(J131:AG131)</f>
        <v>4951.666666666667</v>
      </c>
      <c r="J131" s="515">
        <f t="shared" ref="J131:AG131" si="66">SUMPRODUCT(($B129:$B130)*(J129:J130))*J$6</f>
        <v>0</v>
      </c>
      <c r="K131" s="515">
        <f t="shared" si="66"/>
        <v>0</v>
      </c>
      <c r="L131" s="515">
        <f t="shared" si="66"/>
        <v>0</v>
      </c>
      <c r="M131" s="515">
        <f t="shared" si="66"/>
        <v>0</v>
      </c>
      <c r="N131" s="515">
        <f t="shared" si="66"/>
        <v>0</v>
      </c>
      <c r="O131" s="515">
        <f t="shared" si="66"/>
        <v>0</v>
      </c>
      <c r="P131" s="515">
        <f t="shared" si="66"/>
        <v>0</v>
      </c>
      <c r="Q131" s="515">
        <f t="shared" si="66"/>
        <v>0</v>
      </c>
      <c r="R131" s="515">
        <f t="shared" si="66"/>
        <v>366.66666666666669</v>
      </c>
      <c r="S131" s="515">
        <f t="shared" si="66"/>
        <v>366.66666666666669</v>
      </c>
      <c r="T131" s="515">
        <f t="shared" si="66"/>
        <v>366.66666666666669</v>
      </c>
      <c r="U131" s="515">
        <f t="shared" si="66"/>
        <v>366.66666666666669</v>
      </c>
      <c r="V131" s="515">
        <f t="shared" si="66"/>
        <v>363.33333333333337</v>
      </c>
      <c r="W131" s="515">
        <f t="shared" si="66"/>
        <v>360</v>
      </c>
      <c r="X131" s="515">
        <f t="shared" si="66"/>
        <v>356.66666666666669</v>
      </c>
      <c r="Y131" s="515">
        <f t="shared" si="66"/>
        <v>353.33333333333337</v>
      </c>
      <c r="Z131" s="515">
        <f t="shared" si="66"/>
        <v>350</v>
      </c>
      <c r="AA131" s="515">
        <f t="shared" si="66"/>
        <v>346.66666666666669</v>
      </c>
      <c r="AB131" s="515">
        <f t="shared" si="66"/>
        <v>343.33333333333337</v>
      </c>
      <c r="AC131" s="515">
        <f t="shared" si="66"/>
        <v>340</v>
      </c>
      <c r="AD131" s="515">
        <f t="shared" si="66"/>
        <v>336.66666666666669</v>
      </c>
      <c r="AE131" s="515">
        <f t="shared" si="66"/>
        <v>335</v>
      </c>
      <c r="AF131" s="515">
        <f t="shared" si="66"/>
        <v>0</v>
      </c>
      <c r="AG131" s="515">
        <f t="shared" si="66"/>
        <v>0</v>
      </c>
    </row>
    <row r="132" spans="1:33" s="199" customFormat="1" ht="15.75" customHeight="1" outlineLevel="2">
      <c r="A132" s="861"/>
      <c r="B132" s="497"/>
      <c r="C132" s="251" t="str">
        <f>"Financing Fees "&amp;C124</f>
        <v>Financing Fees Debt 3: FounderBank</v>
      </c>
      <c r="D132" s="422" t="str">
        <f t="shared" si="60"/>
        <v>USD</v>
      </c>
      <c r="E132" s="737"/>
      <c r="F132" s="737"/>
      <c r="G132" s="737"/>
      <c r="H132" s="737"/>
      <c r="I132" s="236">
        <f>SUMPRODUCT((J$6:AG$6),(J132:AG132))</f>
        <v>0</v>
      </c>
      <c r="J132" s="437"/>
      <c r="K132" s="437"/>
      <c r="L132" s="437"/>
      <c r="M132" s="437"/>
      <c r="N132" s="437"/>
      <c r="O132" s="437"/>
      <c r="P132" s="437"/>
      <c r="Q132" s="437"/>
      <c r="R132" s="437"/>
      <c r="S132" s="437"/>
      <c r="T132" s="437"/>
      <c r="U132" s="437"/>
      <c r="V132" s="437"/>
      <c r="W132" s="437"/>
      <c r="X132" s="437"/>
      <c r="Y132" s="437"/>
      <c r="Z132" s="437"/>
      <c r="AA132" s="437"/>
      <c r="AB132" s="437"/>
      <c r="AC132" s="437"/>
      <c r="AD132" s="437"/>
      <c r="AE132" s="437"/>
      <c r="AF132" s="437"/>
      <c r="AG132" s="437"/>
    </row>
    <row r="133" spans="1:33" ht="15.75" customHeight="1" outlineLevel="2">
      <c r="A133" s="861"/>
      <c r="B133" s="735"/>
      <c r="C133" s="735"/>
      <c r="D133" s="735"/>
      <c r="E133" s="735"/>
      <c r="F133" s="735"/>
      <c r="G133" s="735"/>
      <c r="H133" s="735"/>
      <c r="I133" s="735"/>
      <c r="J133" s="735"/>
      <c r="K133" s="735"/>
      <c r="L133" s="735"/>
      <c r="M133" s="735"/>
      <c r="N133" s="735"/>
      <c r="O133" s="735"/>
      <c r="P133" s="735"/>
      <c r="Q133" s="735"/>
      <c r="R133" s="735"/>
      <c r="S133" s="735"/>
      <c r="T133" s="735"/>
      <c r="U133" s="735"/>
      <c r="V133" s="735"/>
      <c r="W133" s="735"/>
      <c r="X133" s="735"/>
      <c r="Y133" s="735"/>
      <c r="Z133" s="735"/>
      <c r="AA133" s="735"/>
      <c r="AB133" s="735"/>
      <c r="AC133" s="735"/>
      <c r="AD133" s="735"/>
      <c r="AE133" s="735"/>
      <c r="AF133" s="735"/>
      <c r="AG133" s="735"/>
    </row>
    <row r="134" spans="1:33" ht="21" customHeight="1" outlineLevel="1">
      <c r="A134" s="861"/>
      <c r="B134" s="409" t="s">
        <v>45</v>
      </c>
      <c r="C134" s="409" t="str">
        <f>"Debt 4: "&amp;Inputs!$F$186</f>
        <v>Debt 4: Shareholder Loan</v>
      </c>
      <c r="D134" s="708"/>
      <c r="E134" s="735"/>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row>
    <row r="135" spans="1:33" ht="15.75" customHeight="1" outlineLevel="2">
      <c r="A135" s="861"/>
      <c r="B135" s="735"/>
      <c r="C135" s="421" t="s">
        <v>140</v>
      </c>
      <c r="D135" s="422" t="str">
        <f t="shared" ref="D135:D142" si="67">Currency_Label</f>
        <v>USD</v>
      </c>
      <c r="E135" s="737"/>
      <c r="F135" s="737"/>
      <c r="G135" s="737"/>
      <c r="H135" s="737"/>
      <c r="I135" s="737"/>
      <c r="J135" s="423">
        <f t="shared" ref="J135:AG135" si="68">I138*J$6</f>
        <v>0</v>
      </c>
      <c r="K135" s="423">
        <f t="shared" si="68"/>
        <v>0</v>
      </c>
      <c r="L135" s="423">
        <f t="shared" si="68"/>
        <v>0</v>
      </c>
      <c r="M135" s="423">
        <f t="shared" si="68"/>
        <v>0</v>
      </c>
      <c r="N135" s="423">
        <f t="shared" si="68"/>
        <v>0</v>
      </c>
      <c r="O135" s="423">
        <f t="shared" si="68"/>
        <v>0</v>
      </c>
      <c r="P135" s="423">
        <f t="shared" si="68"/>
        <v>0</v>
      </c>
      <c r="Q135" s="423">
        <f t="shared" si="68"/>
        <v>0</v>
      </c>
      <c r="R135" s="423">
        <f t="shared" si="68"/>
        <v>0</v>
      </c>
      <c r="S135" s="423">
        <f t="shared" si="68"/>
        <v>0</v>
      </c>
      <c r="T135" s="423">
        <f t="shared" si="68"/>
        <v>0</v>
      </c>
      <c r="U135" s="423">
        <f t="shared" si="68"/>
        <v>0</v>
      </c>
      <c r="V135" s="423">
        <f t="shared" si="68"/>
        <v>0</v>
      </c>
      <c r="W135" s="423">
        <f t="shared" si="68"/>
        <v>0</v>
      </c>
      <c r="X135" s="423">
        <f t="shared" si="68"/>
        <v>0</v>
      </c>
      <c r="Y135" s="423">
        <f t="shared" si="68"/>
        <v>0</v>
      </c>
      <c r="Z135" s="423">
        <f t="shared" si="68"/>
        <v>0</v>
      </c>
      <c r="AA135" s="423">
        <f t="shared" si="68"/>
        <v>0</v>
      </c>
      <c r="AB135" s="423">
        <f t="shared" si="68"/>
        <v>50000</v>
      </c>
      <c r="AC135" s="423">
        <f t="shared" si="68"/>
        <v>50000</v>
      </c>
      <c r="AD135" s="423">
        <f t="shared" si="68"/>
        <v>50000</v>
      </c>
      <c r="AE135" s="423">
        <f t="shared" si="68"/>
        <v>50000</v>
      </c>
      <c r="AF135" s="423">
        <f t="shared" si="68"/>
        <v>0</v>
      </c>
      <c r="AG135" s="423">
        <f t="shared" si="68"/>
        <v>0</v>
      </c>
    </row>
    <row r="136" spans="1:33" ht="15.75" customHeight="1" outlineLevel="2">
      <c r="A136" s="861"/>
      <c r="B136" s="735"/>
      <c r="C136" s="421" t="s">
        <v>524</v>
      </c>
      <c r="D136" s="422" t="str">
        <f t="shared" si="67"/>
        <v>USD</v>
      </c>
      <c r="E136" s="737"/>
      <c r="F136" s="737"/>
      <c r="G136" s="737"/>
      <c r="H136" s="737"/>
      <c r="I136" s="236">
        <f>SUM(J136:AG136)</f>
        <v>50000</v>
      </c>
      <c r="J136" s="423">
        <f t="shared" ref="J136:AG136" si="69">J59*J$6</f>
        <v>0</v>
      </c>
      <c r="K136" s="423">
        <f t="shared" si="69"/>
        <v>0</v>
      </c>
      <c r="L136" s="423">
        <f t="shared" si="69"/>
        <v>0</v>
      </c>
      <c r="M136" s="423">
        <f t="shared" si="69"/>
        <v>0</v>
      </c>
      <c r="N136" s="423">
        <f t="shared" si="69"/>
        <v>0</v>
      </c>
      <c r="O136" s="423">
        <f t="shared" si="69"/>
        <v>0</v>
      </c>
      <c r="P136" s="423">
        <f t="shared" si="69"/>
        <v>0</v>
      </c>
      <c r="Q136" s="423">
        <f t="shared" si="69"/>
        <v>0</v>
      </c>
      <c r="R136" s="423">
        <f t="shared" si="69"/>
        <v>0</v>
      </c>
      <c r="S136" s="423">
        <f t="shared" si="69"/>
        <v>0</v>
      </c>
      <c r="T136" s="423">
        <f t="shared" si="69"/>
        <v>0</v>
      </c>
      <c r="U136" s="423">
        <f t="shared" si="69"/>
        <v>0</v>
      </c>
      <c r="V136" s="423">
        <f t="shared" si="69"/>
        <v>0</v>
      </c>
      <c r="W136" s="423">
        <f t="shared" si="69"/>
        <v>0</v>
      </c>
      <c r="X136" s="423">
        <f t="shared" si="69"/>
        <v>0</v>
      </c>
      <c r="Y136" s="423">
        <f t="shared" si="69"/>
        <v>0</v>
      </c>
      <c r="Z136" s="423">
        <f t="shared" si="69"/>
        <v>0</v>
      </c>
      <c r="AA136" s="423">
        <f t="shared" si="69"/>
        <v>50000</v>
      </c>
      <c r="AB136" s="423">
        <f t="shared" si="69"/>
        <v>0</v>
      </c>
      <c r="AC136" s="423">
        <f t="shared" si="69"/>
        <v>0</v>
      </c>
      <c r="AD136" s="423">
        <f t="shared" si="69"/>
        <v>0</v>
      </c>
      <c r="AE136" s="423">
        <f t="shared" si="69"/>
        <v>0</v>
      </c>
      <c r="AF136" s="423">
        <f t="shared" si="69"/>
        <v>0</v>
      </c>
      <c r="AG136" s="423">
        <f t="shared" si="69"/>
        <v>0</v>
      </c>
    </row>
    <row r="137" spans="1:33" ht="15.75" customHeight="1" outlineLevel="2">
      <c r="A137" s="861"/>
      <c r="B137" s="735"/>
      <c r="C137" s="421" t="s">
        <v>525</v>
      </c>
      <c r="D137" s="422" t="str">
        <f t="shared" si="67"/>
        <v>USD</v>
      </c>
      <c r="E137" s="737"/>
      <c r="F137" s="737"/>
      <c r="G137" s="737"/>
      <c r="H137" s="737"/>
      <c r="I137" s="236">
        <f>SUM(J137:AG137)</f>
        <v>0</v>
      </c>
      <c r="J137" s="423">
        <f t="shared" ref="J137:AG137" si="70">J60*J$6</f>
        <v>0</v>
      </c>
      <c r="K137" s="423">
        <f t="shared" si="70"/>
        <v>0</v>
      </c>
      <c r="L137" s="423">
        <f t="shared" si="70"/>
        <v>0</v>
      </c>
      <c r="M137" s="423">
        <f t="shared" si="70"/>
        <v>0</v>
      </c>
      <c r="N137" s="423">
        <f t="shared" si="70"/>
        <v>0</v>
      </c>
      <c r="O137" s="423">
        <f t="shared" si="70"/>
        <v>0</v>
      </c>
      <c r="P137" s="423">
        <f t="shared" si="70"/>
        <v>0</v>
      </c>
      <c r="Q137" s="423">
        <f t="shared" si="70"/>
        <v>0</v>
      </c>
      <c r="R137" s="423">
        <f t="shared" si="70"/>
        <v>0</v>
      </c>
      <c r="S137" s="423">
        <f t="shared" si="70"/>
        <v>0</v>
      </c>
      <c r="T137" s="423">
        <f t="shared" si="70"/>
        <v>0</v>
      </c>
      <c r="U137" s="423">
        <f t="shared" si="70"/>
        <v>0</v>
      </c>
      <c r="V137" s="423">
        <f t="shared" si="70"/>
        <v>0</v>
      </c>
      <c r="W137" s="423">
        <f t="shared" si="70"/>
        <v>0</v>
      </c>
      <c r="X137" s="423">
        <f t="shared" si="70"/>
        <v>0</v>
      </c>
      <c r="Y137" s="423">
        <f t="shared" si="70"/>
        <v>0</v>
      </c>
      <c r="Z137" s="423">
        <f t="shared" si="70"/>
        <v>0</v>
      </c>
      <c r="AA137" s="423">
        <f t="shared" si="70"/>
        <v>0</v>
      </c>
      <c r="AB137" s="423">
        <f t="shared" si="70"/>
        <v>0</v>
      </c>
      <c r="AC137" s="423">
        <f t="shared" si="70"/>
        <v>0</v>
      </c>
      <c r="AD137" s="423">
        <f t="shared" si="70"/>
        <v>0</v>
      </c>
      <c r="AE137" s="423">
        <f t="shared" si="70"/>
        <v>0</v>
      </c>
      <c r="AF137" s="423">
        <f t="shared" si="70"/>
        <v>0</v>
      </c>
      <c r="AG137" s="423">
        <f t="shared" si="70"/>
        <v>0</v>
      </c>
    </row>
    <row r="138" spans="1:33" ht="15.75" customHeight="1" outlineLevel="2" thickBot="1">
      <c r="A138" s="861"/>
      <c r="B138" s="735"/>
      <c r="C138" s="421" t="s">
        <v>141</v>
      </c>
      <c r="D138" s="422" t="str">
        <f t="shared" si="67"/>
        <v>USD</v>
      </c>
      <c r="E138" s="794" t="s">
        <v>406</v>
      </c>
      <c r="F138" s="794" t="s">
        <v>407</v>
      </c>
      <c r="G138" s="737"/>
      <c r="H138" s="737"/>
      <c r="I138" s="795"/>
      <c r="J138" s="509">
        <f t="shared" ref="J138:AG138" si="71">IF(ABS(SUM(J135:J137))&lt;0.001,0,SUM(J135:J137))*J$6</f>
        <v>0</v>
      </c>
      <c r="K138" s="509">
        <f t="shared" si="71"/>
        <v>0</v>
      </c>
      <c r="L138" s="509">
        <f t="shared" si="71"/>
        <v>0</v>
      </c>
      <c r="M138" s="509">
        <f t="shared" si="71"/>
        <v>0</v>
      </c>
      <c r="N138" s="509">
        <f t="shared" si="71"/>
        <v>0</v>
      </c>
      <c r="O138" s="509">
        <f t="shared" si="71"/>
        <v>0</v>
      </c>
      <c r="P138" s="509">
        <f t="shared" si="71"/>
        <v>0</v>
      </c>
      <c r="Q138" s="509">
        <f t="shared" si="71"/>
        <v>0</v>
      </c>
      <c r="R138" s="509">
        <f t="shared" si="71"/>
        <v>0</v>
      </c>
      <c r="S138" s="509">
        <f t="shared" si="71"/>
        <v>0</v>
      </c>
      <c r="T138" s="509">
        <f t="shared" si="71"/>
        <v>0</v>
      </c>
      <c r="U138" s="509">
        <f t="shared" si="71"/>
        <v>0</v>
      </c>
      <c r="V138" s="509">
        <f t="shared" si="71"/>
        <v>0</v>
      </c>
      <c r="W138" s="509">
        <f t="shared" si="71"/>
        <v>0</v>
      </c>
      <c r="X138" s="509">
        <f t="shared" si="71"/>
        <v>0</v>
      </c>
      <c r="Y138" s="509">
        <f t="shared" si="71"/>
        <v>0</v>
      </c>
      <c r="Z138" s="509">
        <f t="shared" si="71"/>
        <v>0</v>
      </c>
      <c r="AA138" s="509">
        <f t="shared" si="71"/>
        <v>50000</v>
      </c>
      <c r="AB138" s="509">
        <f t="shared" si="71"/>
        <v>50000</v>
      </c>
      <c r="AC138" s="509">
        <f t="shared" si="71"/>
        <v>50000</v>
      </c>
      <c r="AD138" s="509">
        <f t="shared" si="71"/>
        <v>50000</v>
      </c>
      <c r="AE138" s="509">
        <f t="shared" si="71"/>
        <v>50000</v>
      </c>
      <c r="AF138" s="509">
        <f t="shared" si="71"/>
        <v>0</v>
      </c>
      <c r="AG138" s="509">
        <f t="shared" si="71"/>
        <v>0</v>
      </c>
    </row>
    <row r="139" spans="1:33" ht="15.75" customHeight="1" outlineLevel="2" thickTop="1">
      <c r="A139" s="861"/>
      <c r="B139" s="796">
        <f>IF(B140=1,0,1)</f>
        <v>1</v>
      </c>
      <c r="C139" s="737" t="s">
        <v>531</v>
      </c>
      <c r="D139" s="422" t="str">
        <f t="shared" si="67"/>
        <v>USD</v>
      </c>
      <c r="E139" s="797">
        <f>Inputs!F188</f>
        <v>0.01</v>
      </c>
      <c r="F139" s="798">
        <f>E139/months_yr</f>
        <v>8.3333333333333339E-4</v>
      </c>
      <c r="G139" s="737"/>
      <c r="H139" s="737"/>
      <c r="I139" s="236">
        <f>SUM(J139:AG139)</f>
        <v>166.66666666666669</v>
      </c>
      <c r="J139" s="423">
        <f t="shared" ref="J139:AG139" si="72">$F139*J135</f>
        <v>0</v>
      </c>
      <c r="K139" s="423">
        <f t="shared" si="72"/>
        <v>0</v>
      </c>
      <c r="L139" s="423">
        <f t="shared" si="72"/>
        <v>0</v>
      </c>
      <c r="M139" s="423">
        <f t="shared" si="72"/>
        <v>0</v>
      </c>
      <c r="N139" s="423">
        <f t="shared" si="72"/>
        <v>0</v>
      </c>
      <c r="O139" s="423">
        <f t="shared" si="72"/>
        <v>0</v>
      </c>
      <c r="P139" s="423">
        <f t="shared" si="72"/>
        <v>0</v>
      </c>
      <c r="Q139" s="423">
        <f t="shared" si="72"/>
        <v>0</v>
      </c>
      <c r="R139" s="423">
        <f t="shared" si="72"/>
        <v>0</v>
      </c>
      <c r="S139" s="423">
        <f t="shared" si="72"/>
        <v>0</v>
      </c>
      <c r="T139" s="423">
        <f t="shared" si="72"/>
        <v>0</v>
      </c>
      <c r="U139" s="423">
        <f t="shared" si="72"/>
        <v>0</v>
      </c>
      <c r="V139" s="423">
        <f t="shared" si="72"/>
        <v>0</v>
      </c>
      <c r="W139" s="423">
        <f t="shared" si="72"/>
        <v>0</v>
      </c>
      <c r="X139" s="423">
        <f t="shared" si="72"/>
        <v>0</v>
      </c>
      <c r="Y139" s="423">
        <f t="shared" si="72"/>
        <v>0</v>
      </c>
      <c r="Z139" s="423">
        <f t="shared" si="72"/>
        <v>0</v>
      </c>
      <c r="AA139" s="423">
        <f t="shared" si="72"/>
        <v>0</v>
      </c>
      <c r="AB139" s="423">
        <f t="shared" si="72"/>
        <v>41.666666666666671</v>
      </c>
      <c r="AC139" s="423">
        <f t="shared" si="72"/>
        <v>41.666666666666671</v>
      </c>
      <c r="AD139" s="423">
        <f t="shared" si="72"/>
        <v>41.666666666666671</v>
      </c>
      <c r="AE139" s="423">
        <f t="shared" si="72"/>
        <v>41.666666666666671</v>
      </c>
      <c r="AF139" s="423">
        <f t="shared" si="72"/>
        <v>0</v>
      </c>
      <c r="AG139" s="423">
        <f t="shared" si="72"/>
        <v>0</v>
      </c>
    </row>
    <row r="140" spans="1:33" ht="15.75" customHeight="1" outlineLevel="2">
      <c r="A140" s="861"/>
      <c r="B140" s="796">
        <f>Inputs!F187</f>
        <v>0</v>
      </c>
      <c r="C140" s="737" t="s">
        <v>532</v>
      </c>
      <c r="D140" s="422" t="str">
        <f t="shared" si="67"/>
        <v>USD</v>
      </c>
      <c r="E140" s="737"/>
      <c r="F140" s="737"/>
      <c r="G140" s="737"/>
      <c r="H140" s="737"/>
      <c r="I140" s="236">
        <f>SUM(J140:AG140)</f>
        <v>0</v>
      </c>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437"/>
      <c r="AG140" s="437"/>
    </row>
    <row r="141" spans="1:33" ht="15.75" customHeight="1" outlineLevel="2">
      <c r="A141" s="861"/>
      <c r="B141" s="735"/>
      <c r="C141" s="737" t="s">
        <v>533</v>
      </c>
      <c r="D141" s="422" t="str">
        <f t="shared" si="67"/>
        <v>USD</v>
      </c>
      <c r="E141" s="737"/>
      <c r="F141" s="737"/>
      <c r="G141" s="737"/>
      <c r="H141" s="737"/>
      <c r="I141" s="236">
        <f>SUM(J141:AG141)</f>
        <v>166.66666666666669</v>
      </c>
      <c r="J141" s="515">
        <f t="shared" ref="J141:AG141" si="73">SUMPRODUCT(($B139:$B140)*(J139:J140))*J$6</f>
        <v>0</v>
      </c>
      <c r="K141" s="515">
        <f t="shared" si="73"/>
        <v>0</v>
      </c>
      <c r="L141" s="515">
        <f t="shared" si="73"/>
        <v>0</v>
      </c>
      <c r="M141" s="515">
        <f t="shared" si="73"/>
        <v>0</v>
      </c>
      <c r="N141" s="515">
        <f t="shared" si="73"/>
        <v>0</v>
      </c>
      <c r="O141" s="515">
        <f t="shared" si="73"/>
        <v>0</v>
      </c>
      <c r="P141" s="515">
        <f t="shared" si="73"/>
        <v>0</v>
      </c>
      <c r="Q141" s="515">
        <f t="shared" si="73"/>
        <v>0</v>
      </c>
      <c r="R141" s="515">
        <f t="shared" si="73"/>
        <v>0</v>
      </c>
      <c r="S141" s="515">
        <f t="shared" si="73"/>
        <v>0</v>
      </c>
      <c r="T141" s="515">
        <f t="shared" si="73"/>
        <v>0</v>
      </c>
      <c r="U141" s="515">
        <f t="shared" si="73"/>
        <v>0</v>
      </c>
      <c r="V141" s="515">
        <f t="shared" si="73"/>
        <v>0</v>
      </c>
      <c r="W141" s="515">
        <f t="shared" si="73"/>
        <v>0</v>
      </c>
      <c r="X141" s="515">
        <f t="shared" si="73"/>
        <v>0</v>
      </c>
      <c r="Y141" s="515">
        <f t="shared" si="73"/>
        <v>0</v>
      </c>
      <c r="Z141" s="515">
        <f t="shared" si="73"/>
        <v>0</v>
      </c>
      <c r="AA141" s="515">
        <f t="shared" si="73"/>
        <v>0</v>
      </c>
      <c r="AB141" s="515">
        <f t="shared" si="73"/>
        <v>41.666666666666671</v>
      </c>
      <c r="AC141" s="515">
        <f t="shared" si="73"/>
        <v>41.666666666666671</v>
      </c>
      <c r="AD141" s="515">
        <f t="shared" si="73"/>
        <v>41.666666666666671</v>
      </c>
      <c r="AE141" s="515">
        <f t="shared" si="73"/>
        <v>41.666666666666671</v>
      </c>
      <c r="AF141" s="515">
        <f t="shared" si="73"/>
        <v>0</v>
      </c>
      <c r="AG141" s="515">
        <f t="shared" si="73"/>
        <v>0</v>
      </c>
    </row>
    <row r="142" spans="1:33" s="199" customFormat="1" ht="15.75" customHeight="1" outlineLevel="2">
      <c r="A142" s="861"/>
      <c r="B142" s="497"/>
      <c r="C142" s="251" t="str">
        <f>"Financing Fees "&amp;C134</f>
        <v>Financing Fees Debt 4: Shareholder Loan</v>
      </c>
      <c r="D142" s="422" t="str">
        <f t="shared" si="67"/>
        <v>USD</v>
      </c>
      <c r="E142" s="737"/>
      <c r="F142" s="737"/>
      <c r="G142" s="737"/>
      <c r="H142" s="737"/>
      <c r="I142" s="236">
        <f>SUMPRODUCT((J$6:AG$6),(J142:AG142))</f>
        <v>0</v>
      </c>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E142" s="437"/>
      <c r="AF142" s="437"/>
      <c r="AG142" s="437"/>
    </row>
    <row r="143" spans="1:33" ht="15.75" customHeight="1" outlineLevel="2">
      <c r="A143" s="861"/>
      <c r="B143" s="735"/>
      <c r="C143" s="735"/>
      <c r="D143" s="735"/>
      <c r="E143" s="735"/>
      <c r="F143" s="735"/>
      <c r="G143" s="735"/>
      <c r="H143" s="735"/>
      <c r="I143" s="735"/>
      <c r="J143" s="735"/>
      <c r="K143" s="735"/>
      <c r="L143" s="735"/>
      <c r="M143" s="735"/>
      <c r="N143" s="735"/>
      <c r="O143" s="735"/>
      <c r="P143" s="735"/>
      <c r="Q143" s="735"/>
      <c r="R143" s="735"/>
      <c r="S143" s="735"/>
      <c r="T143" s="735"/>
      <c r="U143" s="735"/>
      <c r="V143" s="735"/>
      <c r="W143" s="735"/>
      <c r="X143" s="735"/>
      <c r="Y143" s="735"/>
      <c r="Z143" s="735"/>
      <c r="AA143" s="735"/>
      <c r="AB143" s="735"/>
      <c r="AC143" s="735"/>
      <c r="AD143" s="735"/>
      <c r="AE143" s="735"/>
      <c r="AF143" s="735"/>
      <c r="AG143" s="735"/>
    </row>
    <row r="144" spans="1:33" s="199" customFormat="1" ht="18" customHeight="1" outlineLevel="1">
      <c r="A144" s="861"/>
      <c r="B144" s="409" t="s">
        <v>38</v>
      </c>
      <c r="C144" s="409" t="s">
        <v>309</v>
      </c>
      <c r="D144" s="708"/>
      <c r="E144" s="735"/>
      <c r="F144" s="735"/>
      <c r="G144" s="735"/>
      <c r="H144" s="735"/>
      <c r="I144" s="735"/>
      <c r="J144" s="735"/>
      <c r="K144" s="735"/>
      <c r="L144" s="735"/>
      <c r="M144" s="735"/>
      <c r="N144" s="735"/>
      <c r="O144" s="735"/>
      <c r="P144" s="735"/>
      <c r="Q144" s="735"/>
      <c r="R144" s="735"/>
      <c r="S144" s="735"/>
      <c r="T144" s="735"/>
      <c r="U144" s="735"/>
      <c r="V144" s="735"/>
      <c r="W144" s="735"/>
      <c r="X144" s="735"/>
      <c r="Y144" s="735"/>
      <c r="Z144" s="735"/>
      <c r="AA144" s="735"/>
      <c r="AB144" s="735"/>
      <c r="AC144" s="735"/>
      <c r="AD144" s="735"/>
      <c r="AE144" s="735"/>
      <c r="AF144" s="735"/>
      <c r="AG144" s="735"/>
    </row>
    <row r="145" spans="1:33" s="199" customFormat="1" ht="15.75" customHeight="1" outlineLevel="2">
      <c r="A145" s="861"/>
      <c r="B145" s="735"/>
      <c r="C145" s="421" t="s">
        <v>140</v>
      </c>
      <c r="D145" s="422" t="str">
        <f>Currency_Label</f>
        <v>USD</v>
      </c>
      <c r="E145" s="737"/>
      <c r="F145" s="737"/>
      <c r="G145" s="737"/>
      <c r="H145" s="737"/>
      <c r="I145" s="737"/>
      <c r="J145" s="423">
        <f t="shared" ref="J145:AG145" si="74">I147*J$6</f>
        <v>10000</v>
      </c>
      <c r="K145" s="423">
        <f t="shared" si="74"/>
        <v>10000</v>
      </c>
      <c r="L145" s="423">
        <f t="shared" si="74"/>
        <v>10000</v>
      </c>
      <c r="M145" s="423">
        <f t="shared" si="74"/>
        <v>10000</v>
      </c>
      <c r="N145" s="423">
        <f t="shared" si="74"/>
        <v>10000</v>
      </c>
      <c r="O145" s="423">
        <f t="shared" si="74"/>
        <v>10000</v>
      </c>
      <c r="P145" s="423">
        <f t="shared" si="74"/>
        <v>10000</v>
      </c>
      <c r="Q145" s="423">
        <f t="shared" si="74"/>
        <v>10000</v>
      </c>
      <c r="R145" s="423">
        <f t="shared" si="74"/>
        <v>10000</v>
      </c>
      <c r="S145" s="423">
        <f t="shared" si="74"/>
        <v>10000</v>
      </c>
      <c r="T145" s="423">
        <f t="shared" si="74"/>
        <v>10000</v>
      </c>
      <c r="U145" s="423">
        <f t="shared" si="74"/>
        <v>10000</v>
      </c>
      <c r="V145" s="423">
        <f t="shared" si="74"/>
        <v>10000</v>
      </c>
      <c r="W145" s="423">
        <f t="shared" si="74"/>
        <v>5000</v>
      </c>
      <c r="X145" s="423">
        <f t="shared" si="74"/>
        <v>5000</v>
      </c>
      <c r="Y145" s="423">
        <f t="shared" si="74"/>
        <v>5000</v>
      </c>
      <c r="Z145" s="423">
        <f t="shared" si="74"/>
        <v>5000</v>
      </c>
      <c r="AA145" s="423">
        <f t="shared" si="74"/>
        <v>5000</v>
      </c>
      <c r="AB145" s="423">
        <f t="shared" si="74"/>
        <v>5000</v>
      </c>
      <c r="AC145" s="423">
        <f t="shared" si="74"/>
        <v>5000</v>
      </c>
      <c r="AD145" s="423">
        <f t="shared" si="74"/>
        <v>5000</v>
      </c>
      <c r="AE145" s="423">
        <f t="shared" si="74"/>
        <v>5000</v>
      </c>
      <c r="AF145" s="423">
        <f t="shared" si="74"/>
        <v>0</v>
      </c>
      <c r="AG145" s="423">
        <f t="shared" si="74"/>
        <v>0</v>
      </c>
    </row>
    <row r="146" spans="1:33" s="199" customFormat="1" ht="15.75" customHeight="1" outlineLevel="2">
      <c r="A146" s="861"/>
      <c r="B146" s="735"/>
      <c r="C146" s="421" t="s">
        <v>525</v>
      </c>
      <c r="D146" s="422" t="str">
        <f>Currency_Label</f>
        <v>USD</v>
      </c>
      <c r="E146" s="737"/>
      <c r="F146" s="737"/>
      <c r="G146" s="737"/>
      <c r="H146" s="781" t="str">
        <f>IF(SUM(I146:I147)&lt;0,"Repayment exceeds facility amount ! ","")</f>
        <v/>
      </c>
      <c r="I146" s="236">
        <f>SUMPRODUCT((J$6:AG$6),(J146:AG146))</f>
        <v>-5000</v>
      </c>
      <c r="J146" s="437"/>
      <c r="K146" s="437"/>
      <c r="L146" s="437"/>
      <c r="M146" s="437"/>
      <c r="N146" s="437"/>
      <c r="O146" s="437"/>
      <c r="P146" s="437"/>
      <c r="Q146" s="437"/>
      <c r="R146" s="437"/>
      <c r="S146" s="437"/>
      <c r="T146" s="437"/>
      <c r="U146" s="437"/>
      <c r="V146" s="437">
        <v>-5000</v>
      </c>
      <c r="W146" s="437"/>
      <c r="X146" s="437"/>
      <c r="Y146" s="437"/>
      <c r="Z146" s="437"/>
      <c r="AA146" s="437"/>
      <c r="AB146" s="437"/>
      <c r="AC146" s="437"/>
      <c r="AD146" s="437"/>
      <c r="AE146" s="437"/>
      <c r="AF146" s="437"/>
      <c r="AG146" s="437"/>
    </row>
    <row r="147" spans="1:33" s="199" customFormat="1" ht="15.75" customHeight="1" outlineLevel="2" thickBot="1">
      <c r="A147" s="861"/>
      <c r="B147" s="735"/>
      <c r="C147" s="421" t="s">
        <v>141</v>
      </c>
      <c r="D147" s="422" t="str">
        <f>Currency_Label</f>
        <v>USD</v>
      </c>
      <c r="E147" s="737"/>
      <c r="F147" s="737"/>
      <c r="G147" s="737"/>
      <c r="H147" s="737"/>
      <c r="I147" s="424">
        <f>Inputs!F278</f>
        <v>10000</v>
      </c>
      <c r="J147" s="509">
        <f t="shared" ref="J147:AG147" si="75">IF(ABS(SUM(J145:J146))&lt;0.001,0,SUM(J145:J146))*J$6</f>
        <v>10000</v>
      </c>
      <c r="K147" s="509">
        <f t="shared" si="75"/>
        <v>10000</v>
      </c>
      <c r="L147" s="509">
        <f t="shared" si="75"/>
        <v>10000</v>
      </c>
      <c r="M147" s="509">
        <f t="shared" si="75"/>
        <v>10000</v>
      </c>
      <c r="N147" s="509">
        <f t="shared" si="75"/>
        <v>10000</v>
      </c>
      <c r="O147" s="509">
        <f t="shared" si="75"/>
        <v>10000</v>
      </c>
      <c r="P147" s="509">
        <f t="shared" si="75"/>
        <v>10000</v>
      </c>
      <c r="Q147" s="509">
        <f t="shared" si="75"/>
        <v>10000</v>
      </c>
      <c r="R147" s="509">
        <f t="shared" si="75"/>
        <v>10000</v>
      </c>
      <c r="S147" s="509">
        <f t="shared" si="75"/>
        <v>10000</v>
      </c>
      <c r="T147" s="509">
        <f t="shared" si="75"/>
        <v>10000</v>
      </c>
      <c r="U147" s="509">
        <f t="shared" si="75"/>
        <v>10000</v>
      </c>
      <c r="V147" s="509">
        <f t="shared" si="75"/>
        <v>5000</v>
      </c>
      <c r="W147" s="509">
        <f t="shared" si="75"/>
        <v>5000</v>
      </c>
      <c r="X147" s="509">
        <f t="shared" si="75"/>
        <v>5000</v>
      </c>
      <c r="Y147" s="509">
        <f t="shared" si="75"/>
        <v>5000</v>
      </c>
      <c r="Z147" s="509">
        <f t="shared" si="75"/>
        <v>5000</v>
      </c>
      <c r="AA147" s="509">
        <f t="shared" si="75"/>
        <v>5000</v>
      </c>
      <c r="AB147" s="509">
        <f t="shared" si="75"/>
        <v>5000</v>
      </c>
      <c r="AC147" s="509">
        <f t="shared" si="75"/>
        <v>5000</v>
      </c>
      <c r="AD147" s="509">
        <f t="shared" si="75"/>
        <v>5000</v>
      </c>
      <c r="AE147" s="509">
        <f t="shared" si="75"/>
        <v>5000</v>
      </c>
      <c r="AF147" s="509">
        <f t="shared" si="75"/>
        <v>0</v>
      </c>
      <c r="AG147" s="509">
        <f t="shared" si="75"/>
        <v>0</v>
      </c>
    </row>
    <row r="148" spans="1:33" s="199" customFormat="1" ht="11.25" customHeight="1" outlineLevel="2" thickTop="1">
      <c r="A148" s="861"/>
      <c r="B148" s="735"/>
      <c r="C148" s="735"/>
      <c r="D148" s="735"/>
      <c r="E148" s="735"/>
      <c r="F148" s="735"/>
      <c r="G148" s="735"/>
      <c r="H148" s="735"/>
      <c r="I148" s="735"/>
      <c r="J148" s="735"/>
      <c r="K148" s="735"/>
      <c r="L148" s="735"/>
      <c r="M148" s="735"/>
      <c r="N148" s="735"/>
      <c r="O148" s="735"/>
      <c r="P148" s="735"/>
      <c r="Q148" s="735"/>
      <c r="R148" s="735"/>
      <c r="S148" s="735"/>
      <c r="T148" s="735"/>
      <c r="U148" s="735"/>
      <c r="V148" s="735"/>
      <c r="W148" s="735"/>
      <c r="X148" s="735"/>
      <c r="Y148" s="735"/>
      <c r="Z148" s="735"/>
      <c r="AA148" s="735"/>
      <c r="AB148" s="735"/>
      <c r="AC148" s="735"/>
      <c r="AD148" s="735"/>
      <c r="AE148" s="735"/>
      <c r="AF148" s="735"/>
      <c r="AG148" s="735"/>
    </row>
    <row r="149" spans="1:33" s="199" customFormat="1" ht="15.75" customHeight="1" outlineLevel="2">
      <c r="A149" s="861"/>
      <c r="B149" s="735"/>
      <c r="C149" s="421" t="s">
        <v>532</v>
      </c>
      <c r="D149" s="422" t="str">
        <f>Currency_Label</f>
        <v>USD</v>
      </c>
      <c r="E149" s="737"/>
      <c r="F149" s="737"/>
      <c r="G149" s="737"/>
      <c r="H149" s="737"/>
      <c r="I149" s="236">
        <f>SUMPRODUCT((J$6:AG$6),(J149:AG149))</f>
        <v>-729.16666666666708</v>
      </c>
      <c r="J149" s="437">
        <f>-5%/12*J145</f>
        <v>-41.666666666666664</v>
      </c>
      <c r="K149" s="437">
        <f t="shared" ref="K149:AG149" si="76">-5%/12*K145</f>
        <v>-41.666666666666664</v>
      </c>
      <c r="L149" s="437">
        <f t="shared" si="76"/>
        <v>-41.666666666666664</v>
      </c>
      <c r="M149" s="437">
        <f t="shared" si="76"/>
        <v>-41.666666666666664</v>
      </c>
      <c r="N149" s="437">
        <f t="shared" si="76"/>
        <v>-41.666666666666664</v>
      </c>
      <c r="O149" s="437">
        <f t="shared" si="76"/>
        <v>-41.666666666666664</v>
      </c>
      <c r="P149" s="437">
        <f t="shared" si="76"/>
        <v>-41.666666666666664</v>
      </c>
      <c r="Q149" s="437">
        <f t="shared" si="76"/>
        <v>-41.666666666666664</v>
      </c>
      <c r="R149" s="437">
        <f t="shared" si="76"/>
        <v>-41.666666666666664</v>
      </c>
      <c r="S149" s="437">
        <f t="shared" si="76"/>
        <v>-41.666666666666664</v>
      </c>
      <c r="T149" s="437">
        <f t="shared" si="76"/>
        <v>-41.666666666666664</v>
      </c>
      <c r="U149" s="437">
        <f t="shared" si="76"/>
        <v>-41.666666666666664</v>
      </c>
      <c r="V149" s="437">
        <f t="shared" si="76"/>
        <v>-41.666666666666664</v>
      </c>
      <c r="W149" s="437">
        <f t="shared" si="76"/>
        <v>-20.833333333333332</v>
      </c>
      <c r="X149" s="437">
        <f t="shared" si="76"/>
        <v>-20.833333333333332</v>
      </c>
      <c r="Y149" s="437">
        <f t="shared" si="76"/>
        <v>-20.833333333333332</v>
      </c>
      <c r="Z149" s="437">
        <f t="shared" si="76"/>
        <v>-20.833333333333332</v>
      </c>
      <c r="AA149" s="437">
        <f t="shared" si="76"/>
        <v>-20.833333333333332</v>
      </c>
      <c r="AB149" s="437">
        <f t="shared" si="76"/>
        <v>-20.833333333333332</v>
      </c>
      <c r="AC149" s="437">
        <f t="shared" si="76"/>
        <v>-20.833333333333332</v>
      </c>
      <c r="AD149" s="437">
        <f t="shared" si="76"/>
        <v>-20.833333333333332</v>
      </c>
      <c r="AE149" s="437">
        <f t="shared" si="76"/>
        <v>-20.833333333333332</v>
      </c>
      <c r="AF149" s="437">
        <f t="shared" si="76"/>
        <v>0</v>
      </c>
      <c r="AG149" s="437">
        <f t="shared" si="76"/>
        <v>0</v>
      </c>
    </row>
    <row r="150" spans="1:33" s="199" customFormat="1" ht="15.75" customHeight="1" outlineLevel="2">
      <c r="A150" s="861"/>
      <c r="B150" s="735"/>
      <c r="C150" s="735"/>
      <c r="D150" s="735"/>
      <c r="E150" s="735"/>
      <c r="F150" s="735"/>
      <c r="G150" s="735"/>
      <c r="H150" s="735"/>
      <c r="I150" s="735"/>
      <c r="J150" s="735"/>
      <c r="K150" s="735"/>
      <c r="L150" s="735"/>
      <c r="M150" s="735"/>
      <c r="N150" s="735"/>
      <c r="O150" s="735"/>
      <c r="P150" s="735"/>
      <c r="Q150" s="735"/>
      <c r="R150" s="735"/>
      <c r="S150" s="735"/>
      <c r="T150" s="735"/>
      <c r="U150" s="735"/>
      <c r="V150" s="735"/>
      <c r="W150" s="735"/>
      <c r="X150" s="735"/>
      <c r="Y150" s="735"/>
      <c r="Z150" s="735"/>
      <c r="AA150" s="735"/>
      <c r="AB150" s="735"/>
      <c r="AC150" s="735"/>
      <c r="AD150" s="735"/>
      <c r="AE150" s="735"/>
      <c r="AF150" s="735"/>
      <c r="AG150" s="735"/>
    </row>
    <row r="151" spans="1:33" s="199" customFormat="1" ht="15.75" customHeight="1" outlineLevel="2">
      <c r="A151" s="861"/>
      <c r="B151" s="735"/>
      <c r="C151" s="735"/>
      <c r="D151" s="735"/>
      <c r="E151" s="735"/>
      <c r="F151" s="735"/>
      <c r="G151" s="735"/>
      <c r="H151" s="735"/>
      <c r="I151" s="735"/>
      <c r="J151" s="735"/>
      <c r="K151" s="735"/>
      <c r="L151" s="735"/>
      <c r="M151" s="735"/>
      <c r="N151" s="735"/>
      <c r="O151" s="735"/>
      <c r="P151" s="735"/>
      <c r="Q151" s="735"/>
      <c r="R151" s="735"/>
      <c r="S151" s="735"/>
      <c r="T151" s="735"/>
      <c r="U151" s="735"/>
      <c r="V151" s="735"/>
      <c r="W151" s="735"/>
      <c r="X151" s="735"/>
      <c r="Y151" s="735"/>
      <c r="Z151" s="735"/>
      <c r="AA151" s="735"/>
      <c r="AB151" s="735"/>
      <c r="AC151" s="735"/>
      <c r="AD151" s="735"/>
      <c r="AE151" s="735"/>
      <c r="AF151" s="735"/>
      <c r="AG151" s="735"/>
    </row>
    <row r="152" spans="1:33" ht="18.75" customHeight="1" outlineLevel="2">
      <c r="A152" s="861"/>
      <c r="B152" s="735"/>
      <c r="C152" s="251" t="s">
        <v>535</v>
      </c>
      <c r="D152" s="422" t="str">
        <f>Currency_Label</f>
        <v>USD</v>
      </c>
      <c r="E152" s="737"/>
      <c r="F152" s="737"/>
      <c r="G152" s="737"/>
      <c r="H152" s="737"/>
      <c r="I152" s="236">
        <f ca="1">SUMPRODUCT((J$6:AG$6),(J152:AG152))</f>
        <v>-156321.15520914379</v>
      </c>
      <c r="J152" s="515">
        <f t="shared" ref="J152:AG152" ca="1" si="77">(J50+J55+J60+J68+J99+J146)*J6</f>
        <v>0</v>
      </c>
      <c r="K152" s="515">
        <f t="shared" ca="1" si="77"/>
        <v>0</v>
      </c>
      <c r="L152" s="515">
        <f t="shared" ca="1" si="77"/>
        <v>0</v>
      </c>
      <c r="M152" s="515">
        <f t="shared" ca="1" si="77"/>
        <v>0</v>
      </c>
      <c r="N152" s="515">
        <f t="shared" ca="1" si="77"/>
        <v>0</v>
      </c>
      <c r="O152" s="515">
        <f t="shared" ca="1" si="77"/>
        <v>0</v>
      </c>
      <c r="P152" s="515">
        <f t="shared" ca="1" si="77"/>
        <v>0</v>
      </c>
      <c r="Q152" s="515">
        <f t="shared" ca="1" si="77"/>
        <v>0</v>
      </c>
      <c r="R152" s="515">
        <f t="shared" ca="1" si="77"/>
        <v>0</v>
      </c>
      <c r="S152" s="515">
        <f t="shared" ca="1" si="77"/>
        <v>-45155.543174629362</v>
      </c>
      <c r="T152" s="515">
        <f t="shared" ca="1" si="77"/>
        <v>0</v>
      </c>
      <c r="U152" s="515">
        <f t="shared" ca="1" si="77"/>
        <v>-1000</v>
      </c>
      <c r="V152" s="515">
        <f t="shared" ca="1" si="77"/>
        <v>-6000</v>
      </c>
      <c r="W152" s="515">
        <f t="shared" ca="1" si="77"/>
        <v>-1000</v>
      </c>
      <c r="X152" s="515">
        <f t="shared" ca="1" si="77"/>
        <v>-1000</v>
      </c>
      <c r="Y152" s="515">
        <f t="shared" ca="1" si="77"/>
        <v>-61479.340360609247</v>
      </c>
      <c r="Z152" s="515">
        <f t="shared" ca="1" si="77"/>
        <v>-1000</v>
      </c>
      <c r="AA152" s="515">
        <f t="shared" ca="1" si="77"/>
        <v>-1000</v>
      </c>
      <c r="AB152" s="515">
        <f t="shared" ca="1" si="77"/>
        <v>-17477.085287929542</v>
      </c>
      <c r="AC152" s="515">
        <f t="shared" ca="1" si="77"/>
        <v>-11000</v>
      </c>
      <c r="AD152" s="515">
        <f t="shared" ca="1" si="77"/>
        <v>-500</v>
      </c>
      <c r="AE152" s="515">
        <f t="shared" ca="1" si="77"/>
        <v>-9709.1863859756559</v>
      </c>
      <c r="AF152" s="515">
        <f t="shared" ca="1" si="77"/>
        <v>0</v>
      </c>
      <c r="AG152" s="515">
        <f t="shared" ca="1" si="77"/>
        <v>0</v>
      </c>
    </row>
    <row r="153" spans="1:33" outlineLevel="1">
      <c r="A153" s="861"/>
      <c r="B153" s="735"/>
      <c r="C153" s="735"/>
      <c r="D153" s="735"/>
      <c r="E153" s="735"/>
      <c r="F153" s="735"/>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row>
    <row r="154" spans="1:33" ht="22.5" customHeight="1">
      <c r="A154" s="861"/>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row>
    <row r="155" spans="1:33" s="235" customFormat="1" ht="18.75" customHeight="1">
      <c r="A155" s="861"/>
    </row>
    <row r="156" spans="1:33" s="861" customFormat="1" ht="18.75" customHeight="1"/>
    <row r="157" spans="1:33" s="861" customFormat="1" ht="18.75" customHeight="1"/>
    <row r="158" spans="1:33" s="861" customFormat="1" ht="18.75" customHeight="1"/>
    <row r="159" spans="1:33" s="861" customFormat="1" ht="18.75" customHeight="1"/>
    <row r="160" spans="1:33" s="861" customFormat="1" ht="18.75" customHeight="1"/>
    <row r="161" spans="1:1" s="861" customFormat="1" ht="18.75" customHeight="1"/>
    <row r="162" spans="1:1" s="235" customFormat="1" ht="18.75" customHeight="1">
      <c r="A162" s="861"/>
    </row>
    <row r="163" spans="1:1" s="235" customFormat="1" ht="18.75" customHeight="1"/>
    <row r="164" spans="1:1" s="235" customFormat="1" ht="18.75" customHeight="1"/>
    <row r="165" spans="1:1" s="235" customFormat="1" ht="18.75" customHeight="1"/>
    <row r="166" spans="1:1" s="235" customFormat="1" ht="18.75" customHeight="1"/>
    <row r="167" spans="1:1" s="235" customFormat="1" ht="18.75" customHeight="1"/>
    <row r="168" spans="1:1" s="235" customFormat="1" ht="18.75" customHeight="1"/>
    <row r="169" spans="1:1" s="861" customFormat="1" ht="18.75" customHeight="1"/>
    <row r="170" spans="1:1" s="861" customFormat="1" ht="18.75" customHeight="1"/>
    <row r="171" spans="1:1" s="861" customFormat="1" ht="18.75" customHeight="1"/>
    <row r="172" spans="1:1" s="861" customFormat="1" ht="18.75" customHeight="1"/>
    <row r="173" spans="1:1" s="235" customFormat="1" ht="18.75" customHeight="1"/>
    <row r="174" spans="1:1" s="235" customFormat="1" ht="18.75" customHeight="1"/>
    <row r="175" spans="1:1" s="235" customFormat="1" ht="18.75" customHeight="1"/>
    <row r="176" spans="1:1" s="235" customFormat="1" ht="18.75" customHeight="1"/>
    <row r="177" s="235" customFormat="1" ht="18.75" customHeight="1"/>
    <row r="178" s="235" customFormat="1" ht="18.75" customHeight="1"/>
    <row r="179" s="235" customFormat="1" ht="18.75" customHeight="1"/>
    <row r="180" s="235" customFormat="1" ht="18.75" customHeight="1"/>
    <row r="181" s="235" customFormat="1" ht="18.75" customHeight="1"/>
    <row r="182" s="235" customFormat="1" ht="18.75" customHeight="1"/>
    <row r="183" s="235" customFormat="1" ht="18.75" customHeight="1"/>
    <row r="184" s="235" customFormat="1" ht="18.75" customHeight="1"/>
    <row r="185" s="235" customFormat="1" ht="18.75" customHeight="1"/>
    <row r="186" s="235" customFormat="1" ht="18.75" customHeight="1"/>
    <row r="187" s="235" customFormat="1" ht="18.75" customHeight="1"/>
    <row r="188" s="235" customFormat="1" ht="18.75" customHeight="1"/>
    <row r="189" s="235" customFormat="1" ht="18.75" customHeight="1"/>
  </sheetData>
  <sheetProtection password="F66A" sheet="1"/>
  <conditionalFormatting sqref="J89:AG89 J77:AG77 T94:AG94">
    <cfRule type="cellIs" dxfId="169" priority="500" stopIfTrue="1" operator="equal">
      <formula>1</formula>
    </cfRule>
  </conditionalFormatting>
  <conditionalFormatting sqref="E45">
    <cfRule type="cellIs" dxfId="168" priority="497" stopIfTrue="1" operator="equal">
      <formula>0</formula>
    </cfRule>
  </conditionalFormatting>
  <conditionalFormatting sqref="J90:AG90 J92:AG93">
    <cfRule type="cellIs" dxfId="167" priority="463" stopIfTrue="1" operator="equal">
      <formula>1</formula>
    </cfRule>
  </conditionalFormatting>
  <conditionalFormatting sqref="K90:L90">
    <cfRule type="cellIs" dxfId="166" priority="460" stopIfTrue="1" operator="equal">
      <formula>1</formula>
    </cfRule>
  </conditionalFormatting>
  <conditionalFormatting sqref="S94">
    <cfRule type="cellIs" dxfId="165" priority="451" stopIfTrue="1" operator="equal">
      <formula>1</formula>
    </cfRule>
  </conditionalFormatting>
  <conditionalFormatting sqref="J94:R94">
    <cfRule type="cellIs" dxfId="164" priority="449" stopIfTrue="1" operator="equal">
      <formula>1</formula>
    </cfRule>
  </conditionalFormatting>
  <conditionalFormatting sqref="B120">
    <cfRule type="cellIs" dxfId="163" priority="422" stopIfTrue="1" operator="notEqual">
      <formula>1</formula>
    </cfRule>
  </conditionalFormatting>
  <conditionalFormatting sqref="K77">
    <cfRule type="cellIs" dxfId="162" priority="421" stopIfTrue="1" operator="equal">
      <formula>1</formula>
    </cfRule>
  </conditionalFormatting>
  <conditionalFormatting sqref="L77">
    <cfRule type="cellIs" dxfId="161" priority="420" stopIfTrue="1" operator="equal">
      <formula>1</formula>
    </cfRule>
  </conditionalFormatting>
  <conditionalFormatting sqref="J78:AG78">
    <cfRule type="cellIs" dxfId="160" priority="353" operator="notEqual">
      <formula>0</formula>
    </cfRule>
  </conditionalFormatting>
  <conditionalFormatting sqref="J120:AG120">
    <cfRule type="expression" dxfId="159" priority="336" stopIfTrue="1">
      <formula>J$6=0</formula>
    </cfRule>
    <cfRule type="expression" dxfId="158" priority="357" stopIfTrue="1">
      <formula>$B$119=1</formula>
    </cfRule>
  </conditionalFormatting>
  <conditionalFormatting sqref="J49:AG50 J54:AG55 J59:AG60 J122:AG122 J132:AG132 J142:AG142 J146:AG146 J149:AG149 J75:AG75">
    <cfRule type="expression" dxfId="157" priority="305" stopIfTrue="1">
      <formula>J$6=0</formula>
    </cfRule>
  </conditionalFormatting>
  <conditionalFormatting sqref="B119">
    <cfRule type="cellIs" dxfId="156" priority="279" stopIfTrue="1" operator="notEqual">
      <formula>1</formula>
    </cfRule>
  </conditionalFormatting>
  <conditionalFormatting sqref="B130">
    <cfRule type="cellIs" dxfId="155" priority="278" stopIfTrue="1" operator="notEqual">
      <formula>1</formula>
    </cfRule>
  </conditionalFormatting>
  <conditionalFormatting sqref="B129">
    <cfRule type="cellIs" dxfId="154" priority="277" stopIfTrue="1" operator="notEqual">
      <formula>1</formula>
    </cfRule>
  </conditionalFormatting>
  <conditionalFormatting sqref="B140">
    <cfRule type="cellIs" dxfId="153" priority="276" stopIfTrue="1" operator="notEqual">
      <formula>1</formula>
    </cfRule>
  </conditionalFormatting>
  <conditionalFormatting sqref="B139">
    <cfRule type="cellIs" dxfId="152" priority="275" stopIfTrue="1" operator="notEqual">
      <formula>1</formula>
    </cfRule>
  </conditionalFormatting>
  <conditionalFormatting sqref="K50">
    <cfRule type="expression" dxfId="151" priority="194" stopIfTrue="1">
      <formula>K$6=0</formula>
    </cfRule>
  </conditionalFormatting>
  <conditionalFormatting sqref="K50">
    <cfRule type="expression" dxfId="150" priority="193" stopIfTrue="1">
      <formula>K$6=0</formula>
    </cfRule>
  </conditionalFormatting>
  <conditionalFormatting sqref="L50:AC50">
    <cfRule type="expression" dxfId="149" priority="192" stopIfTrue="1">
      <formula>L$6=0</formula>
    </cfRule>
  </conditionalFormatting>
  <conditionalFormatting sqref="L50:AC50">
    <cfRule type="expression" dxfId="148" priority="191" stopIfTrue="1">
      <formula>L$6=0</formula>
    </cfRule>
  </conditionalFormatting>
  <conditionalFormatting sqref="K50">
    <cfRule type="expression" dxfId="147" priority="206" stopIfTrue="1">
      <formula>K$6=0</formula>
    </cfRule>
  </conditionalFormatting>
  <conditionalFormatting sqref="K50">
    <cfRule type="expression" dxfId="146" priority="205" stopIfTrue="1">
      <formula>K$6=0</formula>
    </cfRule>
  </conditionalFormatting>
  <conditionalFormatting sqref="L50:AC50">
    <cfRule type="expression" dxfId="145" priority="204" stopIfTrue="1">
      <formula>L$6=0</formula>
    </cfRule>
  </conditionalFormatting>
  <conditionalFormatting sqref="L50:AC50">
    <cfRule type="expression" dxfId="144" priority="203" stopIfTrue="1">
      <formula>L$6=0</formula>
    </cfRule>
  </conditionalFormatting>
  <conditionalFormatting sqref="K49">
    <cfRule type="expression" dxfId="143" priority="198" stopIfTrue="1">
      <formula>K$6=0</formula>
    </cfRule>
  </conditionalFormatting>
  <conditionalFormatting sqref="K49">
    <cfRule type="expression" dxfId="142" priority="197" stopIfTrue="1">
      <formula>K$6=0</formula>
    </cfRule>
  </conditionalFormatting>
  <conditionalFormatting sqref="L49:AC49">
    <cfRule type="expression" dxfId="141" priority="196" stopIfTrue="1">
      <formula>L$6=0</formula>
    </cfRule>
  </conditionalFormatting>
  <conditionalFormatting sqref="L49:AC49">
    <cfRule type="expression" dxfId="140" priority="195" stopIfTrue="1">
      <formula>L$6=0</formula>
    </cfRule>
  </conditionalFormatting>
  <conditionalFormatting sqref="K49">
    <cfRule type="expression" dxfId="139" priority="210" stopIfTrue="1">
      <formula>K$6=0</formula>
    </cfRule>
  </conditionalFormatting>
  <conditionalFormatting sqref="K49">
    <cfRule type="expression" dxfId="138" priority="209" stopIfTrue="1">
      <formula>K$6=0</formula>
    </cfRule>
  </conditionalFormatting>
  <conditionalFormatting sqref="L49:AC49">
    <cfRule type="expression" dxfId="137" priority="208" stopIfTrue="1">
      <formula>L$6=0</formula>
    </cfRule>
  </conditionalFormatting>
  <conditionalFormatting sqref="L49:AC49">
    <cfRule type="expression" dxfId="136" priority="207" stopIfTrue="1">
      <formula>L$6=0</formula>
    </cfRule>
  </conditionalFormatting>
  <conditionalFormatting sqref="F42">
    <cfRule type="cellIs" dxfId="135" priority="234" operator="equal">
      <formula>0</formula>
    </cfRule>
  </conditionalFormatting>
  <conditionalFormatting sqref="K146">
    <cfRule type="expression" dxfId="134" priority="141" stopIfTrue="1">
      <formula>K$6=0</formula>
    </cfRule>
  </conditionalFormatting>
  <conditionalFormatting sqref="D3">
    <cfRule type="cellIs" dxfId="133" priority="138" operator="notEqual">
      <formula>0</formula>
    </cfRule>
  </conditionalFormatting>
  <conditionalFormatting sqref="I77">
    <cfRule type="cellIs" dxfId="132" priority="122" operator="notEqual">
      <formula>0</formula>
    </cfRule>
  </conditionalFormatting>
  <conditionalFormatting sqref="K55">
    <cfRule type="expression" dxfId="131" priority="98" stopIfTrue="1">
      <formula>K$6=0</formula>
    </cfRule>
  </conditionalFormatting>
  <conditionalFormatting sqref="K55">
    <cfRule type="expression" dxfId="130" priority="97" stopIfTrue="1">
      <formula>K$6=0</formula>
    </cfRule>
  </conditionalFormatting>
  <conditionalFormatting sqref="K55">
    <cfRule type="expression" dxfId="129" priority="110" stopIfTrue="1">
      <formula>K$6=0</formula>
    </cfRule>
  </conditionalFormatting>
  <conditionalFormatting sqref="K55">
    <cfRule type="expression" dxfId="128" priority="109" stopIfTrue="1">
      <formula>K$6=0</formula>
    </cfRule>
  </conditionalFormatting>
  <conditionalFormatting sqref="K54">
    <cfRule type="expression" dxfId="127" priority="102" stopIfTrue="1">
      <formula>K$6=0</formula>
    </cfRule>
  </conditionalFormatting>
  <conditionalFormatting sqref="K54">
    <cfRule type="expression" dxfId="126" priority="101" stopIfTrue="1">
      <formula>K$6=0</formula>
    </cfRule>
  </conditionalFormatting>
  <conditionalFormatting sqref="L54:AC54">
    <cfRule type="expression" dxfId="125" priority="100" stopIfTrue="1">
      <formula>L$6=0</formula>
    </cfRule>
  </conditionalFormatting>
  <conditionalFormatting sqref="L54:AC54">
    <cfRule type="expression" dxfId="124" priority="99" stopIfTrue="1">
      <formula>L$6=0</formula>
    </cfRule>
  </conditionalFormatting>
  <conditionalFormatting sqref="K54">
    <cfRule type="expression" dxfId="123" priority="114" stopIfTrue="1">
      <formula>K$6=0</formula>
    </cfRule>
  </conditionalFormatting>
  <conditionalFormatting sqref="K54">
    <cfRule type="expression" dxfId="122" priority="113" stopIfTrue="1">
      <formula>K$6=0</formula>
    </cfRule>
  </conditionalFormatting>
  <conditionalFormatting sqref="L54:AC54">
    <cfRule type="expression" dxfId="121" priority="112" stopIfTrue="1">
      <formula>L$6=0</formula>
    </cfRule>
  </conditionalFormatting>
  <conditionalFormatting sqref="L54:AC54">
    <cfRule type="expression" dxfId="120" priority="111" stopIfTrue="1">
      <formula>L$6=0</formula>
    </cfRule>
  </conditionalFormatting>
  <conditionalFormatting sqref="K60">
    <cfRule type="expression" dxfId="119" priority="72" stopIfTrue="1">
      <formula>K$6=0</formula>
    </cfRule>
  </conditionalFormatting>
  <conditionalFormatting sqref="K60">
    <cfRule type="expression" dxfId="118" priority="71" stopIfTrue="1">
      <formula>K$6=0</formula>
    </cfRule>
  </conditionalFormatting>
  <conditionalFormatting sqref="L60:AC60">
    <cfRule type="expression" dxfId="117" priority="70" stopIfTrue="1">
      <formula>L$6=0</formula>
    </cfRule>
  </conditionalFormatting>
  <conditionalFormatting sqref="L60:AC60">
    <cfRule type="expression" dxfId="116" priority="69" stopIfTrue="1">
      <formula>L$6=0</formula>
    </cfRule>
  </conditionalFormatting>
  <conditionalFormatting sqref="K60">
    <cfRule type="expression" dxfId="115" priority="84" stopIfTrue="1">
      <formula>K$6=0</formula>
    </cfRule>
  </conditionalFormatting>
  <conditionalFormatting sqref="K60">
    <cfRule type="expression" dxfId="114" priority="83" stopIfTrue="1">
      <formula>K$6=0</formula>
    </cfRule>
  </conditionalFormatting>
  <conditionalFormatting sqref="L60:AC60">
    <cfRule type="expression" dxfId="113" priority="82" stopIfTrue="1">
      <formula>L$6=0</formula>
    </cfRule>
  </conditionalFormatting>
  <conditionalFormatting sqref="L60:AC60">
    <cfRule type="expression" dxfId="112" priority="81" stopIfTrue="1">
      <formula>L$6=0</formula>
    </cfRule>
  </conditionalFormatting>
  <conditionalFormatting sqref="K59">
    <cfRule type="expression" dxfId="111" priority="76" stopIfTrue="1">
      <formula>K$6=0</formula>
    </cfRule>
  </conditionalFormatting>
  <conditionalFormatting sqref="K59">
    <cfRule type="expression" dxfId="110" priority="75" stopIfTrue="1">
      <formula>K$6=0</formula>
    </cfRule>
  </conditionalFormatting>
  <conditionalFormatting sqref="L59:AC59">
    <cfRule type="expression" dxfId="109" priority="74" stopIfTrue="1">
      <formula>L$6=0</formula>
    </cfRule>
  </conditionalFormatting>
  <conditionalFormatting sqref="L59:AC59">
    <cfRule type="expression" dxfId="108" priority="73" stopIfTrue="1">
      <formula>L$6=0</formula>
    </cfRule>
  </conditionalFormatting>
  <conditionalFormatting sqref="K59">
    <cfRule type="expression" dxfId="107" priority="88" stopIfTrue="1">
      <formula>K$6=0</formula>
    </cfRule>
  </conditionalFormatting>
  <conditionalFormatting sqref="K59">
    <cfRule type="expression" dxfId="106" priority="87" stopIfTrue="1">
      <formula>K$6=0</formula>
    </cfRule>
  </conditionalFormatting>
  <conditionalFormatting sqref="L59:AC59">
    <cfRule type="expression" dxfId="105" priority="86" stopIfTrue="1">
      <formula>L$6=0</formula>
    </cfRule>
  </conditionalFormatting>
  <conditionalFormatting sqref="L59:AC59">
    <cfRule type="expression" dxfId="104" priority="85" stopIfTrue="1">
      <formula>L$6=0</formula>
    </cfRule>
  </conditionalFormatting>
  <conditionalFormatting sqref="K122">
    <cfRule type="expression" dxfId="103" priority="58" stopIfTrue="1">
      <formula>K$6=0</formula>
    </cfRule>
  </conditionalFormatting>
  <conditionalFormatting sqref="K122">
    <cfRule type="expression" dxfId="102" priority="57" stopIfTrue="1">
      <formula>K$6=0</formula>
    </cfRule>
  </conditionalFormatting>
  <conditionalFormatting sqref="L122:AC122">
    <cfRule type="expression" dxfId="101" priority="56" stopIfTrue="1">
      <formula>L$6=0</formula>
    </cfRule>
  </conditionalFormatting>
  <conditionalFormatting sqref="L122:AC122">
    <cfRule type="expression" dxfId="100" priority="55" stopIfTrue="1">
      <formula>L$6=0</formula>
    </cfRule>
  </conditionalFormatting>
  <conditionalFormatting sqref="K122">
    <cfRule type="expression" dxfId="99" priority="64" stopIfTrue="1">
      <formula>K$6=0</formula>
    </cfRule>
  </conditionalFormatting>
  <conditionalFormatting sqref="K122">
    <cfRule type="expression" dxfId="98" priority="63" stopIfTrue="1">
      <formula>K$6=0</formula>
    </cfRule>
  </conditionalFormatting>
  <conditionalFormatting sqref="L122:AC122">
    <cfRule type="expression" dxfId="97" priority="62" stopIfTrue="1">
      <formula>L$6=0</formula>
    </cfRule>
  </conditionalFormatting>
  <conditionalFormatting sqref="L122:AC122">
    <cfRule type="expression" dxfId="96" priority="61" stopIfTrue="1">
      <formula>L$6=0</formula>
    </cfRule>
  </conditionalFormatting>
  <conditionalFormatting sqref="K132">
    <cfRule type="expression" dxfId="95" priority="45" stopIfTrue="1">
      <formula>K$6=0</formula>
    </cfRule>
  </conditionalFormatting>
  <conditionalFormatting sqref="K132">
    <cfRule type="expression" dxfId="94" priority="44" stopIfTrue="1">
      <formula>K$6=0</formula>
    </cfRule>
  </conditionalFormatting>
  <conditionalFormatting sqref="L132:AC132">
    <cfRule type="expression" dxfId="93" priority="43" stopIfTrue="1">
      <formula>L$6=0</formula>
    </cfRule>
  </conditionalFormatting>
  <conditionalFormatting sqref="L132:AC132">
    <cfRule type="expression" dxfId="92" priority="42" stopIfTrue="1">
      <formula>L$6=0</formula>
    </cfRule>
  </conditionalFormatting>
  <conditionalFormatting sqref="K132">
    <cfRule type="expression" dxfId="91" priority="51" stopIfTrue="1">
      <formula>K$6=0</formula>
    </cfRule>
  </conditionalFormatting>
  <conditionalFormatting sqref="K132">
    <cfRule type="expression" dxfId="90" priority="50" stopIfTrue="1">
      <formula>K$6=0</formula>
    </cfRule>
  </conditionalFormatting>
  <conditionalFormatting sqref="L132:AC132">
    <cfRule type="expression" dxfId="89" priority="49" stopIfTrue="1">
      <formula>L$6=0</formula>
    </cfRule>
  </conditionalFormatting>
  <conditionalFormatting sqref="L132:AC132">
    <cfRule type="expression" dxfId="88" priority="48" stopIfTrue="1">
      <formula>L$6=0</formula>
    </cfRule>
  </conditionalFormatting>
  <conditionalFormatting sqref="K142">
    <cfRule type="expression" dxfId="87" priority="32" stopIfTrue="1">
      <formula>K$6=0</formula>
    </cfRule>
  </conditionalFormatting>
  <conditionalFormatting sqref="K142">
    <cfRule type="expression" dxfId="86" priority="31" stopIfTrue="1">
      <formula>K$6=0</formula>
    </cfRule>
  </conditionalFormatting>
  <conditionalFormatting sqref="L142:AC142">
    <cfRule type="expression" dxfId="85" priority="30" stopIfTrue="1">
      <formula>L$6=0</formula>
    </cfRule>
  </conditionalFormatting>
  <conditionalFormatting sqref="L142:AC142">
    <cfRule type="expression" dxfId="84" priority="29" stopIfTrue="1">
      <formula>L$6=0</formula>
    </cfRule>
  </conditionalFormatting>
  <conditionalFormatting sqref="K142">
    <cfRule type="expression" dxfId="83" priority="38" stopIfTrue="1">
      <formula>K$6=0</formula>
    </cfRule>
  </conditionalFormatting>
  <conditionalFormatting sqref="K142">
    <cfRule type="expression" dxfId="82" priority="37" stopIfTrue="1">
      <formula>K$6=0</formula>
    </cfRule>
  </conditionalFormatting>
  <conditionalFormatting sqref="L142:AC142">
    <cfRule type="expression" dxfId="81" priority="36" stopIfTrue="1">
      <formula>L$6=0</formula>
    </cfRule>
  </conditionalFormatting>
  <conditionalFormatting sqref="L142:AC142">
    <cfRule type="expression" dxfId="80" priority="35" stopIfTrue="1">
      <formula>L$6=0</formula>
    </cfRule>
  </conditionalFormatting>
  <conditionalFormatting sqref="J130:AG130">
    <cfRule type="expression" dxfId="79" priority="26" stopIfTrue="1">
      <formula>J$6=0</formula>
    </cfRule>
    <cfRule type="expression" dxfId="78" priority="27" stopIfTrue="1">
      <formula>$B$129=1</formula>
    </cfRule>
  </conditionalFormatting>
  <conditionalFormatting sqref="J140:AG140">
    <cfRule type="expression" dxfId="77" priority="24" stopIfTrue="1">
      <formula>J$6=0</formula>
    </cfRule>
    <cfRule type="expression" dxfId="76" priority="25" stopIfTrue="1">
      <formula>$B$139=1</formula>
    </cfRule>
  </conditionalFormatting>
  <conditionalFormatting sqref="F87">
    <cfRule type="cellIs" dxfId="75" priority="21" stopIfTrue="1" operator="equal">
      <formula>0</formula>
    </cfRule>
  </conditionalFormatting>
  <conditionalFormatting sqref="K75">
    <cfRule type="expression" dxfId="74" priority="12" stopIfTrue="1">
      <formula>K$6=0</formula>
    </cfRule>
  </conditionalFormatting>
  <conditionalFormatting sqref="K75">
    <cfRule type="expression" dxfId="73" priority="11" stopIfTrue="1">
      <formula>K$6=0</formula>
    </cfRule>
  </conditionalFormatting>
  <conditionalFormatting sqref="L75:AC75">
    <cfRule type="expression" dxfId="72" priority="10" stopIfTrue="1">
      <formula>L$6=0</formula>
    </cfRule>
  </conditionalFormatting>
  <conditionalFormatting sqref="L75:AC75">
    <cfRule type="expression" dxfId="71" priority="9" stopIfTrue="1">
      <formula>L$6=0</formula>
    </cfRule>
  </conditionalFormatting>
  <conditionalFormatting sqref="K75">
    <cfRule type="expression" dxfId="70" priority="18" stopIfTrue="1">
      <formula>K$6=0</formula>
    </cfRule>
  </conditionalFormatting>
  <conditionalFormatting sqref="K75">
    <cfRule type="expression" dxfId="69" priority="17" stopIfTrue="1">
      <formula>K$6=0</formula>
    </cfRule>
  </conditionalFormatting>
  <conditionalFormatting sqref="L75:AC75">
    <cfRule type="expression" dxfId="68" priority="16" stopIfTrue="1">
      <formula>L$6=0</formula>
    </cfRule>
  </conditionalFormatting>
  <conditionalFormatting sqref="L75:AC75">
    <cfRule type="expression" dxfId="67" priority="15" stopIfTrue="1">
      <formula>L$6=0</formula>
    </cfRule>
  </conditionalFormatting>
  <conditionalFormatting sqref="I78">
    <cfRule type="cellIs" dxfId="66" priority="7" operator="notEqual">
      <formula>0</formula>
    </cfRule>
  </conditionalFormatting>
  <conditionalFormatting sqref="I78">
    <cfRule type="cellIs" dxfId="65" priority="6" operator="notEqual">
      <formula>0</formula>
    </cfRule>
  </conditionalFormatting>
  <conditionalFormatting sqref="K6:L6 R6:AG6">
    <cfRule type="cellIs" dxfId="64" priority="5" stopIfTrue="1" operator="equal">
      <formula>1</formula>
    </cfRule>
  </conditionalFormatting>
  <conditionalFormatting sqref="J4 K4:AG5">
    <cfRule type="expression" dxfId="63" priority="4" stopIfTrue="1">
      <formula>J$6=1</formula>
    </cfRule>
  </conditionalFormatting>
  <conditionalFormatting sqref="M6:Q6">
    <cfRule type="cellIs" dxfId="62" priority="3" stopIfTrue="1" operator="equal">
      <formula>1</formula>
    </cfRule>
  </conditionalFormatting>
  <conditionalFormatting sqref="J5">
    <cfRule type="expression" dxfId="61" priority="2" stopIfTrue="1">
      <formula>J$6=1</formula>
    </cfRule>
  </conditionalFormatting>
  <conditionalFormatting sqref="J6:AG6">
    <cfRule type="cellIs" dxfId="60" priority="1" stopIfTrue="1" operator="equal">
      <formula>1</formula>
    </cfRule>
  </conditionalFormatting>
  <dataValidations disablePrompts="1" count="2">
    <dataValidation type="decimal" operator="greaterThanOrEqual" allowBlank="1" showInputMessage="1" showErrorMessage="1" errorTitle="Inputs" error="Positive numbers/inputs only !" sqref="J140:AG140 J130:AG130 J120:AG120 J142:AG142 J132:AG132 J122:AG122 J59:AG59 J54:AG54 J49:AG49">
      <formula1>0</formula1>
    </dataValidation>
    <dataValidation type="decimal" operator="lessThanOrEqual" allowBlank="1" showInputMessage="1" showErrorMessage="1" errorTitle="Inputs" error="Negative numbers/inputs only !" sqref="J55:AG55 J75:AG75 J146:AG146 J60:AG60 J149:AG149 J50:AG50">
      <formula1>0</formula1>
    </dataValidation>
  </dataValidations>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FS">
    <tabColor theme="1"/>
    <pageSetUpPr autoPageBreaks="0"/>
  </sheetPr>
  <dimension ref="A1:NE279"/>
  <sheetViews>
    <sheetView showGridLines="0" zoomScaleNormal="100"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outlineLevelRow="2"/>
  <cols>
    <col min="1" max="1" width="3" style="116" customWidth="1"/>
    <col min="2" max="2" width="4.140625" style="116" customWidth="1"/>
    <col min="3" max="3" width="51.7109375" style="116" customWidth="1"/>
    <col min="4" max="4" width="13" style="116" customWidth="1"/>
    <col min="5" max="5" width="12.28515625" style="116" customWidth="1"/>
    <col min="6" max="6" width="7.28515625" style="116" customWidth="1"/>
    <col min="7" max="7" width="11.7109375" style="116" customWidth="1"/>
    <col min="8" max="8" width="7.7109375" style="116" customWidth="1"/>
    <col min="9" max="9" width="13" style="116" customWidth="1"/>
    <col min="10" max="33" width="11.42578125" style="116" customWidth="1"/>
    <col min="34" max="369" width="0" style="116" hidden="1" customWidth="1"/>
    <col min="370" max="16384" width="11.42578125" style="116" hidden="1"/>
  </cols>
  <sheetData>
    <row r="1" spans="1:33" ht="20.25">
      <c r="A1" s="41" t="s">
        <v>270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
      <c r="A2" s="127"/>
      <c r="B2" s="127"/>
      <c r="C2" s="268" t="str">
        <f>Timing!C2</f>
        <v>Model: Fictitious 5 Year Forecast</v>
      </c>
      <c r="D2" s="268"/>
      <c r="E2" s="429" t="s">
        <v>148</v>
      </c>
      <c r="F2" s="127"/>
      <c r="G2" s="127"/>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row>
    <row r="3" spans="1:33" ht="20.25">
      <c r="A3" s="127"/>
      <c r="B3" s="127"/>
      <c r="C3" s="268" t="str">
        <f>Timing!C3</f>
        <v>Model Integrity:</v>
      </c>
      <c r="D3" s="668">
        <f ca="1">Timing!D3</f>
        <v>0</v>
      </c>
      <c r="E3" s="429" t="s">
        <v>149</v>
      </c>
      <c r="F3" s="127"/>
      <c r="G3" s="280"/>
      <c r="H3" s="282"/>
      <c r="I3" s="282"/>
      <c r="J3" s="282"/>
      <c r="K3" s="282"/>
      <c r="L3" s="282"/>
      <c r="M3" s="235"/>
      <c r="N3" s="281"/>
      <c r="O3" s="235"/>
      <c r="P3" s="281"/>
      <c r="Q3" s="235"/>
      <c r="R3" s="281"/>
      <c r="S3" s="235"/>
      <c r="T3" s="281"/>
      <c r="U3" s="235"/>
      <c r="V3" s="281"/>
      <c r="W3" s="235"/>
      <c r="X3" s="281"/>
      <c r="Y3" s="235"/>
      <c r="Z3" s="281"/>
      <c r="AA3" s="235"/>
      <c r="AB3" s="281"/>
      <c r="AC3" s="235"/>
      <c r="AD3" s="281"/>
      <c r="AE3" s="235"/>
      <c r="AF3" s="281"/>
      <c r="AG3" s="235"/>
    </row>
    <row r="4" spans="1:33">
      <c r="A4" s="127"/>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c r="A7" s="861"/>
      <c r="B7" s="235"/>
      <c r="C7" s="327" t="str">
        <f>Timing!C9</f>
        <v>Days in Period</v>
      </c>
      <c r="D7" s="328" t="str">
        <f>Timing!D9</f>
        <v>days</v>
      </c>
      <c r="E7" s="327"/>
      <c r="F7" s="327"/>
      <c r="G7" s="327"/>
      <c r="H7" s="327"/>
      <c r="I7" s="861"/>
      <c r="J7" s="329">
        <f>Timing!J9</f>
        <v>28</v>
      </c>
      <c r="K7" s="329">
        <f>Timing!K9</f>
        <v>31</v>
      </c>
      <c r="L7" s="329">
        <f>Timing!L9</f>
        <v>30</v>
      </c>
      <c r="M7" s="329">
        <f>Timing!M9</f>
        <v>31</v>
      </c>
      <c r="N7" s="329">
        <f>Timing!N9</f>
        <v>30</v>
      </c>
      <c r="O7" s="329">
        <f>Timing!O9</f>
        <v>31</v>
      </c>
      <c r="P7" s="329">
        <f>Timing!P9</f>
        <v>31</v>
      </c>
      <c r="Q7" s="329">
        <f>Timing!Q9</f>
        <v>30</v>
      </c>
      <c r="R7" s="329">
        <f>Timing!R9</f>
        <v>31</v>
      </c>
      <c r="S7" s="329">
        <f>Timing!S9</f>
        <v>30</v>
      </c>
      <c r="T7" s="329">
        <f>Timing!T9</f>
        <v>31</v>
      </c>
      <c r="U7" s="329">
        <f>Timing!U9</f>
        <v>31</v>
      </c>
      <c r="V7" s="329">
        <f>Timing!V9</f>
        <v>28</v>
      </c>
      <c r="W7" s="329">
        <f>Timing!W9</f>
        <v>31</v>
      </c>
      <c r="X7" s="329">
        <f>Timing!X9</f>
        <v>30</v>
      </c>
      <c r="Y7" s="329">
        <f>Timing!Y9</f>
        <v>31</v>
      </c>
      <c r="Z7" s="329">
        <f>Timing!Z9</f>
        <v>30</v>
      </c>
      <c r="AA7" s="329">
        <f>Timing!AA9</f>
        <v>31</v>
      </c>
      <c r="AB7" s="329">
        <f>Timing!AB9</f>
        <v>31</v>
      </c>
      <c r="AC7" s="329">
        <f>Timing!AC9</f>
        <v>30</v>
      </c>
      <c r="AD7" s="329">
        <f>Timing!AD9</f>
        <v>31</v>
      </c>
      <c r="AE7" s="329">
        <f>Timing!AE9</f>
        <v>30</v>
      </c>
      <c r="AF7" s="329">
        <f>Timing!AF9</f>
        <v>31</v>
      </c>
      <c r="AG7" s="329">
        <f>Timing!AG9</f>
        <v>31</v>
      </c>
    </row>
    <row r="8" spans="1:33" s="199" customFormat="1">
      <c r="A8" s="861"/>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row>
    <row r="9" spans="1:33" ht="24" thickBot="1">
      <c r="A9" s="316"/>
      <c r="B9" s="316"/>
      <c r="C9" s="316" t="str">
        <f>CHOOSE(language,"Profit and Loss Statement","Income Statement")</f>
        <v>Income Statement</v>
      </c>
      <c r="D9" s="323" t="str">
        <f>"(all figures in " &amp;Currency_Label &amp;")"</f>
        <v>(all figures in USD)</v>
      </c>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row>
    <row r="10" spans="1:33" ht="17.25" customHeight="1" outlineLevel="1">
      <c r="A10" s="127"/>
      <c r="B10" s="127"/>
      <c r="C10" s="235"/>
      <c r="D10" s="324"/>
      <c r="E10" s="127"/>
      <c r="F10" s="127"/>
      <c r="G10" s="127"/>
      <c r="H10" s="127"/>
      <c r="I10" s="127"/>
      <c r="J10" s="691">
        <f t="shared" ref="J10:AG10" si="0">J$4</f>
        <v>43132</v>
      </c>
      <c r="K10" s="691">
        <f t="shared" si="0"/>
        <v>43160</v>
      </c>
      <c r="L10" s="691">
        <f t="shared" si="0"/>
        <v>43191</v>
      </c>
      <c r="M10" s="691">
        <f t="shared" si="0"/>
        <v>43221</v>
      </c>
      <c r="N10" s="691">
        <f t="shared" si="0"/>
        <v>43252</v>
      </c>
      <c r="O10" s="691">
        <f t="shared" si="0"/>
        <v>43282</v>
      </c>
      <c r="P10" s="691">
        <f t="shared" si="0"/>
        <v>43313</v>
      </c>
      <c r="Q10" s="691">
        <f t="shared" si="0"/>
        <v>43344</v>
      </c>
      <c r="R10" s="691">
        <f t="shared" si="0"/>
        <v>43374</v>
      </c>
      <c r="S10" s="691">
        <f t="shared" si="0"/>
        <v>43405</v>
      </c>
      <c r="T10" s="691">
        <f t="shared" si="0"/>
        <v>43435</v>
      </c>
      <c r="U10" s="691">
        <f t="shared" si="0"/>
        <v>43466</v>
      </c>
      <c r="V10" s="691">
        <f t="shared" si="0"/>
        <v>43497</v>
      </c>
      <c r="W10" s="691">
        <f t="shared" si="0"/>
        <v>43525</v>
      </c>
      <c r="X10" s="691">
        <f t="shared" si="0"/>
        <v>43556</v>
      </c>
      <c r="Y10" s="691">
        <f t="shared" si="0"/>
        <v>43586</v>
      </c>
      <c r="Z10" s="691">
        <f t="shared" si="0"/>
        <v>43617</v>
      </c>
      <c r="AA10" s="691">
        <f t="shared" si="0"/>
        <v>43647</v>
      </c>
      <c r="AB10" s="691">
        <f t="shared" si="0"/>
        <v>43678</v>
      </c>
      <c r="AC10" s="691">
        <f t="shared" si="0"/>
        <v>43709</v>
      </c>
      <c r="AD10" s="691">
        <f t="shared" si="0"/>
        <v>43739</v>
      </c>
      <c r="AE10" s="691">
        <f t="shared" si="0"/>
        <v>43770</v>
      </c>
      <c r="AF10" s="691">
        <f t="shared" si="0"/>
        <v>43800</v>
      </c>
      <c r="AG10" s="691">
        <f t="shared" si="0"/>
        <v>43831</v>
      </c>
    </row>
    <row r="11" spans="1:33" ht="17.25" customHeight="1" outlineLevel="1">
      <c r="A11" s="861"/>
      <c r="B11" s="282"/>
      <c r="C11" s="268" t="str">
        <f>CHOOSE(language,"Turnover","Revenue")</f>
        <v>Revenue</v>
      </c>
      <c r="D11" s="282"/>
      <c r="E11" s="282"/>
      <c r="F11" s="282"/>
      <c r="G11" s="282"/>
      <c r="H11" s="282"/>
      <c r="I11" s="786"/>
      <c r="J11" s="861"/>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row>
    <row r="12" spans="1:33" s="632" customFormat="1" ht="17.25" customHeight="1" outlineLevel="1">
      <c r="A12" s="861"/>
      <c r="B12" s="861"/>
      <c r="C12" s="24" t="str">
        <f>"  -  " &amp;PS_01</f>
        <v xml:space="preserve">  -  WonderApp</v>
      </c>
      <c r="D12" s="878"/>
      <c r="E12" s="800"/>
      <c r="F12" s="800"/>
      <c r="G12" s="40"/>
      <c r="I12" s="236">
        <f ca="1">SUM(J12:AG12)</f>
        <v>1673720.1275924016</v>
      </c>
      <c r="J12" s="141">
        <f ca="1">SUM('Offering 1'!J28:J30)+'Offering 1'!J40-(1-'Offering 1'!$F$66)*'Offering 1'!J77</f>
        <v>12325</v>
      </c>
      <c r="K12" s="141">
        <f ca="1">SUM('Offering 1'!K28:K30)+'Offering 1'!K40-(1-'Offering 1'!$F$66)*'Offering 1'!K77</f>
        <v>17125</v>
      </c>
      <c r="L12" s="141">
        <f ca="1">SUM('Offering 1'!L28:L30)+'Offering 1'!L40-(1-'Offering 1'!$F$66)*'Offering 1'!L77</f>
        <v>22662.5</v>
      </c>
      <c r="M12" s="141">
        <f ca="1">SUM('Offering 1'!M28:M30)+'Offering 1'!M40-(1-'Offering 1'!$F$66)*'Offering 1'!M77</f>
        <v>28457.7</v>
      </c>
      <c r="N12" s="141">
        <f ca="1">SUM('Offering 1'!N28:N30)+'Offering 1'!N40-(1-'Offering 1'!$F$66)*'Offering 1'!N77</f>
        <v>34788.9</v>
      </c>
      <c r="O12" s="141">
        <f ca="1">SUM('Offering 1'!O28:O30)+'Offering 1'!O40-(1-'Offering 1'!$F$66)*'Offering 1'!O77</f>
        <v>41082.508000000002</v>
      </c>
      <c r="P12" s="141">
        <f ca="1">SUM('Offering 1'!P28:P30)+'Offering 1'!P40-(1-'Offering 1'!$F$66)*'Offering 1'!P77</f>
        <v>48198.092320000011</v>
      </c>
      <c r="Q12" s="141">
        <f ca="1">SUM('Offering 1'!Q28:Q30)+'Offering 1'!Q40-(1-'Offering 1'!$F$66)*'Offering 1'!Q77</f>
        <v>55312.218732800007</v>
      </c>
      <c r="R12" s="141">
        <f ca="1">SUM('Offering 1'!R28:R30)+'Offering 1'!R40-(1-'Offering 1'!$F$66)*'Offering 1'!R77</f>
        <v>62862.871802112008</v>
      </c>
      <c r="S12" s="141">
        <f ca="1">SUM('Offering 1'!S28:S30)+'Offering 1'!S40-(1-'Offering 1'!$F$66)*'Offering 1'!S77</f>
        <v>68614.213314196488</v>
      </c>
      <c r="T12" s="141">
        <f ca="1">SUM('Offering 1'!T28:T30)+'Offering 1'!T40-(1-'Offering 1'!$F$66)*'Offering 1'!T77</f>
        <v>75623.489273964355</v>
      </c>
      <c r="U12" s="141">
        <f ca="1">SUM('Offering 1'!U28:U30)+'Offering 1'!U40-(1-'Offering 1'!$F$66)*'Offering 1'!U77</f>
        <v>79421.700606910119</v>
      </c>
      <c r="V12" s="141">
        <f ca="1">SUM('Offering 1'!V28:V30)+'Offering 1'!V40-(1-'Offering 1'!$F$66)*'Offering 1'!V77</f>
        <v>84605.912309086532</v>
      </c>
      <c r="W12" s="141">
        <f ca="1">SUM('Offering 1'!W28:W30)+'Offering 1'!W40-(1-'Offering 1'!$F$66)*'Offering 1'!W77</f>
        <v>90982.266382942005</v>
      </c>
      <c r="X12" s="141">
        <f ca="1">SUM('Offering 1'!X28:X30)+'Offering 1'!X40-(1-'Offering 1'!$F$66)*'Offering 1'!X77</f>
        <v>97441.380929511681</v>
      </c>
      <c r="Y12" s="141">
        <f ca="1">SUM('Offering 1'!Y28:Y30)+'Offering 1'!Y40-(1-'Offering 1'!$F$66)*'Offering 1'!Y77</f>
        <v>102993.36508052115</v>
      </c>
      <c r="Z12" s="141">
        <f ca="1">SUM('Offering 1'!Z28:Z30)+'Offering 1'!Z40-(1-'Offering 1'!$F$66)*'Offering 1'!Z77</f>
        <v>109356.00430465091</v>
      </c>
      <c r="AA12" s="141">
        <f ca="1">SUM('Offering 1'!AA28:AA30)+'Offering 1'!AA40-(1-'Offering 1'!$F$66)*'Offering 1'!AA77</f>
        <v>115842.20589316347</v>
      </c>
      <c r="AB12" s="141">
        <f ca="1">SUM('Offering 1'!AB28:AB30)+'Offering 1'!AB40-(1-'Offering 1'!$F$66)*'Offering 1'!AB77</f>
        <v>121682.03843609382</v>
      </c>
      <c r="AC12" s="141">
        <f ca="1">SUM('Offering 1'!AC28:AC30)+'Offering 1'!AC40-(1-'Offering 1'!$F$66)*'Offering 1'!AC77</f>
        <v>128223.62438145457</v>
      </c>
      <c r="AD12" s="141">
        <f ca="1">SUM('Offering 1'!AD28:AD30)+'Offering 1'!AD40-(1-'Offering 1'!$F$66)*'Offering 1'!AD77</f>
        <v>134927.35692914721</v>
      </c>
      <c r="AE12" s="141">
        <f ca="1">SUM('Offering 1'!AE28:AE30)+'Offering 1'!AE40-(1-'Offering 1'!$F$66)*'Offering 1'!AE77</f>
        <v>141191.77889584703</v>
      </c>
      <c r="AF12" s="141">
        <f ca="1">SUM('Offering 1'!AF28:AF30)+'Offering 1'!AF40-(1-'Offering 1'!$F$66)*'Offering 1'!AF77</f>
        <v>0</v>
      </c>
      <c r="AG12" s="141">
        <f ca="1">SUM('Offering 1'!AG28:AG30)+'Offering 1'!AG40-(1-'Offering 1'!$F$66)*'Offering 1'!AG77</f>
        <v>0</v>
      </c>
    </row>
    <row r="13" spans="1:33" s="632" customFormat="1" ht="17.25" customHeight="1" outlineLevel="1">
      <c r="A13" s="861"/>
      <c r="B13" s="282"/>
      <c r="C13" s="24" t="str">
        <f>"  -  " &amp;PS_02</f>
        <v xml:space="preserve">  -  WonderMoreX</v>
      </c>
      <c r="D13" s="878"/>
      <c r="E13" s="800"/>
      <c r="F13" s="800"/>
      <c r="G13" s="40"/>
      <c r="I13" s="236"/>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row>
    <row r="14" spans="1:33" s="632" customFormat="1" ht="17.25" customHeight="1" outlineLevel="1">
      <c r="A14" s="861"/>
      <c r="B14" s="282"/>
      <c r="C14" s="24" t="str">
        <f>"  -  " &amp;PS_03</f>
        <v xml:space="preserve">  -  Customizing Services</v>
      </c>
      <c r="D14" s="253"/>
      <c r="E14" s="800"/>
      <c r="F14" s="800"/>
      <c r="G14" s="40"/>
      <c r="I14" s="236"/>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row>
    <row r="15" spans="1:33" s="632" customFormat="1" ht="17.25" customHeight="1" outlineLevel="1">
      <c r="A15" s="861"/>
      <c r="B15" s="282"/>
      <c r="C15" s="24" t="str">
        <f>"  -  " &amp;PS_04</f>
        <v xml:space="preserve">  -  FutureApp</v>
      </c>
      <c r="E15" s="800"/>
      <c r="F15" s="800"/>
      <c r="G15" s="40"/>
      <c r="I15" s="236"/>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row>
    <row r="16" spans="1:33" ht="17.25" customHeight="1" outlineLevel="1">
      <c r="A16" s="861"/>
      <c r="B16" s="235"/>
      <c r="C16" s="131" t="str">
        <f>CHOOSE(language,"Total Turnover","Total Revenue")</f>
        <v>Total Revenue</v>
      </c>
      <c r="D16" s="132"/>
      <c r="E16" s="132"/>
      <c r="F16" s="132"/>
      <c r="G16" s="132"/>
      <c r="H16" s="132"/>
      <c r="I16" s="236">
        <f ca="1">SUM(J16:AG16)</f>
        <v>1673720.1275924016</v>
      </c>
      <c r="J16" s="387">
        <f t="shared" ref="J16:AG16" ca="1" si="1">SUM(J12:J15)</f>
        <v>12325</v>
      </c>
      <c r="K16" s="387">
        <f t="shared" ca="1" si="1"/>
        <v>17125</v>
      </c>
      <c r="L16" s="387">
        <f t="shared" ca="1" si="1"/>
        <v>22662.5</v>
      </c>
      <c r="M16" s="387">
        <f t="shared" ca="1" si="1"/>
        <v>28457.7</v>
      </c>
      <c r="N16" s="387">
        <f t="shared" ca="1" si="1"/>
        <v>34788.9</v>
      </c>
      <c r="O16" s="387">
        <f t="shared" ca="1" si="1"/>
        <v>41082.508000000002</v>
      </c>
      <c r="P16" s="387">
        <f t="shared" ca="1" si="1"/>
        <v>48198.092320000011</v>
      </c>
      <c r="Q16" s="387">
        <f t="shared" ca="1" si="1"/>
        <v>55312.218732800007</v>
      </c>
      <c r="R16" s="387">
        <f t="shared" ca="1" si="1"/>
        <v>62862.871802112008</v>
      </c>
      <c r="S16" s="387">
        <f t="shared" ca="1" si="1"/>
        <v>68614.213314196488</v>
      </c>
      <c r="T16" s="387">
        <f t="shared" ca="1" si="1"/>
        <v>75623.489273964355</v>
      </c>
      <c r="U16" s="387">
        <f t="shared" ca="1" si="1"/>
        <v>79421.700606910119</v>
      </c>
      <c r="V16" s="387">
        <f t="shared" ca="1" si="1"/>
        <v>84605.912309086532</v>
      </c>
      <c r="W16" s="387">
        <f t="shared" ca="1" si="1"/>
        <v>90982.266382942005</v>
      </c>
      <c r="X16" s="387">
        <f t="shared" ca="1" si="1"/>
        <v>97441.380929511681</v>
      </c>
      <c r="Y16" s="387">
        <f t="shared" ca="1" si="1"/>
        <v>102993.36508052115</v>
      </c>
      <c r="Z16" s="387">
        <f t="shared" ca="1" si="1"/>
        <v>109356.00430465091</v>
      </c>
      <c r="AA16" s="387">
        <f t="shared" ca="1" si="1"/>
        <v>115842.20589316347</v>
      </c>
      <c r="AB16" s="387">
        <f t="shared" ca="1" si="1"/>
        <v>121682.03843609382</v>
      </c>
      <c r="AC16" s="387">
        <f t="shared" ca="1" si="1"/>
        <v>128223.62438145457</v>
      </c>
      <c r="AD16" s="387">
        <f t="shared" ca="1" si="1"/>
        <v>134927.35692914721</v>
      </c>
      <c r="AE16" s="387">
        <f t="shared" ca="1" si="1"/>
        <v>141191.77889584703</v>
      </c>
      <c r="AF16" s="387">
        <f t="shared" ca="1" si="1"/>
        <v>0</v>
      </c>
      <c r="AG16" s="387">
        <f t="shared" ca="1" si="1"/>
        <v>0</v>
      </c>
    </row>
    <row r="17" spans="1:33" s="632" customFormat="1" ht="17.25" customHeight="1" outlineLevel="1">
      <c r="A17" s="861"/>
      <c r="B17" s="282"/>
      <c r="C17" s="379" t="s">
        <v>271</v>
      </c>
      <c r="D17" s="40"/>
      <c r="E17" s="333"/>
      <c r="F17" s="333"/>
      <c r="G17" s="40"/>
      <c r="H17" s="333"/>
      <c r="I17" s="549"/>
      <c r="J17" s="694"/>
      <c r="K17" s="694"/>
      <c r="L17" s="694"/>
      <c r="M17" s="694"/>
      <c r="N17" s="694"/>
      <c r="O17" s="333"/>
      <c r="P17" s="333"/>
      <c r="Q17" s="333"/>
      <c r="R17" s="333"/>
      <c r="S17" s="333"/>
      <c r="T17" s="333"/>
      <c r="U17" s="333"/>
      <c r="V17" s="333"/>
      <c r="W17" s="333"/>
      <c r="X17" s="333"/>
      <c r="Y17" s="333"/>
      <c r="Z17" s="333"/>
      <c r="AA17" s="333"/>
      <c r="AB17" s="333"/>
      <c r="AC17" s="333"/>
      <c r="AD17" s="333"/>
      <c r="AE17" s="333"/>
      <c r="AF17" s="333"/>
      <c r="AG17" s="333"/>
    </row>
    <row r="18" spans="1:33" s="632" customFormat="1" ht="17.25" customHeight="1" outlineLevel="1">
      <c r="A18" s="861"/>
      <c r="B18" s="282"/>
      <c r="C18" s="632" t="s">
        <v>946</v>
      </c>
      <c r="D18" s="40"/>
      <c r="E18" s="878"/>
      <c r="F18" s="878"/>
      <c r="G18" s="878"/>
      <c r="H18" s="878"/>
      <c r="I18" s="236">
        <f t="shared" ref="I18:I25" ca="1" si="2">SUM(J18:AG18)</f>
        <v>128364.42310340448</v>
      </c>
      <c r="J18" s="141">
        <f ca="1">('Offering 1'!J60+'Offering 1'!J61+'Offering 1'!J63)+('Offering 2'!J60+'Offering 2'!J61+'Offering 2'!J63)+('Offering 3'!J60+'Offering 3'!J61+'Offering 3'!J63)+('Offering 4'!J60+'Offering 4'!J61+'Offering 4'!J63)</f>
        <v>786.6</v>
      </c>
      <c r="K18" s="141">
        <f ca="1">('Offering 1'!K60+'Offering 1'!K61+'Offering 1'!K63)+('Offering 2'!K60+'Offering 2'!K61+'Offering 2'!K63)+('Offering 3'!K60+'Offering 3'!K61+'Offering 3'!K63)+('Offering 4'!K60+'Offering 4'!K61+'Offering 4'!K63)</f>
        <v>1166.5999999999999</v>
      </c>
      <c r="L18" s="141">
        <f ca="1">('Offering 1'!L60+'Offering 1'!L61+'Offering 1'!L63)+('Offering 2'!L60+'Offering 2'!L61+'Offering 2'!L63)+('Offering 3'!L60+'Offering 3'!L61+'Offering 3'!L63)+('Offering 4'!L60+'Offering 4'!L61+'Offering 4'!L63)</f>
        <v>1641.6</v>
      </c>
      <c r="M18" s="141">
        <f ca="1">('Offering 1'!M60+'Offering 1'!M61+'Offering 1'!M63)+('Offering 2'!M60+'Offering 2'!M61+'Offering 2'!M63)+('Offering 3'!M60+'Offering 3'!M61+'Offering 3'!M63)+('Offering 4'!M60+'Offering 4'!M61+'Offering 4'!M63)</f>
        <v>2096.2699999999995</v>
      </c>
      <c r="N18" s="141">
        <f ca="1">('Offering 1'!N60+'Offering 1'!N61+'Offering 1'!N63)+('Offering 2'!N60+'Offering 2'!N61+'Offering 2'!N63)+('Offering 3'!N60+'Offering 3'!N61+'Offering 3'!N63)+('Offering 4'!N60+'Offering 4'!N61+'Offering 4'!N63)</f>
        <v>2591.0300000000002</v>
      </c>
      <c r="O18" s="141">
        <f ca="1">('Offering 1'!O60+'Offering 1'!O61+'Offering 1'!O63)+('Offering 2'!O60+'Offering 2'!O61+'Offering 2'!O63)+('Offering 3'!O60+'Offering 3'!O61+'Offering 3'!O63)+('Offering 4'!O60+'Offering 4'!O61+'Offering 4'!O63)</f>
        <v>3101.5904</v>
      </c>
      <c r="P18" s="141">
        <f ca="1">('Offering 1'!P60+'Offering 1'!P61+'Offering 1'!P63)+('Offering 2'!P60+'Offering 2'!P61+'Offering 2'!P63)+('Offering 3'!P60+'Offering 3'!P61+'Offering 3'!P63)+('Offering 4'!P60+'Offering 4'!P61+'Offering 4'!P63)</f>
        <v>3595.2097160000008</v>
      </c>
      <c r="Q18" s="141">
        <f ca="1">('Offering 1'!Q60+'Offering 1'!Q61+'Offering 1'!Q63)+('Offering 2'!Q60+'Offering 2'!Q61+'Offering 2'!Q63)+('Offering 3'!Q60+'Offering 3'!Q61+'Offering 3'!Q63)+('Offering 4'!Q60+'Offering 4'!Q61+'Offering 4'!Q63)</f>
        <v>4129.381844640001</v>
      </c>
      <c r="R18" s="141">
        <f ca="1">('Offering 1'!R60+'Offering 1'!R61+'Offering 1'!R63)+('Offering 2'!R60+'Offering 2'!R61+'Offering 2'!R63)+('Offering 3'!R60+'Offering 3'!R61+'Offering 3'!R63)+('Offering 4'!R60+'Offering 4'!R61+'Offering 4'!R63)</f>
        <v>4681.1303584256002</v>
      </c>
      <c r="S18" s="141">
        <f ca="1">('Offering 1'!S60+'Offering 1'!S61+'Offering 1'!S63)+('Offering 2'!S60+'Offering 2'!S61+'Offering 2'!S63)+('Offering 3'!S60+'Offering 3'!S61+'Offering 3'!S63)+('Offering 4'!S60+'Offering 4'!S61+'Offering 4'!S63)</f>
        <v>5108.6806377626253</v>
      </c>
      <c r="T18" s="141">
        <f ca="1">('Offering 1'!T60+'Offering 1'!T61+'Offering 1'!T63)+('Offering 2'!T60+'Offering 2'!T61+'Offering 2'!T63)+('Offering 3'!T60+'Offering 3'!T61+'Offering 3'!T63)+('Offering 4'!T60+'Offering 4'!T61+'Offering 4'!T63)</f>
        <v>5623.1438302731303</v>
      </c>
      <c r="U18" s="141">
        <f ca="1">('Offering 1'!U60+'Offering 1'!U61+'Offering 1'!U63)+('Offering 2'!U60+'Offering 2'!U61+'Offering 2'!U63)+('Offering 3'!U60+'Offering 3'!U61+'Offering 3'!U63)+('Offering 4'!U60+'Offering 4'!U61+'Offering 4'!U63)</f>
        <v>6140.9008704840562</v>
      </c>
      <c r="V18" s="141">
        <f ca="1">('Offering 1'!V60+'Offering 1'!V61+'Offering 1'!V63)+('Offering 2'!V60+'Offering 2'!V61+'Offering 2'!V63)+('Offering 3'!V60+'Offering 3'!V61+'Offering 3'!V63)+('Offering 4'!V60+'Offering 4'!V61+'Offering 4'!V63)</f>
        <v>6566.9989100534176</v>
      </c>
      <c r="W18" s="141">
        <f ca="1">('Offering 1'!W60+'Offering 1'!W61+'Offering 1'!W63)+('Offering 2'!W60+'Offering 2'!W61+'Offering 2'!W63)+('Offering 3'!W60+'Offering 3'!W61+'Offering 3'!W63)+('Offering 4'!W60+'Offering 4'!W61+'Offering 4'!W63)</f>
        <v>7064.4508447455537</v>
      </c>
      <c r="X18" s="141">
        <f ca="1">('Offering 1'!X60+'Offering 1'!X61+'Offering 1'!X63)+('Offering 2'!X60+'Offering 2'!X61+'Offering 2'!X63)+('Offering 3'!X60+'Offering 3'!X61+'Offering 3'!X63)+('Offering 4'!X60+'Offering 4'!X61+'Offering 4'!X63)</f>
        <v>7568.6645000253766</v>
      </c>
      <c r="Y18" s="141">
        <f ca="1">('Offering 1'!Y60+'Offering 1'!Y61+'Offering 1'!Y63)+('Offering 2'!Y60+'Offering 2'!Y61+'Offering 2'!Y63)+('Offering 3'!Y60+'Offering 3'!Y61+'Offering 3'!Y63)+('Offering 4'!Y60+'Offering 4'!Y61+'Offering 4'!Y63)</f>
        <v>8006.5008512188924</v>
      </c>
      <c r="Z18" s="141">
        <f ca="1">('Offering 1'!Z60+'Offering 1'!Z61+'Offering 1'!Z63)+('Offering 2'!Z60+'Offering 2'!Z61+'Offering 2'!Z63)+('Offering 3'!Z60+'Offering 3'!Z61+'Offering 3'!Z63)+('Offering 4'!Z60+'Offering 4'!Z61+'Offering 4'!Z63)</f>
        <v>8504.3172399695486</v>
      </c>
      <c r="AA18" s="141">
        <f ca="1">('Offering 1'!AA60+'Offering 1'!AA61+'Offering 1'!AA63)+('Offering 2'!AA60+'Offering 2'!AA61+'Offering 2'!AA63)+('Offering 3'!AA60+'Offering 3'!AA61+'Offering 3'!AA63)+('Offering 4'!AA60+'Offering 4'!AA61+'Offering 4'!AA63)</f>
        <v>9012.0626531022317</v>
      </c>
      <c r="AB18" s="141">
        <f ca="1">('Offering 1'!AB60+'Offering 1'!AB61+'Offering 1'!AB63)+('Offering 2'!AB60+'Offering 2'!AB61+'Offering 2'!AB63)+('Offering 3'!AB60+'Offering 3'!AB61+'Offering 3'!AB63)+('Offering 4'!AB60+'Offering 4'!AB61+'Offering 4'!AB63)</f>
        <v>9473.2551005359946</v>
      </c>
      <c r="AC18" s="141">
        <f ca="1">('Offering 1'!AC60+'Offering 1'!AC61+'Offering 1'!AC63)+('Offering 2'!AC60+'Offering 2'!AC61+'Offering 2'!AC63)+('Offering 3'!AC60+'Offering 3'!AC61+'Offering 3'!AC63)+('Offering 4'!AC60+'Offering 4'!AC61+'Offering 4'!AC63)</f>
        <v>9986.3013027723027</v>
      </c>
      <c r="AD18" s="141">
        <f ca="1">('Offering 1'!AD60+'Offering 1'!AD61+'Offering 1'!AD63)+('Offering 2'!AD60+'Offering 2'!AD61+'Offering 2'!AD63)+('Offering 3'!AD60+'Offering 3'!AD61+'Offering 3'!AD63)+('Offering 4'!AD60+'Offering 4'!AD61+'Offering 4'!AD63)</f>
        <v>10512.281793410386</v>
      </c>
      <c r="AE18" s="141">
        <f ca="1">('Offering 1'!AE60+'Offering 1'!AE61+'Offering 1'!AE63)+('Offering 2'!AE60+'Offering 2'!AE61+'Offering 2'!AE63)+('Offering 3'!AE60+'Offering 3'!AE61+'Offering 3'!AE63)+('Offering 4'!AE60+'Offering 4'!AE61+'Offering 4'!AE63)</f>
        <v>11007.452249985361</v>
      </c>
      <c r="AF18" s="141">
        <f ca="1">('Offering 1'!AF60+'Offering 1'!AF61+'Offering 1'!AF63)+('Offering 2'!AF60+'Offering 2'!AF61+'Offering 2'!AF63)+('Offering 3'!AF60+'Offering 3'!AF61+'Offering 3'!AF63)+('Offering 4'!AF60+'Offering 4'!AF61+'Offering 4'!AF63)</f>
        <v>0</v>
      </c>
      <c r="AG18" s="141">
        <f ca="1">('Offering 1'!AG60+'Offering 1'!AG61+'Offering 1'!AG63)+('Offering 2'!AG60+'Offering 2'!AG61+'Offering 2'!AG63)+('Offering 3'!AG60+'Offering 3'!AG61+'Offering 3'!AG63)+('Offering 4'!AG60+'Offering 4'!AG61+'Offering 4'!AG63)</f>
        <v>0</v>
      </c>
    </row>
    <row r="19" spans="1:33" s="878" customFormat="1" ht="17.25" customHeight="1" outlineLevel="1">
      <c r="A19" s="861"/>
      <c r="B19" s="861"/>
      <c r="C19" s="632" t="str">
        <f>CHOOSE(language,"  -  Direct labour","  -  Direct labor")</f>
        <v xml:space="preserve">  -  Direct labor</v>
      </c>
      <c r="F19" s="632"/>
      <c r="G19" s="632"/>
      <c r="H19" s="632"/>
      <c r="I19" s="236">
        <f t="shared" ca="1" si="2"/>
        <v>248057.31913323083</v>
      </c>
      <c r="J19" s="141">
        <f ca="1">'Human Resources'!J161</f>
        <v>1509.0300000000002</v>
      </c>
      <c r="K19" s="141">
        <f ca="1">'Human Resources'!K161</f>
        <v>2238.0300000000002</v>
      </c>
      <c r="L19" s="141">
        <f ca="1">'Human Resources'!L161</f>
        <v>3149.2800000000007</v>
      </c>
      <c r="M19" s="141">
        <f ca="1">'Human Resources'!M161</f>
        <v>4021.5284999999999</v>
      </c>
      <c r="N19" s="141">
        <f ca="1">'Human Resources'!N161</f>
        <v>4970.6865000000007</v>
      </c>
      <c r="O19" s="141">
        <f ca="1">'Human Resources'!O161</f>
        <v>5950.1563200000001</v>
      </c>
      <c r="P19" s="141">
        <f ca="1">'Human Resources'!P161</f>
        <v>6897.1260077999996</v>
      </c>
      <c r="Q19" s="141">
        <f ca="1">'Human Resources'!Q161</f>
        <v>7921.8930651120018</v>
      </c>
      <c r="R19" s="141">
        <f ca="1">'Human Resources'!R161</f>
        <v>8980.3790297164833</v>
      </c>
      <c r="S19" s="141">
        <f ca="1">'Human Resources'!S161</f>
        <v>9800.6004866551411</v>
      </c>
      <c r="T19" s="141">
        <f ca="1">'Human Resources'!T161</f>
        <v>10787.557505971348</v>
      </c>
      <c r="U19" s="141">
        <f ca="1">'Human Resources'!U161</f>
        <v>11898.641847180805</v>
      </c>
      <c r="V19" s="141">
        <f ca="1">'Human Resources'!V161</f>
        <v>12724.251651271663</v>
      </c>
      <c r="W19" s="141">
        <f ca="1">'Human Resources'!W161</f>
        <v>13688.117138099222</v>
      </c>
      <c r="X19" s="141">
        <f ca="1">'Human Resources'!X161</f>
        <v>14665.084170325486</v>
      </c>
      <c r="Y19" s="141">
        <f ca="1">'Human Resources'!Y161</f>
        <v>15513.438188799892</v>
      </c>
      <c r="Z19" s="141">
        <f ca="1">'Human Resources'!Z161</f>
        <v>16478.009843729415</v>
      </c>
      <c r="AA19" s="141">
        <f ca="1">'Human Resources'!AA161</f>
        <v>17461.820028559585</v>
      </c>
      <c r="AB19" s="141">
        <f ca="1">'Human Resources'!AB161</f>
        <v>18355.428942035916</v>
      </c>
      <c r="AC19" s="141">
        <f ca="1">'Human Resources'!AC161</f>
        <v>19349.509963732158</v>
      </c>
      <c r="AD19" s="141">
        <f ca="1">'Human Resources'!AD161</f>
        <v>20368.652530710875</v>
      </c>
      <c r="AE19" s="141">
        <f ca="1">'Human Resources'!AE161</f>
        <v>21328.097413530846</v>
      </c>
      <c r="AF19" s="141">
        <f ca="1">'Human Resources'!AF161</f>
        <v>0</v>
      </c>
      <c r="AG19" s="141">
        <f ca="1">'Human Resources'!AG161</f>
        <v>0</v>
      </c>
    </row>
    <row r="20" spans="1:33" s="878" customFormat="1" ht="17.25" customHeight="1" outlineLevel="1">
      <c r="A20" s="861"/>
      <c r="B20" s="861"/>
      <c r="C20" s="40" t="s">
        <v>947</v>
      </c>
      <c r="I20" s="236">
        <f t="shared" ca="1" si="2"/>
        <v>0</v>
      </c>
      <c r="J20" s="141">
        <f ca="1">'Offering 1'!J64+'Offering 2'!J64+'Offering 3'!J64+'Offering 4'!J64</f>
        <v>0</v>
      </c>
      <c r="K20" s="141">
        <f ca="1">'Offering 1'!K64+'Offering 2'!K64+'Offering 3'!K64+'Offering 4'!K64</f>
        <v>0</v>
      </c>
      <c r="L20" s="141">
        <f ca="1">'Offering 1'!L64+'Offering 2'!L64+'Offering 3'!L64+'Offering 4'!L64</f>
        <v>0</v>
      </c>
      <c r="M20" s="141">
        <f ca="1">'Offering 1'!M64+'Offering 2'!M64+'Offering 3'!M64+'Offering 4'!M64</f>
        <v>0</v>
      </c>
      <c r="N20" s="141">
        <f ca="1">'Offering 1'!N64+'Offering 2'!N64+'Offering 3'!N64+'Offering 4'!N64</f>
        <v>0</v>
      </c>
      <c r="O20" s="141">
        <f ca="1">'Offering 1'!O64+'Offering 2'!O64+'Offering 3'!O64+'Offering 4'!O64</f>
        <v>0</v>
      </c>
      <c r="P20" s="141">
        <f ca="1">'Offering 1'!P64+'Offering 2'!P64+'Offering 3'!P64+'Offering 4'!P64</f>
        <v>0</v>
      </c>
      <c r="Q20" s="141">
        <f ca="1">'Offering 1'!Q64+'Offering 2'!Q64+'Offering 3'!Q64+'Offering 4'!Q64</f>
        <v>0</v>
      </c>
      <c r="R20" s="141">
        <f ca="1">'Offering 1'!R64+'Offering 2'!R64+'Offering 3'!R64+'Offering 4'!R64</f>
        <v>0</v>
      </c>
      <c r="S20" s="141">
        <f ca="1">'Offering 1'!S64+'Offering 2'!S64+'Offering 3'!S64+'Offering 4'!S64</f>
        <v>0</v>
      </c>
      <c r="T20" s="141">
        <f ca="1">'Offering 1'!T64+'Offering 2'!T64+'Offering 3'!T64+'Offering 4'!T64</f>
        <v>0</v>
      </c>
      <c r="U20" s="141">
        <f ca="1">'Offering 1'!U64+'Offering 2'!U64+'Offering 3'!U64+'Offering 4'!U64</f>
        <v>0</v>
      </c>
      <c r="V20" s="141">
        <f ca="1">'Offering 1'!V64+'Offering 2'!V64+'Offering 3'!V64+'Offering 4'!V64</f>
        <v>0</v>
      </c>
      <c r="W20" s="141">
        <f ca="1">'Offering 1'!W64+'Offering 2'!W64+'Offering 3'!W64+'Offering 4'!W64</f>
        <v>0</v>
      </c>
      <c r="X20" s="141">
        <f ca="1">'Offering 1'!X64+'Offering 2'!X64+'Offering 3'!X64+'Offering 4'!X64</f>
        <v>0</v>
      </c>
      <c r="Y20" s="141">
        <f ca="1">'Offering 1'!Y64+'Offering 2'!Y64+'Offering 3'!Y64+'Offering 4'!Y64</f>
        <v>0</v>
      </c>
      <c r="Z20" s="141">
        <f ca="1">'Offering 1'!Z64+'Offering 2'!Z64+'Offering 3'!Z64+'Offering 4'!Z64</f>
        <v>0</v>
      </c>
      <c r="AA20" s="141">
        <f ca="1">'Offering 1'!AA64+'Offering 2'!AA64+'Offering 3'!AA64+'Offering 4'!AA64</f>
        <v>0</v>
      </c>
      <c r="AB20" s="141">
        <f ca="1">'Offering 1'!AB64+'Offering 2'!AB64+'Offering 3'!AB64+'Offering 4'!AB64</f>
        <v>0</v>
      </c>
      <c r="AC20" s="141">
        <f ca="1">'Offering 1'!AC64+'Offering 2'!AC64+'Offering 3'!AC64+'Offering 4'!AC64</f>
        <v>0</v>
      </c>
      <c r="AD20" s="141">
        <f ca="1">'Offering 1'!AD64+'Offering 2'!AD64+'Offering 3'!AD64+'Offering 4'!AD64</f>
        <v>0</v>
      </c>
      <c r="AE20" s="141">
        <f ca="1">'Offering 1'!AE64+'Offering 2'!AE64+'Offering 3'!AE64+'Offering 4'!AE64</f>
        <v>0</v>
      </c>
      <c r="AF20" s="141">
        <f ca="1">'Offering 1'!AF64+'Offering 2'!AF64+'Offering 3'!AF64+'Offering 4'!AF64</f>
        <v>0</v>
      </c>
      <c r="AG20" s="141">
        <f ca="1">'Offering 1'!AG64+'Offering 2'!AG64+'Offering 3'!AG64+'Offering 4'!AG64</f>
        <v>0</v>
      </c>
    </row>
    <row r="21" spans="1:33" s="878" customFormat="1" ht="17.25" customHeight="1" outlineLevel="1">
      <c r="A21" s="861"/>
      <c r="B21" s="861"/>
      <c r="C21" s="40" t="s">
        <v>948</v>
      </c>
      <c r="I21" s="236">
        <f t="shared" ca="1" si="2"/>
        <v>30426.621356018884</v>
      </c>
      <c r="J21" s="141">
        <f ca="1">'Offering 1'!J62+'Offering 2'!J62+'Offering 3'!J62+'Offering 4'!J62</f>
        <v>0</v>
      </c>
      <c r="K21" s="141">
        <f ca="1">'Offering 1'!K62+'Offering 2'!K62+'Offering 3'!K62+'Offering 4'!K62</f>
        <v>0</v>
      </c>
      <c r="L21" s="141">
        <f ca="1">'Offering 1'!L62+'Offering 2'!L62+'Offering 3'!L62+'Offering 4'!L62</f>
        <v>0</v>
      </c>
      <c r="M21" s="141">
        <f ca="1">'Offering 1'!M62+'Offering 2'!M62+'Offering 3'!M62+'Offering 4'!M62</f>
        <v>973.26900000000001</v>
      </c>
      <c r="N21" s="141">
        <f ca="1">'Offering 1'!N62+'Offering 2'!N62+'Offering 3'!N62+'Offering 4'!N62</f>
        <v>0</v>
      </c>
      <c r="O21" s="141">
        <f ca="1">'Offering 1'!O62+'Offering 2'!O62+'Offering 3'!O62+'Offering 4'!O62</f>
        <v>0</v>
      </c>
      <c r="P21" s="141">
        <f ca="1">'Offering 1'!P62+'Offering 2'!P62+'Offering 3'!P62+'Offering 4'!P62</f>
        <v>2033.4108960000001</v>
      </c>
      <c r="Q21" s="141">
        <f ca="1">'Offering 1'!Q62+'Offering 2'!Q62+'Offering 3'!Q62+'Offering 4'!Q62</f>
        <v>0</v>
      </c>
      <c r="R21" s="141">
        <f ca="1">'Offering 1'!R62+'Offering 2'!R62+'Offering 3'!R62+'Offering 4'!R62</f>
        <v>0</v>
      </c>
      <c r="S21" s="141">
        <f ca="1">'Offering 1'!S62+'Offering 2'!S62+'Offering 3'!S62+'Offering 4'!S62</f>
        <v>3278.9777638717451</v>
      </c>
      <c r="T21" s="141">
        <f ca="1">'Offering 1'!T62+'Offering 2'!T62+'Offering 3'!T62+'Offering 4'!T62</f>
        <v>0</v>
      </c>
      <c r="U21" s="141">
        <f ca="1">'Offering 1'!U62+'Offering 2'!U62+'Offering 3'!U62+'Offering 4'!U62</f>
        <v>0</v>
      </c>
      <c r="V21" s="141">
        <f ca="1">'Offering 1'!V62+'Offering 2'!V62+'Offering 3'!V62+'Offering 4'!V62</f>
        <v>4435.0267463108212</v>
      </c>
      <c r="W21" s="141">
        <f ca="1">'Offering 1'!W62+'Offering 2'!W62+'Offering 3'!W62+'Offering 4'!W62</f>
        <v>0</v>
      </c>
      <c r="X21" s="141">
        <f ca="1">'Offering 1'!X62+'Offering 2'!X62+'Offering 3'!X62+'Offering 4'!X62</f>
        <v>0</v>
      </c>
      <c r="Y21" s="141">
        <f ca="1">'Offering 1'!Y62+'Offering 2'!Y62+'Offering 3'!Y62+'Offering 4'!Y62</f>
        <v>5441.5674304330014</v>
      </c>
      <c r="Z21" s="141">
        <f ca="1">'Offering 1'!Z62+'Offering 2'!Z62+'Offering 3'!Z62+'Offering 4'!Z62</f>
        <v>0</v>
      </c>
      <c r="AA21" s="141">
        <f ca="1">'Offering 1'!AA62+'Offering 2'!AA62+'Offering 3'!AA62+'Offering 4'!AA62</f>
        <v>0</v>
      </c>
      <c r="AB21" s="141">
        <f ca="1">'Offering 1'!AB62+'Offering 2'!AB62+'Offering 3'!AB62+'Offering 4'!AB62</f>
        <v>6558.5450484374378</v>
      </c>
      <c r="AC21" s="141">
        <f ca="1">'Offering 1'!AC62+'Offering 2'!AC62+'Offering 3'!AC62+'Offering 4'!AC62</f>
        <v>0</v>
      </c>
      <c r="AD21" s="141">
        <f ca="1">'Offering 1'!AD62+'Offering 2'!AD62+'Offering 3'!AD62+'Offering 4'!AD62</f>
        <v>0</v>
      </c>
      <c r="AE21" s="141">
        <f ca="1">'Offering 1'!AE62+'Offering 2'!AE62+'Offering 3'!AE62+'Offering 4'!AE62</f>
        <v>7705.8244709658811</v>
      </c>
      <c r="AF21" s="141">
        <f ca="1">'Offering 1'!AF62+'Offering 2'!AF62+'Offering 3'!AF62+'Offering 4'!AF62</f>
        <v>0</v>
      </c>
      <c r="AG21" s="141">
        <f ca="1">'Offering 1'!AG62+'Offering 2'!AG62+'Offering 3'!AG62+'Offering 4'!AG62</f>
        <v>0</v>
      </c>
    </row>
    <row r="22" spans="1:33" s="878" customFormat="1" ht="17.25" customHeight="1" outlineLevel="1">
      <c r="A22" s="861"/>
      <c r="B22" s="861"/>
      <c r="C22" s="40" t="s">
        <v>949</v>
      </c>
      <c r="I22" s="236">
        <f t="shared" ca="1" si="2"/>
        <v>0</v>
      </c>
      <c r="J22" s="141">
        <f ca="1">'Offering 1'!J66+'Offering 2'!J66+'Offering 3'!J66+'Offering 4'!J66</f>
        <v>0</v>
      </c>
      <c r="K22" s="141">
        <f ca="1">'Offering 1'!K66+'Offering 2'!K66+'Offering 3'!K66+'Offering 4'!K66</f>
        <v>0</v>
      </c>
      <c r="L22" s="141">
        <f ca="1">'Offering 1'!L66+'Offering 2'!L66+'Offering 3'!L66+'Offering 4'!L66</f>
        <v>0</v>
      </c>
      <c r="M22" s="141">
        <f ca="1">'Offering 1'!M66+'Offering 2'!M66+'Offering 3'!M66+'Offering 4'!M66</f>
        <v>0</v>
      </c>
      <c r="N22" s="141">
        <f ca="1">'Offering 1'!N66+'Offering 2'!N66+'Offering 3'!N66+'Offering 4'!N66</f>
        <v>0</v>
      </c>
      <c r="O22" s="141">
        <f ca="1">'Offering 1'!O66+'Offering 2'!O66+'Offering 3'!O66+'Offering 4'!O66</f>
        <v>0</v>
      </c>
      <c r="P22" s="141">
        <f ca="1">'Offering 1'!P66+'Offering 2'!P66+'Offering 3'!P66+'Offering 4'!P66</f>
        <v>0</v>
      </c>
      <c r="Q22" s="141">
        <f ca="1">'Offering 1'!Q66+'Offering 2'!Q66+'Offering 3'!Q66+'Offering 4'!Q66</f>
        <v>0</v>
      </c>
      <c r="R22" s="141">
        <f ca="1">'Offering 1'!R66+'Offering 2'!R66+'Offering 3'!R66+'Offering 4'!R66</f>
        <v>0</v>
      </c>
      <c r="S22" s="141">
        <f ca="1">'Offering 1'!S66+'Offering 2'!S66+'Offering 3'!S66+'Offering 4'!S66</f>
        <v>0</v>
      </c>
      <c r="T22" s="141">
        <f ca="1">'Offering 1'!T66+'Offering 2'!T66+'Offering 3'!T66+'Offering 4'!T66</f>
        <v>0</v>
      </c>
      <c r="U22" s="141">
        <f ca="1">'Offering 1'!U66+'Offering 2'!U66+'Offering 3'!U66+'Offering 4'!U66</f>
        <v>0</v>
      </c>
      <c r="V22" s="141">
        <f ca="1">'Offering 1'!V66+'Offering 2'!V66+'Offering 3'!V66+'Offering 4'!V66</f>
        <v>0</v>
      </c>
      <c r="W22" s="141">
        <f ca="1">'Offering 1'!W66+'Offering 2'!W66+'Offering 3'!W66+'Offering 4'!W66</f>
        <v>0</v>
      </c>
      <c r="X22" s="141">
        <f ca="1">'Offering 1'!X66+'Offering 2'!X66+'Offering 3'!X66+'Offering 4'!X66</f>
        <v>0</v>
      </c>
      <c r="Y22" s="141">
        <f ca="1">'Offering 1'!Y66+'Offering 2'!Y66+'Offering 3'!Y66+'Offering 4'!Y66</f>
        <v>0</v>
      </c>
      <c r="Z22" s="141">
        <f ca="1">'Offering 1'!Z66+'Offering 2'!Z66+'Offering 3'!Z66+'Offering 4'!Z66</f>
        <v>0</v>
      </c>
      <c r="AA22" s="141">
        <f ca="1">'Offering 1'!AA66+'Offering 2'!AA66+'Offering 3'!AA66+'Offering 4'!AA66</f>
        <v>0</v>
      </c>
      <c r="AB22" s="141">
        <f ca="1">'Offering 1'!AB66+'Offering 2'!AB66+'Offering 3'!AB66+'Offering 4'!AB66</f>
        <v>0</v>
      </c>
      <c r="AC22" s="141">
        <f ca="1">'Offering 1'!AC66+'Offering 2'!AC66+'Offering 3'!AC66+'Offering 4'!AC66</f>
        <v>0</v>
      </c>
      <c r="AD22" s="141">
        <f ca="1">'Offering 1'!AD66+'Offering 2'!AD66+'Offering 3'!AD66+'Offering 4'!AD66</f>
        <v>0</v>
      </c>
      <c r="AE22" s="141">
        <f ca="1">'Offering 1'!AE66+'Offering 2'!AE66+'Offering 3'!AE66+'Offering 4'!AE66</f>
        <v>0</v>
      </c>
      <c r="AF22" s="141">
        <f ca="1">'Offering 1'!AF66+'Offering 2'!AF66+'Offering 3'!AF66+'Offering 4'!AF66</f>
        <v>0</v>
      </c>
      <c r="AG22" s="141">
        <f ca="1">'Offering 1'!AG66+'Offering 2'!AG66+'Offering 3'!AG66+'Offering 4'!AG66</f>
        <v>0</v>
      </c>
    </row>
    <row r="23" spans="1:33" s="632" customFormat="1" ht="17.25" customHeight="1" outlineLevel="1">
      <c r="A23" s="861"/>
      <c r="B23" s="282"/>
      <c r="C23" s="632" t="s">
        <v>272</v>
      </c>
      <c r="D23" s="878"/>
      <c r="E23" s="878"/>
      <c r="F23" s="878"/>
      <c r="G23" s="878"/>
      <c r="I23" s="236">
        <f t="shared" ca="1" si="2"/>
        <v>0</v>
      </c>
      <c r="J23" s="141">
        <f ca="1">('Offering 1'!J65+'Offering 1'!J67+'Offering 1'!J68)*OnOff_PS1+('Offering 2'!J65+'Offering 2'!J67+'Offering 2'!J68)*OnOff_PS2+('Offering 3'!J65+'Offering 3'!J67+'Offering 3'!J68)*OnOff_PS3+('Offering 4'!J65+'Offering 4'!J67+'Offering 4'!J68)*OnOff_PS4</f>
        <v>0</v>
      </c>
      <c r="K23" s="141">
        <f ca="1">('Offering 1'!K65+'Offering 1'!K67+'Offering 1'!K68)*OnOff_PS1+('Offering 2'!K65+'Offering 2'!K67+'Offering 2'!K68)*OnOff_PS2+('Offering 3'!K65+'Offering 3'!K67+'Offering 3'!K68)*OnOff_PS3+('Offering 4'!K65+'Offering 4'!K67+'Offering 4'!K68)*OnOff_PS4</f>
        <v>0</v>
      </c>
      <c r="L23" s="141">
        <f ca="1">('Offering 1'!L65+'Offering 1'!L67+'Offering 1'!L68)*OnOff_PS1+('Offering 2'!L65+'Offering 2'!L67+'Offering 2'!L68)*OnOff_PS2+('Offering 3'!L65+'Offering 3'!L67+'Offering 3'!L68)*OnOff_PS3+('Offering 4'!L65+'Offering 4'!L67+'Offering 4'!L68)*OnOff_PS4</f>
        <v>0</v>
      </c>
      <c r="M23" s="141">
        <f ca="1">('Offering 1'!M65+'Offering 1'!M67+'Offering 1'!M68)*OnOff_PS1+('Offering 2'!M65+'Offering 2'!M67+'Offering 2'!M68)*OnOff_PS2+('Offering 3'!M65+'Offering 3'!M67+'Offering 3'!M68)*OnOff_PS3+('Offering 4'!M65+'Offering 4'!M67+'Offering 4'!M68)*OnOff_PS4</f>
        <v>0</v>
      </c>
      <c r="N23" s="141">
        <f ca="1">('Offering 1'!N65+'Offering 1'!N67+'Offering 1'!N68)*OnOff_PS1+('Offering 2'!N65+'Offering 2'!N67+'Offering 2'!N68)*OnOff_PS2+('Offering 3'!N65+'Offering 3'!N67+'Offering 3'!N68)*OnOff_PS3+('Offering 4'!N65+'Offering 4'!N67+'Offering 4'!N68)*OnOff_PS4</f>
        <v>0</v>
      </c>
      <c r="O23" s="141">
        <f ca="1">('Offering 1'!O65+'Offering 1'!O67+'Offering 1'!O68)*OnOff_PS1+('Offering 2'!O65+'Offering 2'!O67+'Offering 2'!O68)*OnOff_PS2+('Offering 3'!O65+'Offering 3'!O67+'Offering 3'!O68)*OnOff_PS3+('Offering 4'!O65+'Offering 4'!O67+'Offering 4'!O68)*OnOff_PS4</f>
        <v>0</v>
      </c>
      <c r="P23" s="141">
        <f ca="1">('Offering 1'!P65+'Offering 1'!P67+'Offering 1'!P68)*OnOff_PS1+('Offering 2'!P65+'Offering 2'!P67+'Offering 2'!P68)*OnOff_PS2+('Offering 3'!P65+'Offering 3'!P67+'Offering 3'!P68)*OnOff_PS3+('Offering 4'!P65+'Offering 4'!P67+'Offering 4'!P68)*OnOff_PS4</f>
        <v>0</v>
      </c>
      <c r="Q23" s="141">
        <f ca="1">('Offering 1'!Q65+'Offering 1'!Q67+'Offering 1'!Q68)*OnOff_PS1+('Offering 2'!Q65+'Offering 2'!Q67+'Offering 2'!Q68)*OnOff_PS2+('Offering 3'!Q65+'Offering 3'!Q67+'Offering 3'!Q68)*OnOff_PS3+('Offering 4'!Q65+'Offering 4'!Q67+'Offering 4'!Q68)*OnOff_PS4</f>
        <v>0</v>
      </c>
      <c r="R23" s="141">
        <f ca="1">('Offering 1'!R65+'Offering 1'!R67+'Offering 1'!R68)*OnOff_PS1+('Offering 2'!R65+'Offering 2'!R67+'Offering 2'!R68)*OnOff_PS2+('Offering 3'!R65+'Offering 3'!R67+'Offering 3'!R68)*OnOff_PS3+('Offering 4'!R65+'Offering 4'!R67+'Offering 4'!R68)*OnOff_PS4</f>
        <v>0</v>
      </c>
      <c r="S23" s="141">
        <f ca="1">('Offering 1'!S65+'Offering 1'!S67+'Offering 1'!S68)*OnOff_PS1+('Offering 2'!S65+'Offering 2'!S67+'Offering 2'!S68)*OnOff_PS2+('Offering 3'!S65+'Offering 3'!S67+'Offering 3'!S68)*OnOff_PS3+('Offering 4'!S65+'Offering 4'!S67+'Offering 4'!S68)*OnOff_PS4</f>
        <v>0</v>
      </c>
      <c r="T23" s="141">
        <f ca="1">('Offering 1'!T65+'Offering 1'!T67+'Offering 1'!T68)*OnOff_PS1+('Offering 2'!T65+'Offering 2'!T67+'Offering 2'!T68)*OnOff_PS2+('Offering 3'!T65+'Offering 3'!T67+'Offering 3'!T68)*OnOff_PS3+('Offering 4'!T65+'Offering 4'!T67+'Offering 4'!T68)*OnOff_PS4</f>
        <v>0</v>
      </c>
      <c r="U23" s="141">
        <f ca="1">('Offering 1'!U65+'Offering 1'!U67+'Offering 1'!U68)*OnOff_PS1+('Offering 2'!U65+'Offering 2'!U67+'Offering 2'!U68)*OnOff_PS2+('Offering 3'!U65+'Offering 3'!U67+'Offering 3'!U68)*OnOff_PS3+('Offering 4'!U65+'Offering 4'!U67+'Offering 4'!U68)*OnOff_PS4</f>
        <v>0</v>
      </c>
      <c r="V23" s="141">
        <f ca="1">('Offering 1'!V65+'Offering 1'!V67+'Offering 1'!V68)*OnOff_PS1+('Offering 2'!V65+'Offering 2'!V67+'Offering 2'!V68)*OnOff_PS2+('Offering 3'!V65+'Offering 3'!V67+'Offering 3'!V68)*OnOff_PS3+('Offering 4'!V65+'Offering 4'!V67+'Offering 4'!V68)*OnOff_PS4</f>
        <v>0</v>
      </c>
      <c r="W23" s="141">
        <f ca="1">('Offering 1'!W65+'Offering 1'!W67+'Offering 1'!W68)*OnOff_PS1+('Offering 2'!W65+'Offering 2'!W67+'Offering 2'!W68)*OnOff_PS2+('Offering 3'!W65+'Offering 3'!W67+'Offering 3'!W68)*OnOff_PS3+('Offering 4'!W65+'Offering 4'!W67+'Offering 4'!W68)*OnOff_PS4</f>
        <v>0</v>
      </c>
      <c r="X23" s="141">
        <f ca="1">('Offering 1'!X65+'Offering 1'!X67+'Offering 1'!X68)*OnOff_PS1+('Offering 2'!X65+'Offering 2'!X67+'Offering 2'!X68)*OnOff_PS2+('Offering 3'!X65+'Offering 3'!X67+'Offering 3'!X68)*OnOff_PS3+('Offering 4'!X65+'Offering 4'!X67+'Offering 4'!X68)*OnOff_PS4</f>
        <v>0</v>
      </c>
      <c r="Y23" s="141">
        <f ca="1">('Offering 1'!Y65+'Offering 1'!Y67+'Offering 1'!Y68)*OnOff_PS1+('Offering 2'!Y65+'Offering 2'!Y67+'Offering 2'!Y68)*OnOff_PS2+('Offering 3'!Y65+'Offering 3'!Y67+'Offering 3'!Y68)*OnOff_PS3+('Offering 4'!Y65+'Offering 4'!Y67+'Offering 4'!Y68)*OnOff_PS4</f>
        <v>0</v>
      </c>
      <c r="Z23" s="141">
        <f ca="1">('Offering 1'!Z65+'Offering 1'!Z67+'Offering 1'!Z68)*OnOff_PS1+('Offering 2'!Z65+'Offering 2'!Z67+'Offering 2'!Z68)*OnOff_PS2+('Offering 3'!Z65+'Offering 3'!Z67+'Offering 3'!Z68)*OnOff_PS3+('Offering 4'!Z65+'Offering 4'!Z67+'Offering 4'!Z68)*OnOff_PS4</f>
        <v>0</v>
      </c>
      <c r="AA23" s="141">
        <f ca="1">('Offering 1'!AA65+'Offering 1'!AA67+'Offering 1'!AA68)*OnOff_PS1+('Offering 2'!AA65+'Offering 2'!AA67+'Offering 2'!AA68)*OnOff_PS2+('Offering 3'!AA65+'Offering 3'!AA67+'Offering 3'!AA68)*OnOff_PS3+('Offering 4'!AA65+'Offering 4'!AA67+'Offering 4'!AA68)*OnOff_PS4</f>
        <v>0</v>
      </c>
      <c r="AB23" s="141">
        <f ca="1">('Offering 1'!AB65+'Offering 1'!AB67+'Offering 1'!AB68)*OnOff_PS1+('Offering 2'!AB65+'Offering 2'!AB67+'Offering 2'!AB68)*OnOff_PS2+('Offering 3'!AB65+'Offering 3'!AB67+'Offering 3'!AB68)*OnOff_PS3+('Offering 4'!AB65+'Offering 4'!AB67+'Offering 4'!AB68)*OnOff_PS4</f>
        <v>0</v>
      </c>
      <c r="AC23" s="141">
        <f ca="1">('Offering 1'!AC65+'Offering 1'!AC67+'Offering 1'!AC68)*OnOff_PS1+('Offering 2'!AC65+'Offering 2'!AC67+'Offering 2'!AC68)*OnOff_PS2+('Offering 3'!AC65+'Offering 3'!AC67+'Offering 3'!AC68)*OnOff_PS3+('Offering 4'!AC65+'Offering 4'!AC67+'Offering 4'!AC68)*OnOff_PS4</f>
        <v>0</v>
      </c>
      <c r="AD23" s="141">
        <f ca="1">('Offering 1'!AD65+'Offering 1'!AD67+'Offering 1'!AD68)*OnOff_PS1+('Offering 2'!AD65+'Offering 2'!AD67+'Offering 2'!AD68)*OnOff_PS2+('Offering 3'!AD65+'Offering 3'!AD67+'Offering 3'!AD68)*OnOff_PS3+('Offering 4'!AD65+'Offering 4'!AD67+'Offering 4'!AD68)*OnOff_PS4</f>
        <v>0</v>
      </c>
      <c r="AE23" s="141">
        <f ca="1">('Offering 1'!AE65+'Offering 1'!AE67+'Offering 1'!AE68)*OnOff_PS1+('Offering 2'!AE65+'Offering 2'!AE67+'Offering 2'!AE68)*OnOff_PS2+('Offering 3'!AE65+'Offering 3'!AE67+'Offering 3'!AE68)*OnOff_PS3+('Offering 4'!AE65+'Offering 4'!AE67+'Offering 4'!AE68)*OnOff_PS4</f>
        <v>0</v>
      </c>
      <c r="AF23" s="141">
        <f ca="1">('Offering 1'!AF65+'Offering 1'!AF67+'Offering 1'!AF68)*OnOff_PS1+('Offering 2'!AF65+'Offering 2'!AF67+'Offering 2'!AF68)*OnOff_PS2+('Offering 3'!AF65+'Offering 3'!AF67+'Offering 3'!AF68)*OnOff_PS3+('Offering 4'!AF65+'Offering 4'!AF67+'Offering 4'!AF68)*OnOff_PS4</f>
        <v>0</v>
      </c>
      <c r="AG23" s="141">
        <f ca="1">('Offering 1'!AG65+'Offering 1'!AG67+'Offering 1'!AG68)*OnOff_PS1+('Offering 2'!AG65+'Offering 2'!AG67+'Offering 2'!AG68)*OnOff_PS2+('Offering 3'!AG65+'Offering 3'!AG67+'Offering 3'!AG68)*OnOff_PS3+('Offering 4'!AG65+'Offering 4'!AG67+'Offering 4'!AG68)*OnOff_PS4</f>
        <v>0</v>
      </c>
    </row>
    <row r="24" spans="1:33" s="632" customFormat="1" ht="17.25" customHeight="1" outlineLevel="1">
      <c r="A24" s="861"/>
      <c r="B24" s="282"/>
      <c r="C24" s="120" t="s">
        <v>284</v>
      </c>
      <c r="I24" s="236">
        <f t="shared" ca="1" si="2"/>
        <v>406848.36359265423</v>
      </c>
      <c r="J24" s="731">
        <f t="shared" ref="J24:AG24" ca="1" si="3">SUM(J18:J23)</f>
        <v>2295.63</v>
      </c>
      <c r="K24" s="731">
        <f t="shared" ca="1" si="3"/>
        <v>3404.63</v>
      </c>
      <c r="L24" s="731">
        <f t="shared" ca="1" si="3"/>
        <v>4790.880000000001</v>
      </c>
      <c r="M24" s="731">
        <f t="shared" ca="1" si="3"/>
        <v>7091.0674999999992</v>
      </c>
      <c r="N24" s="731">
        <f t="shared" ca="1" si="3"/>
        <v>7561.7165000000005</v>
      </c>
      <c r="O24" s="731">
        <f t="shared" ca="1" si="3"/>
        <v>9051.7467199999992</v>
      </c>
      <c r="P24" s="731">
        <f t="shared" ca="1" si="3"/>
        <v>12525.7466198</v>
      </c>
      <c r="Q24" s="731">
        <f t="shared" ca="1" si="3"/>
        <v>12051.274909752003</v>
      </c>
      <c r="R24" s="731">
        <f t="shared" ca="1" si="3"/>
        <v>13661.509388142083</v>
      </c>
      <c r="S24" s="731">
        <f t="shared" ca="1" si="3"/>
        <v>18188.258888289511</v>
      </c>
      <c r="T24" s="731">
        <f t="shared" ca="1" si="3"/>
        <v>16410.701336244478</v>
      </c>
      <c r="U24" s="731">
        <f t="shared" ca="1" si="3"/>
        <v>18039.542717664859</v>
      </c>
      <c r="V24" s="731">
        <f t="shared" ca="1" si="3"/>
        <v>23726.277307635901</v>
      </c>
      <c r="W24" s="731">
        <f t="shared" ca="1" si="3"/>
        <v>20752.567982844776</v>
      </c>
      <c r="X24" s="731">
        <f t="shared" ca="1" si="3"/>
        <v>22233.748670350862</v>
      </c>
      <c r="Y24" s="731">
        <f t="shared" ca="1" si="3"/>
        <v>28961.506470451786</v>
      </c>
      <c r="Z24" s="731">
        <f t="shared" ca="1" si="3"/>
        <v>24982.327083698961</v>
      </c>
      <c r="AA24" s="731">
        <f t="shared" ca="1" si="3"/>
        <v>26473.882681661817</v>
      </c>
      <c r="AB24" s="731">
        <f t="shared" ca="1" si="3"/>
        <v>34387.229091009351</v>
      </c>
      <c r="AC24" s="731">
        <f t="shared" ca="1" si="3"/>
        <v>29335.811266504461</v>
      </c>
      <c r="AD24" s="731">
        <f t="shared" ca="1" si="3"/>
        <v>30880.934324121263</v>
      </c>
      <c r="AE24" s="731">
        <f t="shared" ca="1" si="3"/>
        <v>40041.374134482088</v>
      </c>
      <c r="AF24" s="731">
        <f t="shared" ca="1" si="3"/>
        <v>0</v>
      </c>
      <c r="AG24" s="731">
        <f t="shared" ca="1" si="3"/>
        <v>0</v>
      </c>
    </row>
    <row r="25" spans="1:33" s="199" customFormat="1" ht="17.25" customHeight="1" outlineLevel="1">
      <c r="A25" s="861"/>
      <c r="B25" s="235"/>
      <c r="C25" s="131" t="s">
        <v>274</v>
      </c>
      <c r="D25" s="132"/>
      <c r="E25" s="132"/>
      <c r="F25" s="132"/>
      <c r="G25" s="132"/>
      <c r="H25" s="132"/>
      <c r="I25" s="236">
        <f t="shared" ca="1" si="2"/>
        <v>1266871.7639997473</v>
      </c>
      <c r="J25" s="387">
        <f t="shared" ref="J25:AG25" ca="1" si="4">J16-J24</f>
        <v>10029.369999999999</v>
      </c>
      <c r="K25" s="387">
        <f t="shared" ca="1" si="4"/>
        <v>13720.369999999999</v>
      </c>
      <c r="L25" s="387">
        <f t="shared" ca="1" si="4"/>
        <v>17871.62</v>
      </c>
      <c r="M25" s="387">
        <f t="shared" ca="1" si="4"/>
        <v>21366.6325</v>
      </c>
      <c r="N25" s="387">
        <f t="shared" ca="1" si="4"/>
        <v>27227.183499999999</v>
      </c>
      <c r="O25" s="387">
        <f t="shared" ca="1" si="4"/>
        <v>32030.761280000002</v>
      </c>
      <c r="P25" s="387">
        <f t="shared" ca="1" si="4"/>
        <v>35672.345700200007</v>
      </c>
      <c r="Q25" s="387">
        <f t="shared" ca="1" si="4"/>
        <v>43260.943823048001</v>
      </c>
      <c r="R25" s="387">
        <f t="shared" ca="1" si="4"/>
        <v>49201.362413969924</v>
      </c>
      <c r="S25" s="387">
        <f t="shared" ca="1" si="4"/>
        <v>50425.954425906981</v>
      </c>
      <c r="T25" s="387">
        <f t="shared" ca="1" si="4"/>
        <v>59212.787937719877</v>
      </c>
      <c r="U25" s="387">
        <f t="shared" ca="1" si="4"/>
        <v>61382.15788924526</v>
      </c>
      <c r="V25" s="387">
        <f t="shared" ca="1" si="4"/>
        <v>60879.635001450632</v>
      </c>
      <c r="W25" s="387">
        <f t="shared" ca="1" si="4"/>
        <v>70229.69840009723</v>
      </c>
      <c r="X25" s="387">
        <f t="shared" ca="1" si="4"/>
        <v>75207.632259160819</v>
      </c>
      <c r="Y25" s="387">
        <f t="shared" ca="1" si="4"/>
        <v>74031.858610069365</v>
      </c>
      <c r="Z25" s="387">
        <f t="shared" ca="1" si="4"/>
        <v>84373.67722095194</v>
      </c>
      <c r="AA25" s="387">
        <f t="shared" ca="1" si="4"/>
        <v>89368.323211501644</v>
      </c>
      <c r="AB25" s="387">
        <f t="shared" ca="1" si="4"/>
        <v>87294.809345084475</v>
      </c>
      <c r="AC25" s="387">
        <f t="shared" ca="1" si="4"/>
        <v>98887.813114950113</v>
      </c>
      <c r="AD25" s="387">
        <f t="shared" ca="1" si="4"/>
        <v>104046.42260502595</v>
      </c>
      <c r="AE25" s="387">
        <f t="shared" ca="1" si="4"/>
        <v>101150.40476136495</v>
      </c>
      <c r="AF25" s="387">
        <f t="shared" ca="1" si="4"/>
        <v>0</v>
      </c>
      <c r="AG25" s="387">
        <f t="shared" ca="1" si="4"/>
        <v>0</v>
      </c>
    </row>
    <row r="26" spans="1:33" s="632" customFormat="1" ht="17.25" customHeight="1" outlineLevel="1">
      <c r="A26" s="861"/>
      <c r="B26" s="282"/>
      <c r="C26" s="417" t="s">
        <v>275</v>
      </c>
      <c r="D26" s="333"/>
      <c r="E26" s="333"/>
      <c r="F26" s="333"/>
      <c r="G26" s="333"/>
      <c r="H26" s="333"/>
      <c r="I26" s="549"/>
      <c r="J26" s="693">
        <f t="shared" ref="J26:AG26" ca="1" si="5">IFERROR(J25/J16,0)</f>
        <v>0.81374198782961449</v>
      </c>
      <c r="K26" s="693">
        <f t="shared" ca="1" si="5"/>
        <v>0.80118948905109488</v>
      </c>
      <c r="L26" s="693">
        <f t="shared" ca="1" si="5"/>
        <v>0.78859878654164361</v>
      </c>
      <c r="M26" s="693">
        <f t="shared" ca="1" si="5"/>
        <v>0.75082077961325056</v>
      </c>
      <c r="N26" s="693">
        <f t="shared" ca="1" si="5"/>
        <v>0.78263996562121818</v>
      </c>
      <c r="O26" s="693">
        <f t="shared" ca="1" si="5"/>
        <v>0.7796690815468228</v>
      </c>
      <c r="P26" s="693">
        <f t="shared" ca="1" si="5"/>
        <v>0.74011945251612399</v>
      </c>
      <c r="Q26" s="693">
        <f t="shared" ca="1" si="5"/>
        <v>0.78212273552126321</v>
      </c>
      <c r="R26" s="693">
        <f t="shared" ca="1" si="5"/>
        <v>0.7826776124522663</v>
      </c>
      <c r="S26" s="693">
        <f t="shared" ca="1" si="5"/>
        <v>0.73491995302777446</v>
      </c>
      <c r="T26" s="693">
        <f t="shared" ca="1" si="5"/>
        <v>0.78299465557860271</v>
      </c>
      <c r="U26" s="693">
        <f t="shared" ca="1" si="5"/>
        <v>0.77286380699716062</v>
      </c>
      <c r="V26" s="693">
        <f t="shared" ca="1" si="5"/>
        <v>0.71956714773126162</v>
      </c>
      <c r="W26" s="693">
        <f t="shared" ca="1" si="5"/>
        <v>0.77190535246178904</v>
      </c>
      <c r="X26" s="693">
        <f t="shared" ca="1" si="5"/>
        <v>0.77182436806355836</v>
      </c>
      <c r="Y26" s="693">
        <f t="shared" ca="1" si="5"/>
        <v>0.71880221169772041</v>
      </c>
      <c r="Z26" s="693">
        <f t="shared" ca="1" si="5"/>
        <v>0.77155047642284358</v>
      </c>
      <c r="AA26" s="693">
        <f t="shared" ca="1" si="5"/>
        <v>0.7714659999993646</v>
      </c>
      <c r="AB26" s="693">
        <f t="shared" ca="1" si="5"/>
        <v>0.71740094484800099</v>
      </c>
      <c r="AC26" s="693">
        <f t="shared" ca="1" si="5"/>
        <v>0.77121367916388894</v>
      </c>
      <c r="AD26" s="693">
        <f t="shared" ca="1" si="5"/>
        <v>0.77112918368113148</v>
      </c>
      <c r="AE26" s="693">
        <f t="shared" ca="1" si="5"/>
        <v>0.71640435124753676</v>
      </c>
      <c r="AF26" s="693">
        <f t="shared" ca="1" si="5"/>
        <v>0</v>
      </c>
      <c r="AG26" s="693">
        <f t="shared" ca="1" si="5"/>
        <v>0</v>
      </c>
    </row>
    <row r="27" spans="1:33" s="632" customFormat="1" ht="17.25" customHeight="1" outlineLevel="1">
      <c r="A27" s="861"/>
      <c r="B27" s="282"/>
      <c r="C27" s="379" t="s">
        <v>273</v>
      </c>
      <c r="D27" s="333"/>
      <c r="E27" s="800"/>
      <c r="F27" s="800"/>
      <c r="H27" s="333"/>
      <c r="I27" s="549"/>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row>
    <row r="28" spans="1:33" s="632" customFormat="1" ht="17.25" customHeight="1" outlineLevel="1">
      <c r="A28" s="861"/>
      <c r="B28" s="282"/>
      <c r="C28" s="632" t="s">
        <v>954</v>
      </c>
      <c r="E28" s="878"/>
      <c r="F28" s="736" t="s">
        <v>204</v>
      </c>
      <c r="G28" s="70">
        <f ca="1">Costs!I25</f>
        <v>425640.87470923242</v>
      </c>
      <c r="H28" s="1040" t="s">
        <v>1018</v>
      </c>
      <c r="I28" s="236">
        <f t="shared" ref="I28:I59" ca="1" si="6">SUM(J28:AG28)</f>
        <v>425640.87470923242</v>
      </c>
      <c r="J28" s="141">
        <f t="shared" ref="J28:AG28" ca="1" si="7">SUM(J29:J43)</f>
        <v>4949.4622222222224</v>
      </c>
      <c r="K28" s="141">
        <f t="shared" ca="1" si="7"/>
        <v>8251.1511111111104</v>
      </c>
      <c r="L28" s="141">
        <f t="shared" ca="1" si="7"/>
        <v>15761.428888888888</v>
      </c>
      <c r="M28" s="141">
        <f t="shared" ca="1" si="7"/>
        <v>12292.972444444444</v>
      </c>
      <c r="N28" s="141">
        <f t="shared" ca="1" si="7"/>
        <v>10954.944222222222</v>
      </c>
      <c r="O28" s="141">
        <f t="shared" ca="1" si="7"/>
        <v>12251.200471111113</v>
      </c>
      <c r="P28" s="141">
        <f t="shared" ca="1" si="7"/>
        <v>12364.130569955558</v>
      </c>
      <c r="Q28" s="141">
        <f t="shared" ca="1" si="7"/>
        <v>13625.036028753784</v>
      </c>
      <c r="R28" s="141">
        <f t="shared" ca="1" si="7"/>
        <v>14924.793025903931</v>
      </c>
      <c r="S28" s="141">
        <f t="shared" ca="1" si="7"/>
        <v>15956.888482940092</v>
      </c>
      <c r="T28" s="141">
        <f t="shared" ca="1" si="7"/>
        <v>17206.211866057693</v>
      </c>
      <c r="U28" s="141">
        <f t="shared" ca="1" si="7"/>
        <v>20700.671480119036</v>
      </c>
      <c r="V28" s="141">
        <f t="shared" ca="1" si="7"/>
        <v>19720.3656228498</v>
      </c>
      <c r="W28" s="141">
        <f t="shared" ca="1" si="7"/>
        <v>20970.940950904427</v>
      </c>
      <c r="X28" s="141">
        <f t="shared" ca="1" si="7"/>
        <v>22233.853866432444</v>
      </c>
      <c r="Y28" s="141">
        <f t="shared" ca="1" si="7"/>
        <v>25857.571855922324</v>
      </c>
      <c r="Z28" s="141">
        <f t="shared" ca="1" si="7"/>
        <v>30634.009648306121</v>
      </c>
      <c r="AA28" s="141">
        <f t="shared" ca="1" si="7"/>
        <v>26932.675975689195</v>
      </c>
      <c r="AB28" s="141">
        <f t="shared" ca="1" si="7"/>
        <v>29186.697393574697</v>
      </c>
      <c r="AC28" s="141">
        <f t="shared" ca="1" si="7"/>
        <v>29473.464771681367</v>
      </c>
      <c r="AD28" s="141">
        <f t="shared" ca="1" si="7"/>
        <v>30041.614172080423</v>
      </c>
      <c r="AE28" s="141">
        <f t="shared" ca="1" si="7"/>
        <v>31350.789638061597</v>
      </c>
      <c r="AF28" s="141">
        <f t="shared" ca="1" si="7"/>
        <v>0</v>
      </c>
      <c r="AG28" s="141">
        <f t="shared" ca="1" si="7"/>
        <v>0</v>
      </c>
    </row>
    <row r="29" spans="1:33" s="632" customFormat="1" ht="17.25" customHeight="1" outlineLevel="2">
      <c r="A29" s="861"/>
      <c r="B29" s="282"/>
      <c r="C29" s="1049" t="s">
        <v>221</v>
      </c>
      <c r="I29" s="236">
        <f t="shared" ca="1" si="6"/>
        <v>236250.8777190104</v>
      </c>
      <c r="J29" s="141">
        <f ca="1">'Human Resources'!J56</f>
        <v>1798.4444444444443</v>
      </c>
      <c r="K29" s="141">
        <f ca="1">'Human Resources'!K56</f>
        <v>3026.2222222222222</v>
      </c>
      <c r="L29" s="141">
        <f ca="1">'Human Resources'!L56</f>
        <v>4040.1111111111113</v>
      </c>
      <c r="M29" s="141">
        <f ca="1">'Human Resources'!M56</f>
        <v>4747.6888888888889</v>
      </c>
      <c r="N29" s="141">
        <f ca="1">'Human Resources'!N56</f>
        <v>5514.3111111111111</v>
      </c>
      <c r="O29" s="141">
        <f ca="1">'Human Resources'!O56</f>
        <v>6305.9982222222234</v>
      </c>
      <c r="P29" s="141">
        <f ca="1">'Human Resources'!P56</f>
        <v>7076.9128177777793</v>
      </c>
      <c r="Q29" s="141">
        <f ca="1">'Human Resources'!Q56</f>
        <v>7907.8682638222253</v>
      </c>
      <c r="R29" s="141">
        <f ca="1">'Human Resources'!R56</f>
        <v>8766.7419277084464</v>
      </c>
      <c r="S29" s="141">
        <f ca="1">'Human Resources'!S56</f>
        <v>9454.6818714834517</v>
      </c>
      <c r="T29" s="141">
        <f ca="1">'Human Resources'!T56</f>
        <v>10268.11962634279</v>
      </c>
      <c r="U29" s="141">
        <f ca="1">'Human Resources'!U56</f>
        <v>11243.828089506844</v>
      </c>
      <c r="V29" s="141">
        <f ca="1">'Human Resources'!V56</f>
        <v>11950.660419853786</v>
      </c>
      <c r="W29" s="141">
        <f ca="1">'Human Resources'!W56</f>
        <v>12763.133935545269</v>
      </c>
      <c r="X29" s="141">
        <f ca="1">'Human Resources'!X56</f>
        <v>13589.392844984413</v>
      </c>
      <c r="Y29" s="141">
        <f ca="1">'Human Resources'!Y56</f>
        <v>14325.412232833458</v>
      </c>
      <c r="Z29" s="141">
        <f ca="1">'Human Resources'!Z56</f>
        <v>15151.368652002833</v>
      </c>
      <c r="AA29" s="141">
        <f ca="1">'Human Resources'!AA56</f>
        <v>15996.14103231019</v>
      </c>
      <c r="AB29" s="141">
        <f ca="1">'Human Resources'!AB56</f>
        <v>16779.454168941993</v>
      </c>
      <c r="AC29" s="141">
        <f ca="1">'Human Resources'!AC56</f>
        <v>17641.688810349628</v>
      </c>
      <c r="AD29" s="141">
        <f ca="1">'Human Resources'!AD56</f>
        <v>18527.603892735682</v>
      </c>
      <c r="AE29" s="141">
        <f ca="1">'Human Resources'!AE56</f>
        <v>19375.09313281162</v>
      </c>
      <c r="AF29" s="141">
        <f ca="1">'Human Resources'!AF56</f>
        <v>0</v>
      </c>
      <c r="AG29" s="141">
        <f ca="1">'Human Resources'!AG56</f>
        <v>0</v>
      </c>
    </row>
    <row r="30" spans="1:33" s="878" customFormat="1" ht="17.25" customHeight="1" outlineLevel="2">
      <c r="A30" s="861"/>
      <c r="B30" s="861"/>
      <c r="C30" s="1049" t="s">
        <v>229</v>
      </c>
      <c r="I30" s="236">
        <f t="shared" ca="1" si="6"/>
        <v>47250.175543802085</v>
      </c>
      <c r="J30" s="141">
        <f ca="1">'Human Resources'!J92</f>
        <v>359.68888888888887</v>
      </c>
      <c r="K30" s="141">
        <f ca="1">'Human Resources'!K92</f>
        <v>605.24444444444453</v>
      </c>
      <c r="L30" s="141">
        <f ca="1">'Human Resources'!L92</f>
        <v>808.02222222222224</v>
      </c>
      <c r="M30" s="141">
        <f ca="1">'Human Resources'!M92</f>
        <v>949.53777777777771</v>
      </c>
      <c r="N30" s="141">
        <f ca="1">'Human Resources'!N92</f>
        <v>1102.8622222222223</v>
      </c>
      <c r="O30" s="141">
        <f ca="1">'Human Resources'!O92</f>
        <v>1261.1996444444449</v>
      </c>
      <c r="P30" s="141">
        <f ca="1">'Human Resources'!P92</f>
        <v>1415.3825635555559</v>
      </c>
      <c r="Q30" s="141">
        <f ca="1">'Human Resources'!Q92</f>
        <v>1581.5736527644451</v>
      </c>
      <c r="R30" s="141">
        <f ca="1">'Human Resources'!R92</f>
        <v>1753.3483855416894</v>
      </c>
      <c r="S30" s="141">
        <f ca="1">'Human Resources'!S92</f>
        <v>1890.93637429669</v>
      </c>
      <c r="T30" s="141">
        <f ca="1">'Human Resources'!T92</f>
        <v>2053.6239252685582</v>
      </c>
      <c r="U30" s="141">
        <f ca="1">'Human Resources'!U92</f>
        <v>2248.7656179013688</v>
      </c>
      <c r="V30" s="141">
        <f ca="1">'Human Resources'!V92</f>
        <v>2390.1320839707569</v>
      </c>
      <c r="W30" s="141">
        <f ca="1">'Human Resources'!W92</f>
        <v>2552.626787109054</v>
      </c>
      <c r="X30" s="141">
        <f ca="1">'Human Resources'!X92</f>
        <v>2717.8785689968827</v>
      </c>
      <c r="Y30" s="141">
        <f ca="1">'Human Resources'!Y92</f>
        <v>2865.0824465666919</v>
      </c>
      <c r="Z30" s="141">
        <f ca="1">'Human Resources'!Z92</f>
        <v>3030.2737304005668</v>
      </c>
      <c r="AA30" s="141">
        <f ca="1">'Human Resources'!AA92</f>
        <v>3199.2282064620381</v>
      </c>
      <c r="AB30" s="141">
        <f ca="1">'Human Resources'!AB92</f>
        <v>3355.8908337883986</v>
      </c>
      <c r="AC30" s="141">
        <f ca="1">'Human Resources'!AC92</f>
        <v>3528.3377620699257</v>
      </c>
      <c r="AD30" s="141">
        <f ca="1">'Human Resources'!AD92</f>
        <v>3705.5207785471366</v>
      </c>
      <c r="AE30" s="141">
        <f ca="1">'Human Resources'!AE92</f>
        <v>3875.0186265623242</v>
      </c>
      <c r="AF30" s="141">
        <f ca="1">'Human Resources'!AF92</f>
        <v>0</v>
      </c>
      <c r="AG30" s="141">
        <f ca="1">'Human Resources'!AG92</f>
        <v>0</v>
      </c>
    </row>
    <row r="31" spans="1:33" s="878" customFormat="1" ht="17.25" customHeight="1" outlineLevel="2">
      <c r="A31" s="861"/>
      <c r="B31" s="861"/>
      <c r="C31" s="1049" t="s">
        <v>226</v>
      </c>
      <c r="I31" s="236">
        <f t="shared" ca="1" si="6"/>
        <v>60888.386977396847</v>
      </c>
      <c r="J31" s="141">
        <f ca="1">'Human Resources'!J135</f>
        <v>661.32888888888886</v>
      </c>
      <c r="K31" s="141">
        <f ca="1">'Human Resources'!K135</f>
        <v>909.68444444444447</v>
      </c>
      <c r="L31" s="141">
        <f ca="1">'Human Resources'!L135</f>
        <v>1138.2955555555557</v>
      </c>
      <c r="M31" s="141">
        <f ca="1">'Human Resources'!M135</f>
        <v>1277.7457777777779</v>
      </c>
      <c r="N31" s="141">
        <f ca="1">'Human Resources'!N135</f>
        <v>1475.0508888888889</v>
      </c>
      <c r="O31" s="141">
        <f ca="1">'Human Resources'!O135</f>
        <v>1674.7738044444447</v>
      </c>
      <c r="P31" s="141">
        <f ca="1">'Human Resources'!P135</f>
        <v>1864.2372366222226</v>
      </c>
      <c r="Q31" s="141">
        <f ca="1">'Human Resources'!Q135</f>
        <v>2077.6922420871115</v>
      </c>
      <c r="R31" s="141">
        <f ca="1">'Human Resources'!R135</f>
        <v>2294.4847677705961</v>
      </c>
      <c r="S31" s="141">
        <f ca="1">'Human Resources'!S135</f>
        <v>2446.6435744814198</v>
      </c>
      <c r="T31" s="141">
        <f ca="1">'Human Resources'!T135</f>
        <v>2663.2565852606767</v>
      </c>
      <c r="U31" s="141">
        <f ca="1">'Human Resources'!U135</f>
        <v>2878.0175743577242</v>
      </c>
      <c r="V31" s="141">
        <f ca="1">'Human Resources'!V135</f>
        <v>3038.310512738034</v>
      </c>
      <c r="W31" s="141">
        <f ca="1">'Human Resources'!W135</f>
        <v>3250.2671177113948</v>
      </c>
      <c r="X31" s="141">
        <f ca="1">'Human Resources'!X135</f>
        <v>3455.4728174908905</v>
      </c>
      <c r="Y31" s="141">
        <f ca="1">'Human Resources'!Y135</f>
        <v>3627.1231561635063</v>
      </c>
      <c r="Z31" s="141">
        <f ca="1">'Human Resources'!Z135</f>
        <v>3840.8150847297088</v>
      </c>
      <c r="AA31" s="141">
        <f ca="1">'Human Resources'!AA135</f>
        <v>4051.2924684970317</v>
      </c>
      <c r="AB31" s="141">
        <f ca="1">'Human Resources'!AB135</f>
        <v>4237.8975516875771</v>
      </c>
      <c r="AC31" s="141">
        <f ca="1">'Human Resources'!AC135</f>
        <v>4459.4451665388106</v>
      </c>
      <c r="AD31" s="141">
        <f ca="1">'Human Resources'!AD135</f>
        <v>4680.7367467656832</v>
      </c>
      <c r="AE31" s="141">
        <f ca="1">'Human Resources'!AE135</f>
        <v>4885.8150144944539</v>
      </c>
      <c r="AF31" s="141">
        <f ca="1">'Human Resources'!AF135</f>
        <v>0</v>
      </c>
      <c r="AG31" s="141">
        <f ca="1">'Human Resources'!AG135</f>
        <v>0</v>
      </c>
    </row>
    <row r="32" spans="1:33" s="878" customFormat="1" ht="17.25" customHeight="1" outlineLevel="2">
      <c r="A32" s="861"/>
      <c r="B32" s="861"/>
      <c r="C32" s="1049" t="str">
        <f>Costs!C13</f>
        <v>Sales commission expense</v>
      </c>
      <c r="I32" s="236">
        <f t="shared" si="6"/>
        <v>13940.135359125972</v>
      </c>
      <c r="J32" s="141">
        <f>Costs!J13*J$6</f>
        <v>180</v>
      </c>
      <c r="K32" s="141">
        <f>Costs!K13*K$6</f>
        <v>360</v>
      </c>
      <c r="L32" s="141">
        <f>Costs!L13*L$6</f>
        <v>450</v>
      </c>
      <c r="M32" s="141">
        <f>Costs!M13*M$6</f>
        <v>468</v>
      </c>
      <c r="N32" s="141">
        <f>Costs!N13*N$6</f>
        <v>486.72000000000008</v>
      </c>
      <c r="O32" s="141">
        <f>Costs!O13*O$6</f>
        <v>506.18880000000019</v>
      </c>
      <c r="P32" s="141">
        <f>Costs!P13*P$6</f>
        <v>526.43635200000017</v>
      </c>
      <c r="Q32" s="141">
        <f>Costs!Q13*Q$6</f>
        <v>547.49380608000013</v>
      </c>
      <c r="R32" s="141">
        <f>Costs!R13*R$6</f>
        <v>569.39355832320018</v>
      </c>
      <c r="S32" s="141">
        <f>Costs!S13*S$6</f>
        <v>592.16930065612826</v>
      </c>
      <c r="T32" s="141">
        <f>Costs!T13*T$6</f>
        <v>615.85607268237334</v>
      </c>
      <c r="U32" s="141">
        <f>Costs!U13*U$6</f>
        <v>640.49031558966817</v>
      </c>
      <c r="V32" s="141">
        <f>Costs!V13*V$6</f>
        <v>666.10992821325499</v>
      </c>
      <c r="W32" s="141">
        <f>Costs!W13*W$6</f>
        <v>692.75432534178526</v>
      </c>
      <c r="X32" s="141">
        <f>Costs!X13*X$6</f>
        <v>720.46449835545661</v>
      </c>
      <c r="Y32" s="141">
        <f>Costs!Y13*Y$6</f>
        <v>749.28307828967502</v>
      </c>
      <c r="Z32" s="141">
        <f>Costs!Z13*Z$6</f>
        <v>779.25440142126195</v>
      </c>
      <c r="AA32" s="141">
        <f>Costs!AA13*AA$6</f>
        <v>810.4245774781125</v>
      </c>
      <c r="AB32" s="141">
        <f>Costs!AB13*AB$6</f>
        <v>842.84156057723692</v>
      </c>
      <c r="AC32" s="141">
        <f>Costs!AC13*AC$6</f>
        <v>876.55522300032646</v>
      </c>
      <c r="AD32" s="141">
        <f>Costs!AD13*AD$6</f>
        <v>911.61743192033964</v>
      </c>
      <c r="AE32" s="141">
        <f>Costs!AE13*AE$6</f>
        <v>948.08212919715322</v>
      </c>
      <c r="AF32" s="141">
        <f>Costs!AF13*AF$6</f>
        <v>0</v>
      </c>
      <c r="AG32" s="141">
        <f>Costs!AG13*AG$6</f>
        <v>0</v>
      </c>
    </row>
    <row r="33" spans="1:33" s="878" customFormat="1" ht="17.25" customHeight="1" outlineLevel="2">
      <c r="A33" s="861"/>
      <c r="B33" s="861"/>
      <c r="C33" s="1049" t="str">
        <f>Costs!C14</f>
        <v>Lead generation expense</v>
      </c>
      <c r="I33" s="236">
        <f t="shared" si="6"/>
        <v>19361.299109897183</v>
      </c>
      <c r="J33" s="141">
        <f>Costs!J14*J$6</f>
        <v>250</v>
      </c>
      <c r="K33" s="141">
        <f>Costs!K14*K$6</f>
        <v>500</v>
      </c>
      <c r="L33" s="141">
        <f>Costs!L14*L$6</f>
        <v>625</v>
      </c>
      <c r="M33" s="141">
        <f>Costs!M14*M$6</f>
        <v>650</v>
      </c>
      <c r="N33" s="141">
        <f>Costs!N14*N$6</f>
        <v>676.00000000000011</v>
      </c>
      <c r="O33" s="141">
        <f>Costs!O14*O$6</f>
        <v>703.04000000000019</v>
      </c>
      <c r="P33" s="141">
        <f>Costs!P14*P$6</f>
        <v>731.16160000000025</v>
      </c>
      <c r="Q33" s="141">
        <f>Costs!Q14*Q$6</f>
        <v>760.40806400000019</v>
      </c>
      <c r="R33" s="141">
        <f>Costs!R14*R$6</f>
        <v>790.82438656000022</v>
      </c>
      <c r="S33" s="141">
        <f>Costs!S14*S$6</f>
        <v>822.45736202240028</v>
      </c>
      <c r="T33" s="141">
        <f>Costs!T14*T$6</f>
        <v>855.35565650329636</v>
      </c>
      <c r="U33" s="141">
        <f>Costs!U14*U$6</f>
        <v>889.56988276342815</v>
      </c>
      <c r="V33" s="141">
        <f>Costs!V14*V$6</f>
        <v>925.15267807396526</v>
      </c>
      <c r="W33" s="141">
        <f>Costs!W14*W$6</f>
        <v>962.15878519692399</v>
      </c>
      <c r="X33" s="141">
        <f>Costs!X14*X$6</f>
        <v>1000.6451366048009</v>
      </c>
      <c r="Y33" s="141">
        <f>Costs!Y14*Y$6</f>
        <v>1040.6709420689931</v>
      </c>
      <c r="Z33" s="141">
        <f>Costs!Z14*Z$6</f>
        <v>1082.2977797517526</v>
      </c>
      <c r="AA33" s="141">
        <f>Costs!AA14*AA$6</f>
        <v>1125.5896909418229</v>
      </c>
      <c r="AB33" s="141">
        <f>Costs!AB14*AB$6</f>
        <v>1170.6132785794957</v>
      </c>
      <c r="AC33" s="141">
        <f>Costs!AC14*AC$6</f>
        <v>1217.4378097226756</v>
      </c>
      <c r="AD33" s="141">
        <f>Costs!AD14*AD$6</f>
        <v>1266.1353221115828</v>
      </c>
      <c r="AE33" s="141">
        <f>Costs!AE14*AE$6</f>
        <v>1316.7807349960462</v>
      </c>
      <c r="AF33" s="141">
        <f>Costs!AF14*AF$6</f>
        <v>0</v>
      </c>
      <c r="AG33" s="141">
        <f>Costs!AG14*AG$6</f>
        <v>0</v>
      </c>
    </row>
    <row r="34" spans="1:33" s="878" customFormat="1" ht="17.25" customHeight="1" outlineLevel="2">
      <c r="A34" s="861"/>
      <c r="B34" s="861"/>
      <c r="C34" s="1049" t="str">
        <f>Costs!C15</f>
        <v>Promotional materials (advertising, brochures etc.)</v>
      </c>
      <c r="I34" s="236">
        <f t="shared" si="6"/>
        <v>10150</v>
      </c>
      <c r="J34" s="141">
        <f>Costs!J15*J$6</f>
        <v>950</v>
      </c>
      <c r="K34" s="141">
        <f>Costs!K15*K$6</f>
        <v>950</v>
      </c>
      <c r="L34" s="141">
        <f>Costs!L15*L$6</f>
        <v>950</v>
      </c>
      <c r="M34" s="141">
        <f>Costs!M15*M$6</f>
        <v>950</v>
      </c>
      <c r="N34" s="141">
        <f>Costs!N15*N$6</f>
        <v>950</v>
      </c>
      <c r="O34" s="141">
        <f>Costs!O15*O$6</f>
        <v>0</v>
      </c>
      <c r="P34" s="141">
        <f>Costs!P15*P$6</f>
        <v>0</v>
      </c>
      <c r="Q34" s="141">
        <f>Costs!Q15*Q$6</f>
        <v>0</v>
      </c>
      <c r="R34" s="141">
        <f>Costs!R15*R$6</f>
        <v>0</v>
      </c>
      <c r="S34" s="141">
        <f>Costs!S15*S$6</f>
        <v>0</v>
      </c>
      <c r="T34" s="141">
        <f>Costs!T15*T$6</f>
        <v>0</v>
      </c>
      <c r="U34" s="141">
        <f>Costs!U15*U$6</f>
        <v>1000</v>
      </c>
      <c r="V34" s="141">
        <f>Costs!V15*V$6</f>
        <v>0</v>
      </c>
      <c r="W34" s="141">
        <f>Costs!W15*W$6</f>
        <v>0</v>
      </c>
      <c r="X34" s="141">
        <f>Costs!X15*X$6</f>
        <v>0</v>
      </c>
      <c r="Y34" s="141">
        <f>Costs!Y15*Y$6</f>
        <v>0</v>
      </c>
      <c r="Z34" s="141">
        <f>Costs!Z15*Z$6</f>
        <v>1000</v>
      </c>
      <c r="AA34" s="141">
        <f>Costs!AA15*AA$6</f>
        <v>1000</v>
      </c>
      <c r="AB34" s="141">
        <f>Costs!AB15*AB$6</f>
        <v>1000</v>
      </c>
      <c r="AC34" s="141">
        <f>Costs!AC15*AC$6</f>
        <v>1000</v>
      </c>
      <c r="AD34" s="141">
        <f>Costs!AD15*AD$6</f>
        <v>200</v>
      </c>
      <c r="AE34" s="141">
        <f>Costs!AE15*AE$6</f>
        <v>200</v>
      </c>
      <c r="AF34" s="141">
        <f>Costs!AF15*AF$6</f>
        <v>0</v>
      </c>
      <c r="AG34" s="141">
        <f>Costs!AG15*AG$6</f>
        <v>0</v>
      </c>
    </row>
    <row r="35" spans="1:33" s="878" customFormat="1" ht="17.25" customHeight="1" outlineLevel="2">
      <c r="A35" s="861"/>
      <c r="B35" s="861"/>
      <c r="C35" s="1049" t="str">
        <f>Costs!C16</f>
        <v>Public relations, exhibitions</v>
      </c>
      <c r="I35" s="236">
        <f t="shared" si="6"/>
        <v>12000</v>
      </c>
      <c r="J35" s="141">
        <f>Costs!J16*J$6</f>
        <v>0</v>
      </c>
      <c r="K35" s="141">
        <f>Costs!K16*K$6</f>
        <v>0</v>
      </c>
      <c r="L35" s="141">
        <f>Costs!L16*L$6</f>
        <v>7000</v>
      </c>
      <c r="M35" s="141">
        <f>Costs!M16*M$6</f>
        <v>0</v>
      </c>
      <c r="N35" s="141">
        <f>Costs!N16*N$6</f>
        <v>0</v>
      </c>
      <c r="O35" s="141">
        <f>Costs!O16*O$6</f>
        <v>0</v>
      </c>
      <c r="P35" s="141">
        <f>Costs!P16*P$6</f>
        <v>0</v>
      </c>
      <c r="Q35" s="141">
        <f>Costs!Q16*Q$6</f>
        <v>0</v>
      </c>
      <c r="R35" s="141">
        <f>Costs!R16*R$6</f>
        <v>0</v>
      </c>
      <c r="S35" s="141">
        <f>Costs!S16*S$6</f>
        <v>0</v>
      </c>
      <c r="T35" s="141">
        <f>Costs!T16*T$6</f>
        <v>0</v>
      </c>
      <c r="U35" s="141">
        <f>Costs!U16*U$6</f>
        <v>0</v>
      </c>
      <c r="V35" s="141">
        <f>Costs!V16*V$6</f>
        <v>0</v>
      </c>
      <c r="W35" s="141">
        <f>Costs!W16*W$6</f>
        <v>0</v>
      </c>
      <c r="X35" s="141">
        <f>Costs!X16*X$6</f>
        <v>0</v>
      </c>
      <c r="Y35" s="141">
        <f>Costs!Y16*Y$6</f>
        <v>0</v>
      </c>
      <c r="Z35" s="141">
        <f>Costs!Z16*Z$6</f>
        <v>5000</v>
      </c>
      <c r="AA35" s="141">
        <f>Costs!AA16*AA$6</f>
        <v>0</v>
      </c>
      <c r="AB35" s="141">
        <f>Costs!AB16*AB$6</f>
        <v>0</v>
      </c>
      <c r="AC35" s="141">
        <f>Costs!AC16*AC$6</f>
        <v>0</v>
      </c>
      <c r="AD35" s="141">
        <f>Costs!AD16*AD$6</f>
        <v>0</v>
      </c>
      <c r="AE35" s="141">
        <f>Costs!AE16*AE$6</f>
        <v>0</v>
      </c>
      <c r="AF35" s="141">
        <f>Costs!AF16*AF$6</f>
        <v>0</v>
      </c>
      <c r="AG35" s="141">
        <f>Costs!AG16*AG$6</f>
        <v>0</v>
      </c>
    </row>
    <row r="36" spans="1:33" s="878" customFormat="1" ht="17.25" customHeight="1" outlineLevel="2">
      <c r="A36" s="861"/>
      <c r="B36" s="861"/>
      <c r="C36" s="1049" t="str">
        <f>Costs!C17</f>
        <v>Marketing campaign / Promotion 01</v>
      </c>
      <c r="I36" s="236">
        <f t="shared" si="6"/>
        <v>4300</v>
      </c>
      <c r="J36" s="141">
        <f>Costs!J17*J$6</f>
        <v>0</v>
      </c>
      <c r="K36" s="141">
        <f>Costs!K17*K$6</f>
        <v>1150</v>
      </c>
      <c r="L36" s="141">
        <f>Costs!L17*L$6</f>
        <v>0</v>
      </c>
      <c r="M36" s="141">
        <f>Costs!M17*M$6</f>
        <v>0</v>
      </c>
      <c r="N36" s="141">
        <f>Costs!N17*N$6</f>
        <v>0</v>
      </c>
      <c r="O36" s="141">
        <f>Costs!O17*O$6</f>
        <v>1050</v>
      </c>
      <c r="P36" s="141">
        <f>Costs!P17*P$6</f>
        <v>0</v>
      </c>
      <c r="Q36" s="141">
        <f>Costs!Q17*Q$6</f>
        <v>0</v>
      </c>
      <c r="R36" s="141">
        <f>Costs!R17*R$6</f>
        <v>0</v>
      </c>
      <c r="S36" s="141">
        <f>Costs!S17*S$6</f>
        <v>0</v>
      </c>
      <c r="T36" s="141">
        <f>Costs!T17*T$6</f>
        <v>0</v>
      </c>
      <c r="U36" s="141">
        <f>Costs!U17*U$6</f>
        <v>1050</v>
      </c>
      <c r="V36" s="141">
        <f>Costs!V17*V$6</f>
        <v>0</v>
      </c>
      <c r="W36" s="141">
        <f>Costs!W17*W$6</f>
        <v>0</v>
      </c>
      <c r="X36" s="141">
        <f>Costs!X17*X$6</f>
        <v>0</v>
      </c>
      <c r="Y36" s="141">
        <f>Costs!Y17*Y$6</f>
        <v>0</v>
      </c>
      <c r="Z36" s="141">
        <f>Costs!Z17*Z$6</f>
        <v>0</v>
      </c>
      <c r="AA36" s="141">
        <f>Costs!AA17*AA$6</f>
        <v>0</v>
      </c>
      <c r="AB36" s="141">
        <f>Costs!AB17*AB$6</f>
        <v>1050</v>
      </c>
      <c r="AC36" s="141">
        <f>Costs!AC17*AC$6</f>
        <v>0</v>
      </c>
      <c r="AD36" s="141">
        <f>Costs!AD17*AD$6</f>
        <v>0</v>
      </c>
      <c r="AE36" s="141">
        <f>Costs!AE17*AE$6</f>
        <v>0</v>
      </c>
      <c r="AF36" s="141">
        <f>Costs!AF17*AF$6</f>
        <v>0</v>
      </c>
      <c r="AG36" s="141">
        <f>Costs!AG17*AG$6</f>
        <v>0</v>
      </c>
    </row>
    <row r="37" spans="1:33" s="878" customFormat="1" ht="17.25" customHeight="1" outlineLevel="2">
      <c r="A37" s="861"/>
      <c r="B37" s="861"/>
      <c r="C37" s="1049" t="str">
        <f>Costs!C18</f>
        <v>Marketing campaign / Promotion 02</v>
      </c>
      <c r="I37" s="236">
        <f t="shared" si="6"/>
        <v>5000</v>
      </c>
      <c r="J37" s="141">
        <f>Costs!J18*J$6</f>
        <v>0</v>
      </c>
      <c r="K37" s="141">
        <f>Costs!K18*K$6</f>
        <v>0</v>
      </c>
      <c r="L37" s="141">
        <f>Costs!L18*L$6</f>
        <v>0</v>
      </c>
      <c r="M37" s="141">
        <f>Costs!M18*M$6</f>
        <v>2500</v>
      </c>
      <c r="N37" s="141">
        <f>Costs!N18*N$6</f>
        <v>0</v>
      </c>
      <c r="O37" s="141">
        <f>Costs!O18*O$6</f>
        <v>0</v>
      </c>
      <c r="P37" s="141">
        <f>Costs!P18*P$6</f>
        <v>0</v>
      </c>
      <c r="Q37" s="141">
        <f>Costs!Q18*Q$6</f>
        <v>0</v>
      </c>
      <c r="R37" s="141">
        <f>Costs!R18*R$6</f>
        <v>0</v>
      </c>
      <c r="S37" s="141">
        <f>Costs!S18*S$6</f>
        <v>0</v>
      </c>
      <c r="T37" s="141">
        <f>Costs!T18*T$6</f>
        <v>0</v>
      </c>
      <c r="U37" s="141">
        <f>Costs!U18*U$6</f>
        <v>0</v>
      </c>
      <c r="V37" s="141">
        <f>Costs!V18*V$6</f>
        <v>0</v>
      </c>
      <c r="W37" s="141">
        <f>Costs!W18*W$6</f>
        <v>0</v>
      </c>
      <c r="X37" s="141">
        <f>Costs!X18*X$6</f>
        <v>0</v>
      </c>
      <c r="Y37" s="141">
        <f>Costs!Y18*Y$6</f>
        <v>2500</v>
      </c>
      <c r="Z37" s="141">
        <f>Costs!Z18*Z$6</f>
        <v>0</v>
      </c>
      <c r="AA37" s="141">
        <f>Costs!AA18*AA$6</f>
        <v>0</v>
      </c>
      <c r="AB37" s="141">
        <f>Costs!AB18*AB$6</f>
        <v>0</v>
      </c>
      <c r="AC37" s="141">
        <f>Costs!AC18*AC$6</f>
        <v>0</v>
      </c>
      <c r="AD37" s="141">
        <f>Costs!AD18*AD$6</f>
        <v>0</v>
      </c>
      <c r="AE37" s="141">
        <f>Costs!AE18*AE$6</f>
        <v>0</v>
      </c>
      <c r="AF37" s="141">
        <f>Costs!AF18*AF$6</f>
        <v>0</v>
      </c>
      <c r="AG37" s="141">
        <f>Costs!AG18*AG$6</f>
        <v>0</v>
      </c>
    </row>
    <row r="38" spans="1:33" s="878" customFormat="1" ht="17.25" customHeight="1" outlineLevel="2">
      <c r="A38" s="861"/>
      <c r="B38" s="861"/>
      <c r="C38" s="1049" t="str">
        <f>Costs!C19</f>
        <v>Communication (Internet, Phone, Mobile etc.) (M&amp;S staff)</v>
      </c>
      <c r="I38" s="236">
        <f t="shared" si="6"/>
        <v>7700</v>
      </c>
      <c r="J38" s="141">
        <f>Costs!J19*J$6</f>
        <v>350</v>
      </c>
      <c r="K38" s="141">
        <f>Costs!K19*K$6</f>
        <v>350</v>
      </c>
      <c r="L38" s="141">
        <f>Costs!L19*L$6</f>
        <v>350</v>
      </c>
      <c r="M38" s="141">
        <f>Costs!M19*M$6</f>
        <v>350</v>
      </c>
      <c r="N38" s="141">
        <f>Costs!N19*N$6</f>
        <v>350</v>
      </c>
      <c r="O38" s="141">
        <f>Costs!O19*O$6</f>
        <v>350</v>
      </c>
      <c r="P38" s="141">
        <f>Costs!P19*P$6</f>
        <v>350</v>
      </c>
      <c r="Q38" s="141">
        <f>Costs!Q19*Q$6</f>
        <v>350</v>
      </c>
      <c r="R38" s="141">
        <f>Costs!R19*R$6</f>
        <v>350</v>
      </c>
      <c r="S38" s="141">
        <f>Costs!S19*S$6</f>
        <v>350</v>
      </c>
      <c r="T38" s="141">
        <f>Costs!T19*T$6</f>
        <v>350</v>
      </c>
      <c r="U38" s="141">
        <f>Costs!U19*U$6</f>
        <v>350</v>
      </c>
      <c r="V38" s="141">
        <f>Costs!V19*V$6</f>
        <v>350</v>
      </c>
      <c r="W38" s="141">
        <f>Costs!W19*W$6</f>
        <v>350</v>
      </c>
      <c r="X38" s="141">
        <f>Costs!X19*X$6</f>
        <v>350</v>
      </c>
      <c r="Y38" s="141">
        <f>Costs!Y19*Y$6</f>
        <v>350</v>
      </c>
      <c r="Z38" s="141">
        <f>Costs!Z19*Z$6</f>
        <v>350</v>
      </c>
      <c r="AA38" s="141">
        <f>Costs!AA19*AA$6</f>
        <v>350</v>
      </c>
      <c r="AB38" s="141">
        <f>Costs!AB19*AB$6</f>
        <v>350</v>
      </c>
      <c r="AC38" s="141">
        <f>Costs!AC19*AC$6</f>
        <v>350</v>
      </c>
      <c r="AD38" s="141">
        <f>Costs!AD19*AD$6</f>
        <v>350</v>
      </c>
      <c r="AE38" s="141">
        <f>Costs!AE19*AE$6</f>
        <v>350</v>
      </c>
      <c r="AF38" s="141">
        <f>Costs!AF19*AF$6</f>
        <v>0</v>
      </c>
      <c r="AG38" s="141">
        <f>Costs!AG19*AG$6</f>
        <v>0</v>
      </c>
    </row>
    <row r="39" spans="1:33" s="878" customFormat="1" ht="17.25" customHeight="1" outlineLevel="2">
      <c r="A39" s="861"/>
      <c r="B39" s="861"/>
      <c r="C39" s="1049" t="str">
        <f>Costs!C20</f>
        <v>Travel &amp; Entertainment (M&amp;S staff)</v>
      </c>
      <c r="I39" s="236">
        <f t="shared" si="6"/>
        <v>8800</v>
      </c>
      <c r="J39" s="141">
        <f>Costs!J20*J$6</f>
        <v>400</v>
      </c>
      <c r="K39" s="141">
        <f>Costs!K20*K$6</f>
        <v>400</v>
      </c>
      <c r="L39" s="141">
        <f>Costs!L20*L$6</f>
        <v>400</v>
      </c>
      <c r="M39" s="141">
        <f>Costs!M20*M$6</f>
        <v>400</v>
      </c>
      <c r="N39" s="141">
        <f>Costs!N20*N$6</f>
        <v>400</v>
      </c>
      <c r="O39" s="141">
        <f>Costs!O20*O$6</f>
        <v>400</v>
      </c>
      <c r="P39" s="141">
        <f>Costs!P20*P$6</f>
        <v>400</v>
      </c>
      <c r="Q39" s="141">
        <f>Costs!Q20*Q$6</f>
        <v>400</v>
      </c>
      <c r="R39" s="141">
        <f>Costs!R20*R$6</f>
        <v>400</v>
      </c>
      <c r="S39" s="141">
        <f>Costs!S20*S$6</f>
        <v>400</v>
      </c>
      <c r="T39" s="141">
        <f>Costs!T20*T$6</f>
        <v>400</v>
      </c>
      <c r="U39" s="141">
        <f>Costs!U20*U$6</f>
        <v>400</v>
      </c>
      <c r="V39" s="141">
        <f>Costs!V20*V$6</f>
        <v>400</v>
      </c>
      <c r="W39" s="141">
        <f>Costs!W20*W$6</f>
        <v>400</v>
      </c>
      <c r="X39" s="141">
        <f>Costs!X20*X$6</f>
        <v>400</v>
      </c>
      <c r="Y39" s="141">
        <f>Costs!Y20*Y$6</f>
        <v>400</v>
      </c>
      <c r="Z39" s="141">
        <f>Costs!Z20*Z$6</f>
        <v>400</v>
      </c>
      <c r="AA39" s="141">
        <f>Costs!AA20*AA$6</f>
        <v>400</v>
      </c>
      <c r="AB39" s="141">
        <f>Costs!AB20*AB$6</f>
        <v>400</v>
      </c>
      <c r="AC39" s="141">
        <f>Costs!AC20*AC$6</f>
        <v>400</v>
      </c>
      <c r="AD39" s="141">
        <f>Costs!AD20*AD$6</f>
        <v>400</v>
      </c>
      <c r="AE39" s="141">
        <f>Costs!AE20*AE$6</f>
        <v>400</v>
      </c>
      <c r="AF39" s="141">
        <f>Costs!AF20*AF$6</f>
        <v>0</v>
      </c>
      <c r="AG39" s="141">
        <f>Costs!AG20*AG$6</f>
        <v>0</v>
      </c>
    </row>
    <row r="40" spans="1:33" s="878" customFormat="1" ht="17.25" customHeight="1" outlineLevel="2">
      <c r="A40" s="861"/>
      <c r="B40" s="861"/>
      <c r="C40" s="1049" t="str">
        <f>Costs!C21</f>
        <v>Vehicle's costs (M&amp;S staff)</v>
      </c>
      <c r="I40" s="236">
        <f t="shared" si="6"/>
        <v>0</v>
      </c>
      <c r="J40" s="141">
        <f>Costs!J21*J$6</f>
        <v>0</v>
      </c>
      <c r="K40" s="141">
        <f>Costs!K21*K$6</f>
        <v>0</v>
      </c>
      <c r="L40" s="141">
        <f>Costs!L21*L$6</f>
        <v>0</v>
      </c>
      <c r="M40" s="141">
        <f>Costs!M21*M$6</f>
        <v>0</v>
      </c>
      <c r="N40" s="141">
        <f>Costs!N21*N$6</f>
        <v>0</v>
      </c>
      <c r="O40" s="141">
        <f>Costs!O21*O$6</f>
        <v>0</v>
      </c>
      <c r="P40" s="141">
        <f>Costs!P21*P$6</f>
        <v>0</v>
      </c>
      <c r="Q40" s="141">
        <f>Costs!Q21*Q$6</f>
        <v>0</v>
      </c>
      <c r="R40" s="141">
        <f>Costs!R21*R$6</f>
        <v>0</v>
      </c>
      <c r="S40" s="141">
        <f>Costs!S21*S$6</f>
        <v>0</v>
      </c>
      <c r="T40" s="141">
        <f>Costs!T21*T$6</f>
        <v>0</v>
      </c>
      <c r="U40" s="141">
        <f>Costs!U21*U$6</f>
        <v>0</v>
      </c>
      <c r="V40" s="141">
        <f>Costs!V21*V$6</f>
        <v>0</v>
      </c>
      <c r="W40" s="141">
        <f>Costs!W21*W$6</f>
        <v>0</v>
      </c>
      <c r="X40" s="141">
        <f>Costs!X21*X$6</f>
        <v>0</v>
      </c>
      <c r="Y40" s="141">
        <f>Costs!Y21*Y$6</f>
        <v>0</v>
      </c>
      <c r="Z40" s="141">
        <f>Costs!Z21*Z$6</f>
        <v>0</v>
      </c>
      <c r="AA40" s="141">
        <f>Costs!AA21*AA$6</f>
        <v>0</v>
      </c>
      <c r="AB40" s="141">
        <f>Costs!AB21*AB$6</f>
        <v>0</v>
      </c>
      <c r="AC40" s="141">
        <f>Costs!AC21*AC$6</f>
        <v>0</v>
      </c>
      <c r="AD40" s="141">
        <f>Costs!AD21*AD$6</f>
        <v>0</v>
      </c>
      <c r="AE40" s="141">
        <f>Costs!AE21*AE$6</f>
        <v>0</v>
      </c>
      <c r="AF40" s="141">
        <f>Costs!AF21*AF$6</f>
        <v>0</v>
      </c>
      <c r="AG40" s="141">
        <f>Costs!AG21*AG$6</f>
        <v>0</v>
      </c>
    </row>
    <row r="41" spans="1:33" s="878" customFormat="1" ht="17.25" customHeight="1" outlineLevel="2">
      <c r="A41" s="861"/>
      <c r="B41" s="861"/>
      <c r="C41" s="1049" t="str">
        <f>Costs!C22</f>
        <v>Miscellaneous 01</v>
      </c>
      <c r="I41" s="236">
        <f t="shared" si="6"/>
        <v>0</v>
      </c>
      <c r="J41" s="141">
        <f>Costs!J22*J$6</f>
        <v>0</v>
      </c>
      <c r="K41" s="141">
        <f>Costs!K22*K$6</f>
        <v>0</v>
      </c>
      <c r="L41" s="141">
        <f>Costs!L22*L$6</f>
        <v>0</v>
      </c>
      <c r="M41" s="141">
        <f>Costs!M22*M$6</f>
        <v>0</v>
      </c>
      <c r="N41" s="141">
        <f>Costs!N22*N$6</f>
        <v>0</v>
      </c>
      <c r="O41" s="141">
        <f>Costs!O22*O$6</f>
        <v>0</v>
      </c>
      <c r="P41" s="141">
        <f>Costs!P22*P$6</f>
        <v>0</v>
      </c>
      <c r="Q41" s="141">
        <f>Costs!Q22*Q$6</f>
        <v>0</v>
      </c>
      <c r="R41" s="141">
        <f>Costs!R22*R$6</f>
        <v>0</v>
      </c>
      <c r="S41" s="141">
        <f>Costs!S22*S$6</f>
        <v>0</v>
      </c>
      <c r="T41" s="141">
        <f>Costs!T22*T$6</f>
        <v>0</v>
      </c>
      <c r="U41" s="141">
        <f>Costs!U22*U$6</f>
        <v>0</v>
      </c>
      <c r="V41" s="141">
        <f>Costs!V22*V$6</f>
        <v>0</v>
      </c>
      <c r="W41" s="141">
        <f>Costs!W22*W$6</f>
        <v>0</v>
      </c>
      <c r="X41" s="141">
        <f>Costs!X22*X$6</f>
        <v>0</v>
      </c>
      <c r="Y41" s="141">
        <f>Costs!Y22*Y$6</f>
        <v>0</v>
      </c>
      <c r="Z41" s="141">
        <f>Costs!Z22*Z$6</f>
        <v>0</v>
      </c>
      <c r="AA41" s="141">
        <f>Costs!AA22*AA$6</f>
        <v>0</v>
      </c>
      <c r="AB41" s="141">
        <f>Costs!AB22*AB$6</f>
        <v>0</v>
      </c>
      <c r="AC41" s="141">
        <f>Costs!AC22*AC$6</f>
        <v>0</v>
      </c>
      <c r="AD41" s="141">
        <f>Costs!AD22*AD$6</f>
        <v>0</v>
      </c>
      <c r="AE41" s="141">
        <f>Costs!AE22*AE$6</f>
        <v>0</v>
      </c>
      <c r="AF41" s="141">
        <f>Costs!AF22*AF$6</f>
        <v>0</v>
      </c>
      <c r="AG41" s="141">
        <f>Costs!AG22*AG$6</f>
        <v>0</v>
      </c>
    </row>
    <row r="42" spans="1:33" s="878" customFormat="1" ht="17.25" customHeight="1" outlineLevel="2">
      <c r="A42" s="861"/>
      <c r="B42" s="861"/>
      <c r="C42" s="1049" t="str">
        <f>Costs!C23</f>
        <v>Miscellaneous 02</v>
      </c>
      <c r="I42" s="236">
        <f t="shared" si="6"/>
        <v>0</v>
      </c>
      <c r="J42" s="141">
        <f>Costs!J23*J$6</f>
        <v>0</v>
      </c>
      <c r="K42" s="141">
        <f>Costs!K23*K$6</f>
        <v>0</v>
      </c>
      <c r="L42" s="141">
        <f>Costs!L23*L$6</f>
        <v>0</v>
      </c>
      <c r="M42" s="141">
        <f>Costs!M23*M$6</f>
        <v>0</v>
      </c>
      <c r="N42" s="141">
        <f>Costs!N23*N$6</f>
        <v>0</v>
      </c>
      <c r="O42" s="141">
        <f>Costs!O23*O$6</f>
        <v>0</v>
      </c>
      <c r="P42" s="141">
        <f>Costs!P23*P$6</f>
        <v>0</v>
      </c>
      <c r="Q42" s="141">
        <f>Costs!Q23*Q$6</f>
        <v>0</v>
      </c>
      <c r="R42" s="141">
        <f>Costs!R23*R$6</f>
        <v>0</v>
      </c>
      <c r="S42" s="141">
        <f>Costs!S23*S$6</f>
        <v>0</v>
      </c>
      <c r="T42" s="141">
        <f>Costs!T23*T$6</f>
        <v>0</v>
      </c>
      <c r="U42" s="141">
        <f>Costs!U23*U$6</f>
        <v>0</v>
      </c>
      <c r="V42" s="141">
        <f>Costs!V23*V$6</f>
        <v>0</v>
      </c>
      <c r="W42" s="141">
        <f>Costs!W23*W$6</f>
        <v>0</v>
      </c>
      <c r="X42" s="141">
        <f>Costs!X23*X$6</f>
        <v>0</v>
      </c>
      <c r="Y42" s="141">
        <f>Costs!Y23*Y$6</f>
        <v>0</v>
      </c>
      <c r="Z42" s="141">
        <f>Costs!Z23*Z$6</f>
        <v>0</v>
      </c>
      <c r="AA42" s="141">
        <f>Costs!AA23*AA$6</f>
        <v>0</v>
      </c>
      <c r="AB42" s="141">
        <f>Costs!AB23*AB$6</f>
        <v>0</v>
      </c>
      <c r="AC42" s="141">
        <f>Costs!AC23*AC$6</f>
        <v>0</v>
      </c>
      <c r="AD42" s="141">
        <f>Costs!AD23*AD$6</f>
        <v>0</v>
      </c>
      <c r="AE42" s="141">
        <f>Costs!AE23*AE$6</f>
        <v>0</v>
      </c>
      <c r="AF42" s="141">
        <f>Costs!AF23*AF$6</f>
        <v>0</v>
      </c>
      <c r="AG42" s="141">
        <f>Costs!AG23*AG$6</f>
        <v>0</v>
      </c>
    </row>
    <row r="43" spans="1:33" s="878" customFormat="1" ht="17.25" customHeight="1" outlineLevel="2">
      <c r="A43" s="861"/>
      <c r="B43" s="861"/>
      <c r="C43" s="1049" t="str">
        <f>Costs!C24</f>
        <v>Miscellaneous 03</v>
      </c>
      <c r="I43" s="236">
        <f t="shared" si="6"/>
        <v>0</v>
      </c>
      <c r="J43" s="141">
        <f>Costs!J24*J$6</f>
        <v>0</v>
      </c>
      <c r="K43" s="141">
        <f>Costs!K24*K$6</f>
        <v>0</v>
      </c>
      <c r="L43" s="141">
        <f>Costs!L24*L$6</f>
        <v>0</v>
      </c>
      <c r="M43" s="141">
        <f>Costs!M24*M$6</f>
        <v>0</v>
      </c>
      <c r="N43" s="141">
        <f>Costs!N24*N$6</f>
        <v>0</v>
      </c>
      <c r="O43" s="141">
        <f>Costs!O24*O$6</f>
        <v>0</v>
      </c>
      <c r="P43" s="141">
        <f>Costs!P24*P$6</f>
        <v>0</v>
      </c>
      <c r="Q43" s="141">
        <f>Costs!Q24*Q$6</f>
        <v>0</v>
      </c>
      <c r="R43" s="141">
        <f>Costs!R24*R$6</f>
        <v>0</v>
      </c>
      <c r="S43" s="141">
        <f>Costs!S24*S$6</f>
        <v>0</v>
      </c>
      <c r="T43" s="141">
        <f>Costs!T24*T$6</f>
        <v>0</v>
      </c>
      <c r="U43" s="141">
        <f>Costs!U24*U$6</f>
        <v>0</v>
      </c>
      <c r="V43" s="141">
        <f>Costs!V24*V$6</f>
        <v>0</v>
      </c>
      <c r="W43" s="141">
        <f>Costs!W24*W$6</f>
        <v>0</v>
      </c>
      <c r="X43" s="141">
        <f>Costs!X24*X$6</f>
        <v>0</v>
      </c>
      <c r="Y43" s="141">
        <f>Costs!Y24*Y$6</f>
        <v>0</v>
      </c>
      <c r="Z43" s="141">
        <f>Costs!Z24*Z$6</f>
        <v>0</v>
      </c>
      <c r="AA43" s="141">
        <f>Costs!AA24*AA$6</f>
        <v>0</v>
      </c>
      <c r="AB43" s="141">
        <f>Costs!AB24*AB$6</f>
        <v>0</v>
      </c>
      <c r="AC43" s="141">
        <f>Costs!AC24*AC$6</f>
        <v>0</v>
      </c>
      <c r="AD43" s="141">
        <f>Costs!AD24*AD$6</f>
        <v>0</v>
      </c>
      <c r="AE43" s="141">
        <f>Costs!AE24*AE$6</f>
        <v>0</v>
      </c>
      <c r="AF43" s="141">
        <f>Costs!AF24*AF$6</f>
        <v>0</v>
      </c>
      <c r="AG43" s="141">
        <f>Costs!AG24*AG$6</f>
        <v>0</v>
      </c>
    </row>
    <row r="44" spans="1:33" s="878" customFormat="1" ht="17.25" customHeight="1" outlineLevel="1">
      <c r="A44" s="861"/>
      <c r="B44" s="861"/>
      <c r="C44" s="800" t="s">
        <v>955</v>
      </c>
      <c r="F44" s="736" t="s">
        <v>204</v>
      </c>
      <c r="G44" s="70">
        <f>Costs!I73</f>
        <v>245534.37896263812</v>
      </c>
      <c r="H44" s="1040" t="s">
        <v>1018</v>
      </c>
      <c r="I44" s="236">
        <f t="shared" si="6"/>
        <v>245534.37896263812</v>
      </c>
      <c r="J44" s="141">
        <f t="shared" ref="J44:AG44" si="8">SUM(J45:J59)</f>
        <v>5625</v>
      </c>
      <c r="K44" s="141">
        <f t="shared" si="8"/>
        <v>5340</v>
      </c>
      <c r="L44" s="141">
        <f t="shared" si="8"/>
        <v>5355.15</v>
      </c>
      <c r="M44" s="141">
        <f t="shared" si="8"/>
        <v>5370.4515000000001</v>
      </c>
      <c r="N44" s="141">
        <f t="shared" si="8"/>
        <v>5385.9060150000005</v>
      </c>
      <c r="O44" s="141">
        <f t="shared" si="8"/>
        <v>5401.5150751500005</v>
      </c>
      <c r="P44" s="141">
        <f t="shared" si="8"/>
        <v>5417.2802259015007</v>
      </c>
      <c r="Q44" s="141">
        <f t="shared" si="8"/>
        <v>13158.203028160513</v>
      </c>
      <c r="R44" s="141">
        <f t="shared" si="8"/>
        <v>12574.285058442118</v>
      </c>
      <c r="S44" s="141">
        <f t="shared" si="8"/>
        <v>12590.527909026539</v>
      </c>
      <c r="T44" s="141">
        <f t="shared" si="8"/>
        <v>12606.933188116805</v>
      </c>
      <c r="U44" s="141">
        <f t="shared" si="8"/>
        <v>12728.502519997977</v>
      </c>
      <c r="V44" s="141">
        <f t="shared" si="8"/>
        <v>12745.237545197957</v>
      </c>
      <c r="W44" s="141">
        <f t="shared" si="8"/>
        <v>12762.139920649937</v>
      </c>
      <c r="X44" s="141">
        <f t="shared" si="8"/>
        <v>12779.211319856437</v>
      </c>
      <c r="Y44" s="141">
        <f t="shared" si="8"/>
        <v>12796.453433055</v>
      </c>
      <c r="Z44" s="141">
        <f t="shared" si="8"/>
        <v>12813.867967385549</v>
      </c>
      <c r="AA44" s="141">
        <f t="shared" si="8"/>
        <v>12831.456647059405</v>
      </c>
      <c r="AB44" s="141">
        <f t="shared" si="8"/>
        <v>17010.971213529996</v>
      </c>
      <c r="AC44" s="141">
        <f t="shared" si="8"/>
        <v>16728.913425665298</v>
      </c>
      <c r="AD44" s="141">
        <f t="shared" si="8"/>
        <v>16747.035059921949</v>
      </c>
      <c r="AE44" s="141">
        <f t="shared" si="8"/>
        <v>16765.337910521172</v>
      </c>
      <c r="AF44" s="141">
        <f t="shared" si="8"/>
        <v>0</v>
      </c>
      <c r="AG44" s="141">
        <f t="shared" si="8"/>
        <v>0</v>
      </c>
    </row>
    <row r="45" spans="1:33" s="878" customFormat="1" ht="17.25" customHeight="1" outlineLevel="2">
      <c r="A45" s="861"/>
      <c r="B45" s="861"/>
      <c r="C45" s="1049" t="s">
        <v>221</v>
      </c>
      <c r="I45" s="236">
        <f t="shared" si="6"/>
        <v>158116.66666666669</v>
      </c>
      <c r="J45" s="141">
        <f>'Human Resources'!J67</f>
        <v>2916.6666666666665</v>
      </c>
      <c r="K45" s="141">
        <f>'Human Resources'!K67</f>
        <v>2916.6666666666665</v>
      </c>
      <c r="L45" s="141">
        <f>'Human Resources'!L67</f>
        <v>2916.6666666666665</v>
      </c>
      <c r="M45" s="141">
        <f>'Human Resources'!M67</f>
        <v>2916.6666666666665</v>
      </c>
      <c r="N45" s="141">
        <f>'Human Resources'!N67</f>
        <v>2916.6666666666665</v>
      </c>
      <c r="O45" s="141">
        <f>'Human Resources'!O67</f>
        <v>2916.6666666666665</v>
      </c>
      <c r="P45" s="141">
        <f>'Human Resources'!P67</f>
        <v>2916.6666666666665</v>
      </c>
      <c r="Q45" s="141">
        <f>'Human Resources'!Q67</f>
        <v>8333.3333333333321</v>
      </c>
      <c r="R45" s="141">
        <f>'Human Resources'!R67</f>
        <v>8333.3333333333321</v>
      </c>
      <c r="S45" s="141">
        <f>'Human Resources'!S67</f>
        <v>8333.3333333333321</v>
      </c>
      <c r="T45" s="141">
        <f>'Human Resources'!T67</f>
        <v>8333.3333333333321</v>
      </c>
      <c r="U45" s="141">
        <f>'Human Resources'!U67</f>
        <v>8416.6666666666679</v>
      </c>
      <c r="V45" s="141">
        <f>'Human Resources'!V67</f>
        <v>8416.6666666666679</v>
      </c>
      <c r="W45" s="141">
        <f>'Human Resources'!W67</f>
        <v>8416.6666666666679</v>
      </c>
      <c r="X45" s="141">
        <f>'Human Resources'!X67</f>
        <v>8416.6666666666679</v>
      </c>
      <c r="Y45" s="141">
        <f>'Human Resources'!Y67</f>
        <v>8416.6666666666679</v>
      </c>
      <c r="Z45" s="141">
        <f>'Human Resources'!Z67</f>
        <v>8416.6666666666679</v>
      </c>
      <c r="AA45" s="141">
        <f>'Human Resources'!AA67</f>
        <v>8416.6666666666679</v>
      </c>
      <c r="AB45" s="141">
        <f>'Human Resources'!AB67</f>
        <v>11362.5</v>
      </c>
      <c r="AC45" s="141">
        <f>'Human Resources'!AC67</f>
        <v>11362.5</v>
      </c>
      <c r="AD45" s="141">
        <f>'Human Resources'!AD67</f>
        <v>11362.5</v>
      </c>
      <c r="AE45" s="141">
        <f>'Human Resources'!AE67</f>
        <v>11362.5</v>
      </c>
      <c r="AF45" s="141">
        <f>'Human Resources'!AF67</f>
        <v>0</v>
      </c>
      <c r="AG45" s="141">
        <f>'Human Resources'!AG67</f>
        <v>0</v>
      </c>
    </row>
    <row r="46" spans="1:33" s="878" customFormat="1" ht="17.25" customHeight="1" outlineLevel="2">
      <c r="A46" s="861"/>
      <c r="B46" s="861"/>
      <c r="C46" s="1049" t="s">
        <v>229</v>
      </c>
      <c r="I46" s="236">
        <f t="shared" si="6"/>
        <v>31623.333333333332</v>
      </c>
      <c r="J46" s="141">
        <f>'Human Resources'!J103</f>
        <v>583.33333333333337</v>
      </c>
      <c r="K46" s="141">
        <f>'Human Resources'!K103</f>
        <v>583.33333333333337</v>
      </c>
      <c r="L46" s="141">
        <f>'Human Resources'!L103</f>
        <v>583.33333333333337</v>
      </c>
      <c r="M46" s="141">
        <f>'Human Resources'!M103</f>
        <v>583.33333333333337</v>
      </c>
      <c r="N46" s="141">
        <f>'Human Resources'!N103</f>
        <v>583.33333333333337</v>
      </c>
      <c r="O46" s="141">
        <f>'Human Resources'!O103</f>
        <v>583.33333333333337</v>
      </c>
      <c r="P46" s="141">
        <f>'Human Resources'!P103</f>
        <v>583.33333333333337</v>
      </c>
      <c r="Q46" s="141">
        <f>'Human Resources'!Q103</f>
        <v>1666.6666666666667</v>
      </c>
      <c r="R46" s="141">
        <f>'Human Resources'!R103</f>
        <v>1666.6666666666667</v>
      </c>
      <c r="S46" s="141">
        <f>'Human Resources'!S103</f>
        <v>1666.6666666666667</v>
      </c>
      <c r="T46" s="141">
        <f>'Human Resources'!T103</f>
        <v>1666.6666666666667</v>
      </c>
      <c r="U46" s="141">
        <f>'Human Resources'!U103</f>
        <v>1683.3333333333335</v>
      </c>
      <c r="V46" s="141">
        <f>'Human Resources'!V103</f>
        <v>1683.3333333333335</v>
      </c>
      <c r="W46" s="141">
        <f>'Human Resources'!W103</f>
        <v>1683.3333333333335</v>
      </c>
      <c r="X46" s="141">
        <f>'Human Resources'!X103</f>
        <v>1683.3333333333335</v>
      </c>
      <c r="Y46" s="141">
        <f>'Human Resources'!Y103</f>
        <v>1683.3333333333335</v>
      </c>
      <c r="Z46" s="141">
        <f>'Human Resources'!Z103</f>
        <v>1683.3333333333335</v>
      </c>
      <c r="AA46" s="141">
        <f>'Human Resources'!AA103</f>
        <v>1683.3333333333335</v>
      </c>
      <c r="AB46" s="141">
        <f>'Human Resources'!AB103</f>
        <v>2272.5</v>
      </c>
      <c r="AC46" s="141">
        <f>'Human Resources'!AC103</f>
        <v>2272.5</v>
      </c>
      <c r="AD46" s="141">
        <f>'Human Resources'!AD103</f>
        <v>2272.5</v>
      </c>
      <c r="AE46" s="141">
        <f>'Human Resources'!AE103</f>
        <v>2272.5</v>
      </c>
      <c r="AF46" s="141">
        <f>'Human Resources'!AF103</f>
        <v>0</v>
      </c>
      <c r="AG46" s="141">
        <f>'Human Resources'!AG103</f>
        <v>0</v>
      </c>
    </row>
    <row r="47" spans="1:33" s="878" customFormat="1" ht="17.25" customHeight="1" outlineLevel="2">
      <c r="A47" s="861"/>
      <c r="B47" s="861"/>
      <c r="C47" s="1049" t="s">
        <v>226</v>
      </c>
      <c r="I47" s="236">
        <f t="shared" si="6"/>
        <v>19087</v>
      </c>
      <c r="J47" s="141">
        <f>'Human Resources'!J144</f>
        <v>625</v>
      </c>
      <c r="K47" s="141">
        <f>'Human Resources'!K144</f>
        <v>325</v>
      </c>
      <c r="L47" s="141">
        <f>'Human Resources'!L144</f>
        <v>325</v>
      </c>
      <c r="M47" s="141">
        <f>'Human Resources'!M144</f>
        <v>325</v>
      </c>
      <c r="N47" s="141">
        <f>'Human Resources'!N144</f>
        <v>325</v>
      </c>
      <c r="O47" s="141">
        <f>'Human Resources'!O144</f>
        <v>325</v>
      </c>
      <c r="P47" s="141">
        <f>'Human Resources'!P144</f>
        <v>325</v>
      </c>
      <c r="Q47" s="141">
        <f>'Human Resources'!Q144</f>
        <v>1550</v>
      </c>
      <c r="R47" s="141">
        <f>'Human Resources'!R144</f>
        <v>950</v>
      </c>
      <c r="S47" s="141">
        <f>'Human Resources'!S144</f>
        <v>950</v>
      </c>
      <c r="T47" s="141">
        <f>'Human Resources'!T144</f>
        <v>950</v>
      </c>
      <c r="U47" s="141">
        <f>'Human Resources'!U144</f>
        <v>955</v>
      </c>
      <c r="V47" s="141">
        <f>'Human Resources'!V144</f>
        <v>955</v>
      </c>
      <c r="W47" s="141">
        <f>'Human Resources'!W144</f>
        <v>955</v>
      </c>
      <c r="X47" s="141">
        <f>'Human Resources'!X144</f>
        <v>955</v>
      </c>
      <c r="Y47" s="141">
        <f>'Human Resources'!Y144</f>
        <v>955</v>
      </c>
      <c r="Z47" s="141">
        <f>'Human Resources'!Z144</f>
        <v>955</v>
      </c>
      <c r="AA47" s="141">
        <f>'Human Resources'!AA144</f>
        <v>955</v>
      </c>
      <c r="AB47" s="141">
        <f>'Human Resources'!AB144</f>
        <v>1581.75</v>
      </c>
      <c r="AC47" s="141">
        <f>'Human Resources'!AC144</f>
        <v>1281.75</v>
      </c>
      <c r="AD47" s="141">
        <f>'Human Resources'!AD144</f>
        <v>1281.75</v>
      </c>
      <c r="AE47" s="141">
        <f>'Human Resources'!AE144</f>
        <v>1281.75</v>
      </c>
      <c r="AF47" s="141">
        <f>'Human Resources'!AF144</f>
        <v>0</v>
      </c>
      <c r="AG47" s="141">
        <f>'Human Resources'!AG144</f>
        <v>0</v>
      </c>
    </row>
    <row r="48" spans="1:33" s="878" customFormat="1" ht="17.25" customHeight="1" outlineLevel="2">
      <c r="A48" s="861"/>
      <c r="B48" s="861"/>
      <c r="C48" s="1049" t="str">
        <f>Costs!C61</f>
        <v>Consultancy</v>
      </c>
      <c r="I48" s="236">
        <f t="shared" si="6"/>
        <v>36707.37896263814</v>
      </c>
      <c r="J48" s="141">
        <f>Costs!J61*J$6</f>
        <v>1500</v>
      </c>
      <c r="K48" s="141">
        <f>Costs!K61*K$6</f>
        <v>1515</v>
      </c>
      <c r="L48" s="141">
        <f>Costs!L61*L$6</f>
        <v>1530.15</v>
      </c>
      <c r="M48" s="141">
        <f>Costs!M61*M$6</f>
        <v>1545.4515000000001</v>
      </c>
      <c r="N48" s="141">
        <f>Costs!N61*N$6</f>
        <v>1560.9060150000003</v>
      </c>
      <c r="O48" s="141">
        <f>Costs!O61*O$6</f>
        <v>1576.5150751500003</v>
      </c>
      <c r="P48" s="141">
        <f>Costs!P61*P$6</f>
        <v>1592.2802259015002</v>
      </c>
      <c r="Q48" s="141">
        <f>Costs!Q61*Q$6</f>
        <v>1608.2030281605153</v>
      </c>
      <c r="R48" s="141">
        <f>Costs!R61*R$6</f>
        <v>1624.2850584421203</v>
      </c>
      <c r="S48" s="141">
        <f>Costs!S61*S$6</f>
        <v>1640.5279090265415</v>
      </c>
      <c r="T48" s="141">
        <f>Costs!T61*T$6</f>
        <v>1656.9331881168068</v>
      </c>
      <c r="U48" s="141">
        <f>Costs!U61*U$6</f>
        <v>1673.502519997975</v>
      </c>
      <c r="V48" s="141">
        <f>Costs!V61*V$6</f>
        <v>1690.2375451979549</v>
      </c>
      <c r="W48" s="141">
        <f>Costs!W61*W$6</f>
        <v>1707.1399206499345</v>
      </c>
      <c r="X48" s="141">
        <f>Costs!X61*X$6</f>
        <v>1724.2113198564339</v>
      </c>
      <c r="Y48" s="141">
        <f>Costs!Y61*Y$6</f>
        <v>1741.4534330549982</v>
      </c>
      <c r="Z48" s="141">
        <f>Costs!Z61*Z$6</f>
        <v>1758.8679673855481</v>
      </c>
      <c r="AA48" s="141">
        <f>Costs!AA61*AA$6</f>
        <v>1776.4566470594036</v>
      </c>
      <c r="AB48" s="141">
        <f>Costs!AB61*AB$6</f>
        <v>1794.2212135299976</v>
      </c>
      <c r="AC48" s="141">
        <f>Costs!AC61*AC$6</f>
        <v>1812.1634256652976</v>
      </c>
      <c r="AD48" s="141">
        <f>Costs!AD61*AD$6</f>
        <v>1830.2850599219505</v>
      </c>
      <c r="AE48" s="141">
        <f>Costs!AE61*AE$6</f>
        <v>1848.58791052117</v>
      </c>
      <c r="AF48" s="141">
        <f>Costs!AF61*AF$6</f>
        <v>0</v>
      </c>
      <c r="AG48" s="141">
        <f>Costs!AG61*AG$6</f>
        <v>0</v>
      </c>
    </row>
    <row r="49" spans="1:33" s="878" customFormat="1" ht="17.25" customHeight="1" outlineLevel="2">
      <c r="A49" s="861"/>
      <c r="B49" s="861"/>
      <c r="C49" s="1049" t="str">
        <f>Costs!C62</f>
        <v>Design, construction &amp; testing of prototypes</v>
      </c>
      <c r="I49" s="236">
        <f t="shared" si="6"/>
        <v>0</v>
      </c>
      <c r="J49" s="141">
        <f>Costs!J62*J$6</f>
        <v>0</v>
      </c>
      <c r="K49" s="141">
        <f>Costs!K62*K$6</f>
        <v>0</v>
      </c>
      <c r="L49" s="141">
        <f>Costs!L62*L$6</f>
        <v>0</v>
      </c>
      <c r="M49" s="141">
        <f>Costs!M62*M$6</f>
        <v>0</v>
      </c>
      <c r="N49" s="141">
        <f>Costs!N62*N$6</f>
        <v>0</v>
      </c>
      <c r="O49" s="141">
        <f>Costs!O62*O$6</f>
        <v>0</v>
      </c>
      <c r="P49" s="141">
        <f>Costs!P62*P$6</f>
        <v>0</v>
      </c>
      <c r="Q49" s="141">
        <f>Costs!Q62*Q$6</f>
        <v>0</v>
      </c>
      <c r="R49" s="141">
        <f>Costs!R62*R$6</f>
        <v>0</v>
      </c>
      <c r="S49" s="141">
        <f>Costs!S62*S$6</f>
        <v>0</v>
      </c>
      <c r="T49" s="141">
        <f>Costs!T62*T$6</f>
        <v>0</v>
      </c>
      <c r="U49" s="141">
        <f>Costs!U62*U$6</f>
        <v>0</v>
      </c>
      <c r="V49" s="141">
        <f>Costs!V62*V$6</f>
        <v>0</v>
      </c>
      <c r="W49" s="141">
        <f>Costs!W62*W$6</f>
        <v>0</v>
      </c>
      <c r="X49" s="141">
        <f>Costs!X62*X$6</f>
        <v>0</v>
      </c>
      <c r="Y49" s="141">
        <f>Costs!Y62*Y$6</f>
        <v>0</v>
      </c>
      <c r="Z49" s="141">
        <f>Costs!Z62*Z$6</f>
        <v>0</v>
      </c>
      <c r="AA49" s="141">
        <f>Costs!AA62*AA$6</f>
        <v>0</v>
      </c>
      <c r="AB49" s="141">
        <f>Costs!AB62*AB$6</f>
        <v>0</v>
      </c>
      <c r="AC49" s="141">
        <f>Costs!AC62*AC$6</f>
        <v>0</v>
      </c>
      <c r="AD49" s="141">
        <f>Costs!AD62*AD$6</f>
        <v>0</v>
      </c>
      <c r="AE49" s="141">
        <f>Costs!AE62*AE$6</f>
        <v>0</v>
      </c>
      <c r="AF49" s="141">
        <f>Costs!AF62*AF$6</f>
        <v>0</v>
      </c>
      <c r="AG49" s="141">
        <f>Costs!AG62*AG$6</f>
        <v>0</v>
      </c>
    </row>
    <row r="50" spans="1:33" s="878" customFormat="1" ht="17.25" customHeight="1" outlineLevel="2">
      <c r="A50" s="861"/>
      <c r="B50" s="861"/>
      <c r="C50" s="1049" t="str">
        <f>Costs!C63</f>
        <v>Materials</v>
      </c>
      <c r="I50" s="236">
        <f t="shared" si="6"/>
        <v>0</v>
      </c>
      <c r="J50" s="141">
        <f>Costs!J63*J$6</f>
        <v>0</v>
      </c>
      <c r="K50" s="141">
        <f>Costs!K63*K$6</f>
        <v>0</v>
      </c>
      <c r="L50" s="141">
        <f>Costs!L63*L$6</f>
        <v>0</v>
      </c>
      <c r="M50" s="141">
        <f>Costs!M63*M$6</f>
        <v>0</v>
      </c>
      <c r="N50" s="141">
        <f>Costs!N63*N$6</f>
        <v>0</v>
      </c>
      <c r="O50" s="141">
        <f>Costs!O63*O$6</f>
        <v>0</v>
      </c>
      <c r="P50" s="141">
        <f>Costs!P63*P$6</f>
        <v>0</v>
      </c>
      <c r="Q50" s="141">
        <f>Costs!Q63*Q$6</f>
        <v>0</v>
      </c>
      <c r="R50" s="141">
        <f>Costs!R63*R$6</f>
        <v>0</v>
      </c>
      <c r="S50" s="141">
        <f>Costs!S63*S$6</f>
        <v>0</v>
      </c>
      <c r="T50" s="141">
        <f>Costs!T63*T$6</f>
        <v>0</v>
      </c>
      <c r="U50" s="141">
        <f>Costs!U63*U$6</f>
        <v>0</v>
      </c>
      <c r="V50" s="141">
        <f>Costs!V63*V$6</f>
        <v>0</v>
      </c>
      <c r="W50" s="141">
        <f>Costs!W63*W$6</f>
        <v>0</v>
      </c>
      <c r="X50" s="141">
        <f>Costs!X63*X$6</f>
        <v>0</v>
      </c>
      <c r="Y50" s="141">
        <f>Costs!Y63*Y$6</f>
        <v>0</v>
      </c>
      <c r="Z50" s="141">
        <f>Costs!Z63*Z$6</f>
        <v>0</v>
      </c>
      <c r="AA50" s="141">
        <f>Costs!AA63*AA$6</f>
        <v>0</v>
      </c>
      <c r="AB50" s="141">
        <f>Costs!AB63*AB$6</f>
        <v>0</v>
      </c>
      <c r="AC50" s="141">
        <f>Costs!AC63*AC$6</f>
        <v>0</v>
      </c>
      <c r="AD50" s="141">
        <f>Costs!AD63*AD$6</f>
        <v>0</v>
      </c>
      <c r="AE50" s="141">
        <f>Costs!AE63*AE$6</f>
        <v>0</v>
      </c>
      <c r="AF50" s="141">
        <f>Costs!AF63*AF$6</f>
        <v>0</v>
      </c>
      <c r="AG50" s="141">
        <f>Costs!AG63*AG$6</f>
        <v>0</v>
      </c>
    </row>
    <row r="51" spans="1:33" s="878" customFormat="1" ht="17.25" customHeight="1" outlineLevel="2">
      <c r="A51" s="861"/>
      <c r="B51" s="861"/>
      <c r="C51" s="1049" t="str">
        <f>Costs!C64</f>
        <v>Miscellaneous 01</v>
      </c>
      <c r="I51" s="236">
        <f t="shared" si="6"/>
        <v>0</v>
      </c>
      <c r="J51" s="141">
        <f>Costs!J64*J$6</f>
        <v>0</v>
      </c>
      <c r="K51" s="141">
        <f>Costs!K64*K$6</f>
        <v>0</v>
      </c>
      <c r="L51" s="141">
        <f>Costs!L64*L$6</f>
        <v>0</v>
      </c>
      <c r="M51" s="141">
        <f>Costs!M64*M$6</f>
        <v>0</v>
      </c>
      <c r="N51" s="141">
        <f>Costs!N64*N$6</f>
        <v>0</v>
      </c>
      <c r="O51" s="141">
        <f>Costs!O64*O$6</f>
        <v>0</v>
      </c>
      <c r="P51" s="141">
        <f>Costs!P64*P$6</f>
        <v>0</v>
      </c>
      <c r="Q51" s="141">
        <f>Costs!Q64*Q$6</f>
        <v>0</v>
      </c>
      <c r="R51" s="141">
        <f>Costs!R64*R$6</f>
        <v>0</v>
      </c>
      <c r="S51" s="141">
        <f>Costs!S64*S$6</f>
        <v>0</v>
      </c>
      <c r="T51" s="141">
        <f>Costs!T64*T$6</f>
        <v>0</v>
      </c>
      <c r="U51" s="141">
        <f>Costs!U64*U$6</f>
        <v>0</v>
      </c>
      <c r="V51" s="141">
        <f>Costs!V64*V$6</f>
        <v>0</v>
      </c>
      <c r="W51" s="141">
        <f>Costs!W64*W$6</f>
        <v>0</v>
      </c>
      <c r="X51" s="141">
        <f>Costs!X64*X$6</f>
        <v>0</v>
      </c>
      <c r="Y51" s="141">
        <f>Costs!Y64*Y$6</f>
        <v>0</v>
      </c>
      <c r="Z51" s="141">
        <f>Costs!Z64*Z$6</f>
        <v>0</v>
      </c>
      <c r="AA51" s="141">
        <f>Costs!AA64*AA$6</f>
        <v>0</v>
      </c>
      <c r="AB51" s="141">
        <f>Costs!AB64*AB$6</f>
        <v>0</v>
      </c>
      <c r="AC51" s="141">
        <f>Costs!AC64*AC$6</f>
        <v>0</v>
      </c>
      <c r="AD51" s="141">
        <f>Costs!AD64*AD$6</f>
        <v>0</v>
      </c>
      <c r="AE51" s="141">
        <f>Costs!AE64*AE$6</f>
        <v>0</v>
      </c>
      <c r="AF51" s="141">
        <f>Costs!AF64*AF$6</f>
        <v>0</v>
      </c>
      <c r="AG51" s="141">
        <f>Costs!AG64*AG$6</f>
        <v>0</v>
      </c>
    </row>
    <row r="52" spans="1:33" s="878" customFormat="1" ht="17.25" customHeight="1" outlineLevel="2">
      <c r="A52" s="861"/>
      <c r="B52" s="861"/>
      <c r="C52" s="1049" t="str">
        <f>Costs!C65</f>
        <v>Miscellaneous 02</v>
      </c>
      <c r="I52" s="236">
        <f t="shared" si="6"/>
        <v>0</v>
      </c>
      <c r="J52" s="141">
        <f>Costs!J65*J$6</f>
        <v>0</v>
      </c>
      <c r="K52" s="141">
        <f>Costs!K65*K$6</f>
        <v>0</v>
      </c>
      <c r="L52" s="141">
        <f>Costs!L65*L$6</f>
        <v>0</v>
      </c>
      <c r="M52" s="141">
        <f>Costs!M65*M$6</f>
        <v>0</v>
      </c>
      <c r="N52" s="141">
        <f>Costs!N65*N$6</f>
        <v>0</v>
      </c>
      <c r="O52" s="141">
        <f>Costs!O65*O$6</f>
        <v>0</v>
      </c>
      <c r="P52" s="141">
        <f>Costs!P65*P$6</f>
        <v>0</v>
      </c>
      <c r="Q52" s="141">
        <f>Costs!Q65*Q$6</f>
        <v>0</v>
      </c>
      <c r="R52" s="141">
        <f>Costs!R65*R$6</f>
        <v>0</v>
      </c>
      <c r="S52" s="141">
        <f>Costs!S65*S$6</f>
        <v>0</v>
      </c>
      <c r="T52" s="141">
        <f>Costs!T65*T$6</f>
        <v>0</v>
      </c>
      <c r="U52" s="141">
        <f>Costs!U65*U$6</f>
        <v>0</v>
      </c>
      <c r="V52" s="141">
        <f>Costs!V65*V$6</f>
        <v>0</v>
      </c>
      <c r="W52" s="141">
        <f>Costs!W65*W$6</f>
        <v>0</v>
      </c>
      <c r="X52" s="141">
        <f>Costs!X65*X$6</f>
        <v>0</v>
      </c>
      <c r="Y52" s="141">
        <f>Costs!Y65*Y$6</f>
        <v>0</v>
      </c>
      <c r="Z52" s="141">
        <f>Costs!Z65*Z$6</f>
        <v>0</v>
      </c>
      <c r="AA52" s="141">
        <f>Costs!AA65*AA$6</f>
        <v>0</v>
      </c>
      <c r="AB52" s="141">
        <f>Costs!AB65*AB$6</f>
        <v>0</v>
      </c>
      <c r="AC52" s="141">
        <f>Costs!AC65*AC$6</f>
        <v>0</v>
      </c>
      <c r="AD52" s="141">
        <f>Costs!AD65*AD$6</f>
        <v>0</v>
      </c>
      <c r="AE52" s="141">
        <f>Costs!AE65*AE$6</f>
        <v>0</v>
      </c>
      <c r="AF52" s="141">
        <f>Costs!AF65*AF$6</f>
        <v>0</v>
      </c>
      <c r="AG52" s="141">
        <f>Costs!AG65*AG$6</f>
        <v>0</v>
      </c>
    </row>
    <row r="53" spans="1:33" s="878" customFormat="1" ht="17.25" customHeight="1" outlineLevel="2">
      <c r="A53" s="861"/>
      <c r="B53" s="861"/>
      <c r="C53" s="1049" t="str">
        <f>Costs!C66</f>
        <v>Miscellaneous 03</v>
      </c>
      <c r="I53" s="236">
        <f t="shared" si="6"/>
        <v>0</v>
      </c>
      <c r="J53" s="141">
        <f>Costs!J66*J$6</f>
        <v>0</v>
      </c>
      <c r="K53" s="141">
        <f>Costs!K66*K$6</f>
        <v>0</v>
      </c>
      <c r="L53" s="141">
        <f>Costs!L66*L$6</f>
        <v>0</v>
      </c>
      <c r="M53" s="141">
        <f>Costs!M66*M$6</f>
        <v>0</v>
      </c>
      <c r="N53" s="141">
        <f>Costs!N66*N$6</f>
        <v>0</v>
      </c>
      <c r="O53" s="141">
        <f>Costs!O66*O$6</f>
        <v>0</v>
      </c>
      <c r="P53" s="141">
        <f>Costs!P66*P$6</f>
        <v>0</v>
      </c>
      <c r="Q53" s="141">
        <f>Costs!Q66*Q$6</f>
        <v>0</v>
      </c>
      <c r="R53" s="141">
        <f>Costs!R66*R$6</f>
        <v>0</v>
      </c>
      <c r="S53" s="141">
        <f>Costs!S66*S$6</f>
        <v>0</v>
      </c>
      <c r="T53" s="141">
        <f>Costs!T66*T$6</f>
        <v>0</v>
      </c>
      <c r="U53" s="141">
        <f>Costs!U66*U$6</f>
        <v>0</v>
      </c>
      <c r="V53" s="141">
        <f>Costs!V66*V$6</f>
        <v>0</v>
      </c>
      <c r="W53" s="141">
        <f>Costs!W66*W$6</f>
        <v>0</v>
      </c>
      <c r="X53" s="141">
        <f>Costs!X66*X$6</f>
        <v>0</v>
      </c>
      <c r="Y53" s="141">
        <f>Costs!Y66*Y$6</f>
        <v>0</v>
      </c>
      <c r="Z53" s="141">
        <f>Costs!Z66*Z$6</f>
        <v>0</v>
      </c>
      <c r="AA53" s="141">
        <f>Costs!AA66*AA$6</f>
        <v>0</v>
      </c>
      <c r="AB53" s="141">
        <f>Costs!AB66*AB$6</f>
        <v>0</v>
      </c>
      <c r="AC53" s="141">
        <f>Costs!AC66*AC$6</f>
        <v>0</v>
      </c>
      <c r="AD53" s="141">
        <f>Costs!AD66*AD$6</f>
        <v>0</v>
      </c>
      <c r="AE53" s="141">
        <f>Costs!AE66*AE$6</f>
        <v>0</v>
      </c>
      <c r="AF53" s="141">
        <f>Costs!AF66*AF$6</f>
        <v>0</v>
      </c>
      <c r="AG53" s="141">
        <f>Costs!AG66*AG$6</f>
        <v>0</v>
      </c>
    </row>
    <row r="54" spans="1:33" s="878" customFormat="1" ht="17.25" customHeight="1" outlineLevel="2">
      <c r="A54" s="861"/>
      <c r="B54" s="861"/>
      <c r="C54" s="1049" t="str">
        <f>Costs!C67</f>
        <v>Miscellaneous 04</v>
      </c>
      <c r="I54" s="236">
        <f t="shared" si="6"/>
        <v>0</v>
      </c>
      <c r="J54" s="141">
        <f>Costs!J67*J$6</f>
        <v>0</v>
      </c>
      <c r="K54" s="141">
        <f>Costs!K67*K$6</f>
        <v>0</v>
      </c>
      <c r="L54" s="141">
        <f>Costs!L67*L$6</f>
        <v>0</v>
      </c>
      <c r="M54" s="141">
        <f>Costs!M67*M$6</f>
        <v>0</v>
      </c>
      <c r="N54" s="141">
        <f>Costs!N67*N$6</f>
        <v>0</v>
      </c>
      <c r="O54" s="141">
        <f>Costs!O67*O$6</f>
        <v>0</v>
      </c>
      <c r="P54" s="141">
        <f>Costs!P67*P$6</f>
        <v>0</v>
      </c>
      <c r="Q54" s="141">
        <f>Costs!Q67*Q$6</f>
        <v>0</v>
      </c>
      <c r="R54" s="141">
        <f>Costs!R67*R$6</f>
        <v>0</v>
      </c>
      <c r="S54" s="141">
        <f>Costs!S67*S$6</f>
        <v>0</v>
      </c>
      <c r="T54" s="141">
        <f>Costs!T67*T$6</f>
        <v>0</v>
      </c>
      <c r="U54" s="141">
        <f>Costs!U67*U$6</f>
        <v>0</v>
      </c>
      <c r="V54" s="141">
        <f>Costs!V67*V$6</f>
        <v>0</v>
      </c>
      <c r="W54" s="141">
        <f>Costs!W67*W$6</f>
        <v>0</v>
      </c>
      <c r="X54" s="141">
        <f>Costs!X67*X$6</f>
        <v>0</v>
      </c>
      <c r="Y54" s="141">
        <f>Costs!Y67*Y$6</f>
        <v>0</v>
      </c>
      <c r="Z54" s="141">
        <f>Costs!Z67*Z$6</f>
        <v>0</v>
      </c>
      <c r="AA54" s="141">
        <f>Costs!AA67*AA$6</f>
        <v>0</v>
      </c>
      <c r="AB54" s="141">
        <f>Costs!AB67*AB$6</f>
        <v>0</v>
      </c>
      <c r="AC54" s="141">
        <f>Costs!AC67*AC$6</f>
        <v>0</v>
      </c>
      <c r="AD54" s="141">
        <f>Costs!AD67*AD$6</f>
        <v>0</v>
      </c>
      <c r="AE54" s="141">
        <f>Costs!AE67*AE$6</f>
        <v>0</v>
      </c>
      <c r="AF54" s="141">
        <f>Costs!AF67*AF$6</f>
        <v>0</v>
      </c>
      <c r="AG54" s="141">
        <f>Costs!AG67*AG$6</f>
        <v>0</v>
      </c>
    </row>
    <row r="55" spans="1:33" s="878" customFormat="1" ht="17.25" customHeight="1" outlineLevel="2">
      <c r="A55" s="861"/>
      <c r="B55" s="861"/>
      <c r="C55" s="1049" t="str">
        <f>Costs!C68</f>
        <v>Miscellaneous 05</v>
      </c>
      <c r="I55" s="236">
        <f t="shared" si="6"/>
        <v>0</v>
      </c>
      <c r="J55" s="141">
        <f>Costs!J68*J$6</f>
        <v>0</v>
      </c>
      <c r="K55" s="141">
        <f>Costs!K68*K$6</f>
        <v>0</v>
      </c>
      <c r="L55" s="141">
        <f>Costs!L68*L$6</f>
        <v>0</v>
      </c>
      <c r="M55" s="141">
        <f>Costs!M68*M$6</f>
        <v>0</v>
      </c>
      <c r="N55" s="141">
        <f>Costs!N68*N$6</f>
        <v>0</v>
      </c>
      <c r="O55" s="141">
        <f>Costs!O68*O$6</f>
        <v>0</v>
      </c>
      <c r="P55" s="141">
        <f>Costs!P68*P$6</f>
        <v>0</v>
      </c>
      <c r="Q55" s="141">
        <f>Costs!Q68*Q$6</f>
        <v>0</v>
      </c>
      <c r="R55" s="141">
        <f>Costs!R68*R$6</f>
        <v>0</v>
      </c>
      <c r="S55" s="141">
        <f>Costs!S68*S$6</f>
        <v>0</v>
      </c>
      <c r="T55" s="141">
        <f>Costs!T68*T$6</f>
        <v>0</v>
      </c>
      <c r="U55" s="141">
        <f>Costs!U68*U$6</f>
        <v>0</v>
      </c>
      <c r="V55" s="141">
        <f>Costs!V68*V$6</f>
        <v>0</v>
      </c>
      <c r="W55" s="141">
        <f>Costs!W68*W$6</f>
        <v>0</v>
      </c>
      <c r="X55" s="141">
        <f>Costs!X68*X$6</f>
        <v>0</v>
      </c>
      <c r="Y55" s="141">
        <f>Costs!Y68*Y$6</f>
        <v>0</v>
      </c>
      <c r="Z55" s="141">
        <f>Costs!Z68*Z$6</f>
        <v>0</v>
      </c>
      <c r="AA55" s="141">
        <f>Costs!AA68*AA$6</f>
        <v>0</v>
      </c>
      <c r="AB55" s="141">
        <f>Costs!AB68*AB$6</f>
        <v>0</v>
      </c>
      <c r="AC55" s="141">
        <f>Costs!AC68*AC$6</f>
        <v>0</v>
      </c>
      <c r="AD55" s="141">
        <f>Costs!AD68*AD$6</f>
        <v>0</v>
      </c>
      <c r="AE55" s="141">
        <f>Costs!AE68*AE$6</f>
        <v>0</v>
      </c>
      <c r="AF55" s="141">
        <f>Costs!AF68*AF$6</f>
        <v>0</v>
      </c>
      <c r="AG55" s="141">
        <f>Costs!AG68*AG$6</f>
        <v>0</v>
      </c>
    </row>
    <row r="56" spans="1:33" s="878" customFormat="1" ht="17.25" customHeight="1" outlineLevel="2">
      <c r="A56" s="861"/>
      <c r="B56" s="861"/>
      <c r="C56" s="1049" t="str">
        <f>Costs!C69</f>
        <v>Miscellaneous 06</v>
      </c>
      <c r="I56" s="236">
        <f t="shared" si="6"/>
        <v>0</v>
      </c>
      <c r="J56" s="141">
        <f>Costs!J69*J$6</f>
        <v>0</v>
      </c>
      <c r="K56" s="141">
        <f>Costs!K69*K$6</f>
        <v>0</v>
      </c>
      <c r="L56" s="141">
        <f>Costs!L69*L$6</f>
        <v>0</v>
      </c>
      <c r="M56" s="141">
        <f>Costs!M69*M$6</f>
        <v>0</v>
      </c>
      <c r="N56" s="141">
        <f>Costs!N69*N$6</f>
        <v>0</v>
      </c>
      <c r="O56" s="141">
        <f>Costs!O69*O$6</f>
        <v>0</v>
      </c>
      <c r="P56" s="141">
        <f>Costs!P69*P$6</f>
        <v>0</v>
      </c>
      <c r="Q56" s="141">
        <f>Costs!Q69*Q$6</f>
        <v>0</v>
      </c>
      <c r="R56" s="141">
        <f>Costs!R69*R$6</f>
        <v>0</v>
      </c>
      <c r="S56" s="141">
        <f>Costs!S69*S$6</f>
        <v>0</v>
      </c>
      <c r="T56" s="141">
        <f>Costs!T69*T$6</f>
        <v>0</v>
      </c>
      <c r="U56" s="141">
        <f>Costs!U69*U$6</f>
        <v>0</v>
      </c>
      <c r="V56" s="141">
        <f>Costs!V69*V$6</f>
        <v>0</v>
      </c>
      <c r="W56" s="141">
        <f>Costs!W69*W$6</f>
        <v>0</v>
      </c>
      <c r="X56" s="141">
        <f>Costs!X69*X$6</f>
        <v>0</v>
      </c>
      <c r="Y56" s="141">
        <f>Costs!Y69*Y$6</f>
        <v>0</v>
      </c>
      <c r="Z56" s="141">
        <f>Costs!Z69*Z$6</f>
        <v>0</v>
      </c>
      <c r="AA56" s="141">
        <f>Costs!AA69*AA$6</f>
        <v>0</v>
      </c>
      <c r="AB56" s="141">
        <f>Costs!AB69*AB$6</f>
        <v>0</v>
      </c>
      <c r="AC56" s="141">
        <f>Costs!AC69*AC$6</f>
        <v>0</v>
      </c>
      <c r="AD56" s="141">
        <f>Costs!AD69*AD$6</f>
        <v>0</v>
      </c>
      <c r="AE56" s="141">
        <f>Costs!AE69*AE$6</f>
        <v>0</v>
      </c>
      <c r="AF56" s="141">
        <f>Costs!AF69*AF$6</f>
        <v>0</v>
      </c>
      <c r="AG56" s="141">
        <f>Costs!AG69*AG$6</f>
        <v>0</v>
      </c>
    </row>
    <row r="57" spans="1:33" s="878" customFormat="1" ht="17.25" customHeight="1" outlineLevel="2">
      <c r="A57" s="861"/>
      <c r="B57" s="861"/>
      <c r="C57" s="1049" t="str">
        <f>Costs!C70</f>
        <v>Miscellaneous 07</v>
      </c>
      <c r="I57" s="236">
        <f t="shared" si="6"/>
        <v>0</v>
      </c>
      <c r="J57" s="141">
        <f>Costs!J70*J$6</f>
        <v>0</v>
      </c>
      <c r="K57" s="141">
        <f>Costs!K70*K$6</f>
        <v>0</v>
      </c>
      <c r="L57" s="141">
        <f>Costs!L70*L$6</f>
        <v>0</v>
      </c>
      <c r="M57" s="141">
        <f>Costs!M70*M$6</f>
        <v>0</v>
      </c>
      <c r="N57" s="141">
        <f>Costs!N70*N$6</f>
        <v>0</v>
      </c>
      <c r="O57" s="141">
        <f>Costs!O70*O$6</f>
        <v>0</v>
      </c>
      <c r="P57" s="141">
        <f>Costs!P70*P$6</f>
        <v>0</v>
      </c>
      <c r="Q57" s="141">
        <f>Costs!Q70*Q$6</f>
        <v>0</v>
      </c>
      <c r="R57" s="141">
        <f>Costs!R70*R$6</f>
        <v>0</v>
      </c>
      <c r="S57" s="141">
        <f>Costs!S70*S$6</f>
        <v>0</v>
      </c>
      <c r="T57" s="141">
        <f>Costs!T70*T$6</f>
        <v>0</v>
      </c>
      <c r="U57" s="141">
        <f>Costs!U70*U$6</f>
        <v>0</v>
      </c>
      <c r="V57" s="141">
        <f>Costs!V70*V$6</f>
        <v>0</v>
      </c>
      <c r="W57" s="141">
        <f>Costs!W70*W$6</f>
        <v>0</v>
      </c>
      <c r="X57" s="141">
        <f>Costs!X70*X$6</f>
        <v>0</v>
      </c>
      <c r="Y57" s="141">
        <f>Costs!Y70*Y$6</f>
        <v>0</v>
      </c>
      <c r="Z57" s="141">
        <f>Costs!Z70*Z$6</f>
        <v>0</v>
      </c>
      <c r="AA57" s="141">
        <f>Costs!AA70*AA$6</f>
        <v>0</v>
      </c>
      <c r="AB57" s="141">
        <f>Costs!AB70*AB$6</f>
        <v>0</v>
      </c>
      <c r="AC57" s="141">
        <f>Costs!AC70*AC$6</f>
        <v>0</v>
      </c>
      <c r="AD57" s="141">
        <f>Costs!AD70*AD$6</f>
        <v>0</v>
      </c>
      <c r="AE57" s="141">
        <f>Costs!AE70*AE$6</f>
        <v>0</v>
      </c>
      <c r="AF57" s="141">
        <f>Costs!AF70*AF$6</f>
        <v>0</v>
      </c>
      <c r="AG57" s="141">
        <f>Costs!AG70*AG$6</f>
        <v>0</v>
      </c>
    </row>
    <row r="58" spans="1:33" s="878" customFormat="1" ht="17.25" customHeight="1" outlineLevel="2">
      <c r="A58" s="861"/>
      <c r="B58" s="861"/>
      <c r="C58" s="1049" t="str">
        <f>Costs!C71</f>
        <v>Miscellaneous 08</v>
      </c>
      <c r="I58" s="236">
        <f t="shared" si="6"/>
        <v>0</v>
      </c>
      <c r="J58" s="141">
        <f>Costs!J71*J$6</f>
        <v>0</v>
      </c>
      <c r="K58" s="141">
        <f>Costs!K71*K$6</f>
        <v>0</v>
      </c>
      <c r="L58" s="141">
        <f>Costs!L71*L$6</f>
        <v>0</v>
      </c>
      <c r="M58" s="141">
        <f>Costs!M71*M$6</f>
        <v>0</v>
      </c>
      <c r="N58" s="141">
        <f>Costs!N71*N$6</f>
        <v>0</v>
      </c>
      <c r="O58" s="141">
        <f>Costs!O71*O$6</f>
        <v>0</v>
      </c>
      <c r="P58" s="141">
        <f>Costs!P71*P$6</f>
        <v>0</v>
      </c>
      <c r="Q58" s="141">
        <f>Costs!Q71*Q$6</f>
        <v>0</v>
      </c>
      <c r="R58" s="141">
        <f>Costs!R71*R$6</f>
        <v>0</v>
      </c>
      <c r="S58" s="141">
        <f>Costs!S71*S$6</f>
        <v>0</v>
      </c>
      <c r="T58" s="141">
        <f>Costs!T71*T$6</f>
        <v>0</v>
      </c>
      <c r="U58" s="141">
        <f>Costs!U71*U$6</f>
        <v>0</v>
      </c>
      <c r="V58" s="141">
        <f>Costs!V71*V$6</f>
        <v>0</v>
      </c>
      <c r="W58" s="141">
        <f>Costs!W71*W$6</f>
        <v>0</v>
      </c>
      <c r="X58" s="141">
        <f>Costs!X71*X$6</f>
        <v>0</v>
      </c>
      <c r="Y58" s="141">
        <f>Costs!Y71*Y$6</f>
        <v>0</v>
      </c>
      <c r="Z58" s="141">
        <f>Costs!Z71*Z$6</f>
        <v>0</v>
      </c>
      <c r="AA58" s="141">
        <f>Costs!AA71*AA$6</f>
        <v>0</v>
      </c>
      <c r="AB58" s="141">
        <f>Costs!AB71*AB$6</f>
        <v>0</v>
      </c>
      <c r="AC58" s="141">
        <f>Costs!AC71*AC$6</f>
        <v>0</v>
      </c>
      <c r="AD58" s="141">
        <f>Costs!AD71*AD$6</f>
        <v>0</v>
      </c>
      <c r="AE58" s="141">
        <f>Costs!AE71*AE$6</f>
        <v>0</v>
      </c>
      <c r="AF58" s="141">
        <f>Costs!AF71*AF$6</f>
        <v>0</v>
      </c>
      <c r="AG58" s="141">
        <f>Costs!AG71*AG$6</f>
        <v>0</v>
      </c>
    </row>
    <row r="59" spans="1:33" s="878" customFormat="1" ht="17.25" customHeight="1" outlineLevel="2">
      <c r="A59" s="861"/>
      <c r="B59" s="861"/>
      <c r="C59" s="1049" t="str">
        <f>Costs!C72</f>
        <v>Miscellaneous 09</v>
      </c>
      <c r="I59" s="236">
        <f t="shared" si="6"/>
        <v>0</v>
      </c>
      <c r="J59" s="141">
        <f>Costs!J72*J$6</f>
        <v>0</v>
      </c>
      <c r="K59" s="141">
        <f>Costs!K72*K$6</f>
        <v>0</v>
      </c>
      <c r="L59" s="141">
        <f>Costs!L72*L$6</f>
        <v>0</v>
      </c>
      <c r="M59" s="141">
        <f>Costs!M72*M$6</f>
        <v>0</v>
      </c>
      <c r="N59" s="141">
        <f>Costs!N72*N$6</f>
        <v>0</v>
      </c>
      <c r="O59" s="141">
        <f>Costs!O72*O$6</f>
        <v>0</v>
      </c>
      <c r="P59" s="141">
        <f>Costs!P72*P$6</f>
        <v>0</v>
      </c>
      <c r="Q59" s="141">
        <f>Costs!Q72*Q$6</f>
        <v>0</v>
      </c>
      <c r="R59" s="141">
        <f>Costs!R72*R$6</f>
        <v>0</v>
      </c>
      <c r="S59" s="141">
        <f>Costs!S72*S$6</f>
        <v>0</v>
      </c>
      <c r="T59" s="141">
        <f>Costs!T72*T$6</f>
        <v>0</v>
      </c>
      <c r="U59" s="141">
        <f>Costs!U72*U$6</f>
        <v>0</v>
      </c>
      <c r="V59" s="141">
        <f>Costs!V72*V$6</f>
        <v>0</v>
      </c>
      <c r="W59" s="141">
        <f>Costs!W72*W$6</f>
        <v>0</v>
      </c>
      <c r="X59" s="141">
        <f>Costs!X72*X$6</f>
        <v>0</v>
      </c>
      <c r="Y59" s="141">
        <f>Costs!Y72*Y$6</f>
        <v>0</v>
      </c>
      <c r="Z59" s="141">
        <f>Costs!Z72*Z$6</f>
        <v>0</v>
      </c>
      <c r="AA59" s="141">
        <f>Costs!AA72*AA$6</f>
        <v>0</v>
      </c>
      <c r="AB59" s="141">
        <f>Costs!AB72*AB$6</f>
        <v>0</v>
      </c>
      <c r="AC59" s="141">
        <f>Costs!AC72*AC$6</f>
        <v>0</v>
      </c>
      <c r="AD59" s="141">
        <f>Costs!AD72*AD$6</f>
        <v>0</v>
      </c>
      <c r="AE59" s="141">
        <f>Costs!AE72*AE$6</f>
        <v>0</v>
      </c>
      <c r="AF59" s="141">
        <f>Costs!AF72*AF$6</f>
        <v>0</v>
      </c>
      <c r="AG59" s="141">
        <f>Costs!AG72*AG$6</f>
        <v>0</v>
      </c>
    </row>
    <row r="60" spans="1:33" s="632" customFormat="1" ht="17.25" customHeight="1" outlineLevel="1">
      <c r="A60" s="861"/>
      <c r="B60" s="282"/>
      <c r="C60" s="800" t="s">
        <v>956</v>
      </c>
      <c r="F60" s="736" t="s">
        <v>204</v>
      </c>
      <c r="G60" s="70">
        <f>Costs!I89</f>
        <v>307789.49999999994</v>
      </c>
      <c r="H60" s="1040" t="s">
        <v>1018</v>
      </c>
      <c r="I60" s="236">
        <f t="shared" ref="I60:I89" si="9">SUM(J60:AG60)</f>
        <v>307789.49999999994</v>
      </c>
      <c r="J60" s="141">
        <f t="shared" ref="J60:AG60" si="10">SUM(J61:J75)</f>
        <v>8354.1666666666679</v>
      </c>
      <c r="K60" s="141">
        <f t="shared" si="10"/>
        <v>8104.166666666667</v>
      </c>
      <c r="L60" s="141">
        <f t="shared" si="10"/>
        <v>8104.166666666667</v>
      </c>
      <c r="M60" s="141">
        <f t="shared" si="10"/>
        <v>8104.166666666667</v>
      </c>
      <c r="N60" s="141">
        <f t="shared" si="10"/>
        <v>9604.1666666666679</v>
      </c>
      <c r="O60" s="141">
        <f t="shared" si="10"/>
        <v>12558.333333333334</v>
      </c>
      <c r="P60" s="141">
        <f t="shared" si="10"/>
        <v>12308.333333333334</v>
      </c>
      <c r="Q60" s="141">
        <f t="shared" si="10"/>
        <v>12308.333333333334</v>
      </c>
      <c r="R60" s="141">
        <f t="shared" si="10"/>
        <v>12308.333333333334</v>
      </c>
      <c r="S60" s="141">
        <f t="shared" si="10"/>
        <v>13808.333333333334</v>
      </c>
      <c r="T60" s="141">
        <f t="shared" si="10"/>
        <v>12308.333333333334</v>
      </c>
      <c r="U60" s="141">
        <f t="shared" si="10"/>
        <v>12382.416666666666</v>
      </c>
      <c r="V60" s="141">
        <f t="shared" si="10"/>
        <v>12382.416666666666</v>
      </c>
      <c r="W60" s="141">
        <f t="shared" si="10"/>
        <v>16873.625</v>
      </c>
      <c r="X60" s="141">
        <f t="shared" si="10"/>
        <v>18123.625</v>
      </c>
      <c r="Y60" s="141">
        <f t="shared" si="10"/>
        <v>16623.625</v>
      </c>
      <c r="Z60" s="141">
        <f t="shared" si="10"/>
        <v>17923.625</v>
      </c>
      <c r="AA60" s="141">
        <f t="shared" si="10"/>
        <v>17923.625</v>
      </c>
      <c r="AB60" s="141">
        <f t="shared" si="10"/>
        <v>17923.625</v>
      </c>
      <c r="AC60" s="141">
        <f t="shared" si="10"/>
        <v>19423.625</v>
      </c>
      <c r="AD60" s="141">
        <f t="shared" si="10"/>
        <v>17923.625</v>
      </c>
      <c r="AE60" s="141">
        <f t="shared" si="10"/>
        <v>22414.833333333332</v>
      </c>
      <c r="AF60" s="141">
        <f t="shared" si="10"/>
        <v>0</v>
      </c>
      <c r="AG60" s="141">
        <f t="shared" si="10"/>
        <v>0</v>
      </c>
    </row>
    <row r="61" spans="1:33" s="878" customFormat="1" ht="17.25" customHeight="1" outlineLevel="2">
      <c r="A61" s="861"/>
      <c r="B61" s="861"/>
      <c r="C61" s="1049" t="s">
        <v>221</v>
      </c>
      <c r="I61" s="236">
        <f t="shared" si="9"/>
        <v>143850</v>
      </c>
      <c r="J61" s="141">
        <f>'Human Resources'!J78</f>
        <v>2916.6666666666665</v>
      </c>
      <c r="K61" s="141">
        <f>'Human Resources'!K78</f>
        <v>2916.6666666666665</v>
      </c>
      <c r="L61" s="141">
        <f>'Human Resources'!L78</f>
        <v>2916.6666666666665</v>
      </c>
      <c r="M61" s="141">
        <f>'Human Resources'!M78</f>
        <v>2916.6666666666665</v>
      </c>
      <c r="N61" s="141">
        <f>'Human Resources'!N78</f>
        <v>2916.6666666666665</v>
      </c>
      <c r="O61" s="141">
        <f>'Human Resources'!O78</f>
        <v>5833.333333333333</v>
      </c>
      <c r="P61" s="141">
        <f>'Human Resources'!P78</f>
        <v>5833.333333333333</v>
      </c>
      <c r="Q61" s="141">
        <f>'Human Resources'!Q78</f>
        <v>5833.333333333333</v>
      </c>
      <c r="R61" s="141">
        <f>'Human Resources'!R78</f>
        <v>5833.333333333333</v>
      </c>
      <c r="S61" s="141">
        <f>'Human Resources'!S78</f>
        <v>5833.333333333333</v>
      </c>
      <c r="T61" s="141">
        <f>'Human Resources'!T78</f>
        <v>5833.333333333333</v>
      </c>
      <c r="U61" s="141">
        <f>'Human Resources'!U78</f>
        <v>5891.666666666667</v>
      </c>
      <c r="V61" s="141">
        <f>'Human Resources'!V78</f>
        <v>5891.666666666667</v>
      </c>
      <c r="W61" s="141">
        <f>'Human Resources'!W78</f>
        <v>8837.5</v>
      </c>
      <c r="X61" s="141">
        <f>'Human Resources'!X78</f>
        <v>8837.5</v>
      </c>
      <c r="Y61" s="141">
        <f>'Human Resources'!Y78</f>
        <v>8837.5</v>
      </c>
      <c r="Z61" s="141">
        <f>'Human Resources'!Z78</f>
        <v>8837.5</v>
      </c>
      <c r="AA61" s="141">
        <f>'Human Resources'!AA78</f>
        <v>8837.5</v>
      </c>
      <c r="AB61" s="141">
        <f>'Human Resources'!AB78</f>
        <v>8837.5</v>
      </c>
      <c r="AC61" s="141">
        <f>'Human Resources'!AC78</f>
        <v>8837.5</v>
      </c>
      <c r="AD61" s="141">
        <f>'Human Resources'!AD78</f>
        <v>8837.5</v>
      </c>
      <c r="AE61" s="141">
        <f>'Human Resources'!AE78</f>
        <v>11783.333333333334</v>
      </c>
      <c r="AF61" s="141">
        <f>'Human Resources'!AF78</f>
        <v>0</v>
      </c>
      <c r="AG61" s="141">
        <f>'Human Resources'!AG78</f>
        <v>0</v>
      </c>
    </row>
    <row r="62" spans="1:33" s="878" customFormat="1" ht="17.25" customHeight="1" outlineLevel="2">
      <c r="A62" s="861"/>
      <c r="B62" s="861"/>
      <c r="C62" s="1049" t="s">
        <v>229</v>
      </c>
      <c r="I62" s="236">
        <f t="shared" si="9"/>
        <v>28770.000000000004</v>
      </c>
      <c r="J62" s="141">
        <f>'Human Resources'!J114</f>
        <v>583.33333333333337</v>
      </c>
      <c r="K62" s="141">
        <f>'Human Resources'!K114</f>
        <v>583.33333333333337</v>
      </c>
      <c r="L62" s="141">
        <f>'Human Resources'!L114</f>
        <v>583.33333333333337</v>
      </c>
      <c r="M62" s="141">
        <f>'Human Resources'!M114</f>
        <v>583.33333333333337</v>
      </c>
      <c r="N62" s="141">
        <f>'Human Resources'!N114</f>
        <v>583.33333333333337</v>
      </c>
      <c r="O62" s="141">
        <f>'Human Resources'!O114</f>
        <v>1166.6666666666667</v>
      </c>
      <c r="P62" s="141">
        <f>'Human Resources'!P114</f>
        <v>1166.6666666666667</v>
      </c>
      <c r="Q62" s="141">
        <f>'Human Resources'!Q114</f>
        <v>1166.6666666666667</v>
      </c>
      <c r="R62" s="141">
        <f>'Human Resources'!R114</f>
        <v>1166.6666666666667</v>
      </c>
      <c r="S62" s="141">
        <f>'Human Resources'!S114</f>
        <v>1166.6666666666667</v>
      </c>
      <c r="T62" s="141">
        <f>'Human Resources'!T114</f>
        <v>1166.6666666666667</v>
      </c>
      <c r="U62" s="141">
        <f>'Human Resources'!U114</f>
        <v>1178.3333333333335</v>
      </c>
      <c r="V62" s="141">
        <f>'Human Resources'!V114</f>
        <v>1178.3333333333335</v>
      </c>
      <c r="W62" s="141">
        <f>'Human Resources'!W114</f>
        <v>1767.5</v>
      </c>
      <c r="X62" s="141">
        <f>'Human Resources'!X114</f>
        <v>1767.5</v>
      </c>
      <c r="Y62" s="141">
        <f>'Human Resources'!Y114</f>
        <v>1767.5</v>
      </c>
      <c r="Z62" s="141">
        <f>'Human Resources'!Z114</f>
        <v>1767.5</v>
      </c>
      <c r="AA62" s="141">
        <f>'Human Resources'!AA114</f>
        <v>1767.5</v>
      </c>
      <c r="AB62" s="141">
        <f>'Human Resources'!AB114</f>
        <v>1767.5</v>
      </c>
      <c r="AC62" s="141">
        <f>'Human Resources'!AC114</f>
        <v>1767.5</v>
      </c>
      <c r="AD62" s="141">
        <f>'Human Resources'!AD114</f>
        <v>1767.5</v>
      </c>
      <c r="AE62" s="141">
        <f>'Human Resources'!AE114</f>
        <v>2356.666666666667</v>
      </c>
      <c r="AF62" s="141">
        <f>'Human Resources'!AF114</f>
        <v>0</v>
      </c>
      <c r="AG62" s="141">
        <f>'Human Resources'!AG114</f>
        <v>0</v>
      </c>
    </row>
    <row r="63" spans="1:33" s="878" customFormat="1" ht="17.25" customHeight="1" outlineLevel="2">
      <c r="A63" s="861"/>
      <c r="B63" s="861"/>
      <c r="C63" s="1049" t="s">
        <v>226</v>
      </c>
      <c r="I63" s="236">
        <f t="shared" si="9"/>
        <v>35569.5</v>
      </c>
      <c r="J63" s="141">
        <f>'Human Resources'!J153</f>
        <v>954.16666666666663</v>
      </c>
      <c r="K63" s="141">
        <f>'Human Resources'!K153</f>
        <v>704.16666666666663</v>
      </c>
      <c r="L63" s="141">
        <f>'Human Resources'!L153</f>
        <v>704.16666666666663</v>
      </c>
      <c r="M63" s="141">
        <f>'Human Resources'!M153</f>
        <v>704.16666666666663</v>
      </c>
      <c r="N63" s="141">
        <f>'Human Resources'!N153</f>
        <v>704.16666666666663</v>
      </c>
      <c r="O63" s="141">
        <f>'Human Resources'!O153</f>
        <v>1658.3333333333333</v>
      </c>
      <c r="P63" s="141">
        <f>'Human Resources'!P153</f>
        <v>1408.3333333333333</v>
      </c>
      <c r="Q63" s="141">
        <f>'Human Resources'!Q153</f>
        <v>1408.3333333333333</v>
      </c>
      <c r="R63" s="141">
        <f>'Human Resources'!R153</f>
        <v>1408.3333333333333</v>
      </c>
      <c r="S63" s="141">
        <f>'Human Resources'!S153</f>
        <v>1408.3333333333333</v>
      </c>
      <c r="T63" s="141">
        <f>'Human Resources'!T153</f>
        <v>1408.3333333333333</v>
      </c>
      <c r="U63" s="141">
        <f>'Human Resources'!U153</f>
        <v>1412.4166666666667</v>
      </c>
      <c r="V63" s="141">
        <f>'Human Resources'!V153</f>
        <v>1412.4166666666667</v>
      </c>
      <c r="W63" s="141">
        <f>'Human Resources'!W153</f>
        <v>2368.625</v>
      </c>
      <c r="X63" s="141">
        <f>'Human Resources'!X153</f>
        <v>2118.625</v>
      </c>
      <c r="Y63" s="141">
        <f>'Human Resources'!Y153</f>
        <v>2118.625</v>
      </c>
      <c r="Z63" s="141">
        <f>'Human Resources'!Z153</f>
        <v>2118.625</v>
      </c>
      <c r="AA63" s="141">
        <f>'Human Resources'!AA153</f>
        <v>2118.625</v>
      </c>
      <c r="AB63" s="141">
        <f>'Human Resources'!AB153</f>
        <v>2118.625</v>
      </c>
      <c r="AC63" s="141">
        <f>'Human Resources'!AC153</f>
        <v>2118.625</v>
      </c>
      <c r="AD63" s="141">
        <f>'Human Resources'!AD153</f>
        <v>2118.625</v>
      </c>
      <c r="AE63" s="141">
        <f>'Human Resources'!AE153</f>
        <v>3074.8333333333335</v>
      </c>
      <c r="AF63" s="141">
        <f>'Human Resources'!AF153</f>
        <v>0</v>
      </c>
      <c r="AG63" s="141">
        <f>'Human Resources'!AG153</f>
        <v>0</v>
      </c>
    </row>
    <row r="64" spans="1:33" s="878" customFormat="1" ht="17.25" customHeight="1" outlineLevel="2">
      <c r="A64" s="861"/>
      <c r="B64" s="861"/>
      <c r="C64" s="1049" t="str">
        <f>Costs!C77</f>
        <v>Rent and rates</v>
      </c>
      <c r="I64" s="236">
        <f t="shared" si="9"/>
        <v>72000</v>
      </c>
      <c r="J64" s="141">
        <f>Costs!J77*J$6</f>
        <v>3000</v>
      </c>
      <c r="K64" s="141">
        <f>Costs!K77*K$6</f>
        <v>3000</v>
      </c>
      <c r="L64" s="141">
        <f>Costs!L77*L$6</f>
        <v>3000</v>
      </c>
      <c r="M64" s="141">
        <f>Costs!M77*M$6</f>
        <v>3000</v>
      </c>
      <c r="N64" s="141">
        <f>Costs!N77*N$6</f>
        <v>3000</v>
      </c>
      <c r="O64" s="141">
        <f>Costs!O77*O$6</f>
        <v>3000</v>
      </c>
      <c r="P64" s="141">
        <f>Costs!P77*P$6</f>
        <v>3000</v>
      </c>
      <c r="Q64" s="141">
        <f>Costs!Q77*Q$6</f>
        <v>3000</v>
      </c>
      <c r="R64" s="141">
        <f>Costs!R77*R$6</f>
        <v>3000</v>
      </c>
      <c r="S64" s="141">
        <f>Costs!S77*S$6</f>
        <v>3000</v>
      </c>
      <c r="T64" s="141">
        <f>Costs!T77*T$6</f>
        <v>3000</v>
      </c>
      <c r="U64" s="141">
        <f>Costs!U77*U$6</f>
        <v>3000</v>
      </c>
      <c r="V64" s="141">
        <f>Costs!V77*V$6</f>
        <v>3000</v>
      </c>
      <c r="W64" s="141">
        <f>Costs!W77*W$6</f>
        <v>3000</v>
      </c>
      <c r="X64" s="141">
        <f>Costs!X77*X$6</f>
        <v>3000</v>
      </c>
      <c r="Y64" s="141">
        <f>Costs!Y77*Y$6</f>
        <v>3000</v>
      </c>
      <c r="Z64" s="141">
        <f>Costs!Z77*Z$6</f>
        <v>4000</v>
      </c>
      <c r="AA64" s="141">
        <f>Costs!AA77*AA$6</f>
        <v>4000</v>
      </c>
      <c r="AB64" s="141">
        <f>Costs!AB77*AB$6</f>
        <v>4000</v>
      </c>
      <c r="AC64" s="141">
        <f>Costs!AC77*AC$6</f>
        <v>4000</v>
      </c>
      <c r="AD64" s="141">
        <f>Costs!AD77*AD$6</f>
        <v>4000</v>
      </c>
      <c r="AE64" s="141">
        <f>Costs!AE77*AE$6</f>
        <v>4000</v>
      </c>
      <c r="AF64" s="141">
        <f>Costs!AF77*AF$6</f>
        <v>0</v>
      </c>
      <c r="AG64" s="141">
        <f>Costs!AG77*AG$6</f>
        <v>0</v>
      </c>
    </row>
    <row r="65" spans="1:33" s="878" customFormat="1" ht="17.25" customHeight="1" outlineLevel="2">
      <c r="A65" s="861"/>
      <c r="B65" s="861"/>
      <c r="C65" s="1049" t="str">
        <f>Costs!C78</f>
        <v>Additional property expenses (Power, Heat, Light etc.)</v>
      </c>
      <c r="I65" s="236">
        <f t="shared" si="9"/>
        <v>21600</v>
      </c>
      <c r="J65" s="141">
        <f>Costs!J78*J$6</f>
        <v>900</v>
      </c>
      <c r="K65" s="141">
        <f>Costs!K78*K$6</f>
        <v>900</v>
      </c>
      <c r="L65" s="141">
        <f>Costs!L78*L$6</f>
        <v>900</v>
      </c>
      <c r="M65" s="141">
        <f>Costs!M78*M$6</f>
        <v>900</v>
      </c>
      <c r="N65" s="141">
        <f>Costs!N78*N$6</f>
        <v>900</v>
      </c>
      <c r="O65" s="141">
        <f>Costs!O78*O$6</f>
        <v>900</v>
      </c>
      <c r="P65" s="141">
        <f>Costs!P78*P$6</f>
        <v>900</v>
      </c>
      <c r="Q65" s="141">
        <f>Costs!Q78*Q$6</f>
        <v>900</v>
      </c>
      <c r="R65" s="141">
        <f>Costs!R78*R$6</f>
        <v>900</v>
      </c>
      <c r="S65" s="141">
        <f>Costs!S78*S$6</f>
        <v>900</v>
      </c>
      <c r="T65" s="141">
        <f>Costs!T78*T$6</f>
        <v>900</v>
      </c>
      <c r="U65" s="141">
        <f>Costs!U78*U$6</f>
        <v>900</v>
      </c>
      <c r="V65" s="141">
        <f>Costs!V78*V$6</f>
        <v>900</v>
      </c>
      <c r="W65" s="141">
        <f>Costs!W78*W$6</f>
        <v>900</v>
      </c>
      <c r="X65" s="141">
        <f>Costs!X78*X$6</f>
        <v>900</v>
      </c>
      <c r="Y65" s="141">
        <f>Costs!Y78*Y$6</f>
        <v>900</v>
      </c>
      <c r="Z65" s="141">
        <f>Costs!Z78*Z$6</f>
        <v>1200</v>
      </c>
      <c r="AA65" s="141">
        <f>Costs!AA78*AA$6</f>
        <v>1200</v>
      </c>
      <c r="AB65" s="141">
        <f>Costs!AB78*AB$6</f>
        <v>1200</v>
      </c>
      <c r="AC65" s="141">
        <f>Costs!AC78*AC$6</f>
        <v>1200</v>
      </c>
      <c r="AD65" s="141">
        <f>Costs!AD78*AD$6</f>
        <v>1200</v>
      </c>
      <c r="AE65" s="141">
        <f>Costs!AE78*AE$6</f>
        <v>1200</v>
      </c>
      <c r="AF65" s="141">
        <f>Costs!AF78*AF$6</f>
        <v>0</v>
      </c>
      <c r="AG65" s="141">
        <f>Costs!AG78*AG$6</f>
        <v>0</v>
      </c>
    </row>
    <row r="66" spans="1:33" s="878" customFormat="1" ht="17.25" customHeight="1" outlineLevel="2">
      <c r="A66" s="861"/>
      <c r="B66" s="861"/>
      <c r="C66" s="1049" t="str">
        <f>Costs!C79</f>
        <v>Professional fees (Legal, Tax, Audit etc.)</v>
      </c>
      <c r="I66" s="236">
        <f t="shared" si="9"/>
        <v>6000</v>
      </c>
      <c r="J66" s="141">
        <f>Costs!J79*J$6</f>
        <v>0</v>
      </c>
      <c r="K66" s="141">
        <f>Costs!K79*K$6</f>
        <v>0</v>
      </c>
      <c r="L66" s="141">
        <f>Costs!L79*L$6</f>
        <v>0</v>
      </c>
      <c r="M66" s="141">
        <f>Costs!M79*M$6</f>
        <v>0</v>
      </c>
      <c r="N66" s="141">
        <f>Costs!N79*N$6</f>
        <v>1500</v>
      </c>
      <c r="O66" s="141">
        <f>Costs!O79*O$6</f>
        <v>0</v>
      </c>
      <c r="P66" s="141">
        <f>Costs!P79*P$6</f>
        <v>0</v>
      </c>
      <c r="Q66" s="141">
        <f>Costs!Q79*Q$6</f>
        <v>0</v>
      </c>
      <c r="R66" s="141">
        <f>Costs!R79*R$6</f>
        <v>0</v>
      </c>
      <c r="S66" s="141">
        <f>Costs!S79*S$6</f>
        <v>1500</v>
      </c>
      <c r="T66" s="141">
        <f>Costs!T79*T$6</f>
        <v>0</v>
      </c>
      <c r="U66" s="141">
        <f>Costs!U79*U$6</f>
        <v>0</v>
      </c>
      <c r="V66" s="141">
        <f>Costs!V79*V$6</f>
        <v>0</v>
      </c>
      <c r="W66" s="141">
        <f>Costs!W79*W$6</f>
        <v>0</v>
      </c>
      <c r="X66" s="141">
        <f>Costs!X79*X$6</f>
        <v>1500</v>
      </c>
      <c r="Y66" s="141">
        <f>Costs!Y79*Y$6</f>
        <v>0</v>
      </c>
      <c r="Z66" s="141">
        <f>Costs!Z79*Z$6</f>
        <v>0</v>
      </c>
      <c r="AA66" s="141">
        <f>Costs!AA79*AA$6</f>
        <v>0</v>
      </c>
      <c r="AB66" s="141">
        <f>Costs!AB79*AB$6</f>
        <v>0</v>
      </c>
      <c r="AC66" s="141">
        <f>Costs!AC79*AC$6</f>
        <v>1500</v>
      </c>
      <c r="AD66" s="141">
        <f>Costs!AD79*AD$6</f>
        <v>0</v>
      </c>
      <c r="AE66" s="141">
        <f>Costs!AE79*AE$6</f>
        <v>0</v>
      </c>
      <c r="AF66" s="141">
        <f>Costs!AF79*AF$6</f>
        <v>0</v>
      </c>
      <c r="AG66" s="141">
        <f>Costs!AG79*AG$6</f>
        <v>0</v>
      </c>
    </row>
    <row r="67" spans="1:33" s="878" customFormat="1" ht="17.25" customHeight="1" outlineLevel="2">
      <c r="A67" s="861"/>
      <c r="B67" s="861"/>
      <c r="C67" s="1049" t="str">
        <f>Costs!C80</f>
        <v>Insurances  / charges / contributions</v>
      </c>
      <c r="I67" s="236">
        <f t="shared" si="9"/>
        <v>0</v>
      </c>
      <c r="J67" s="141">
        <f>Costs!J80*J$6</f>
        <v>0</v>
      </c>
      <c r="K67" s="141">
        <f>Costs!K80*K$6</f>
        <v>0</v>
      </c>
      <c r="L67" s="141">
        <f>Costs!L80*L$6</f>
        <v>0</v>
      </c>
      <c r="M67" s="141">
        <f>Costs!M80*M$6</f>
        <v>0</v>
      </c>
      <c r="N67" s="141">
        <f>Costs!N80*N$6</f>
        <v>0</v>
      </c>
      <c r="O67" s="141">
        <f>Costs!O80*O$6</f>
        <v>0</v>
      </c>
      <c r="P67" s="141">
        <f>Costs!P80*P$6</f>
        <v>0</v>
      </c>
      <c r="Q67" s="141">
        <f>Costs!Q80*Q$6</f>
        <v>0</v>
      </c>
      <c r="R67" s="141">
        <f>Costs!R80*R$6</f>
        <v>0</v>
      </c>
      <c r="S67" s="141">
        <f>Costs!S80*S$6</f>
        <v>0</v>
      </c>
      <c r="T67" s="141">
        <f>Costs!T80*T$6</f>
        <v>0</v>
      </c>
      <c r="U67" s="141">
        <f>Costs!U80*U$6</f>
        <v>0</v>
      </c>
      <c r="V67" s="141">
        <f>Costs!V80*V$6</f>
        <v>0</v>
      </c>
      <c r="W67" s="141">
        <f>Costs!W80*W$6</f>
        <v>0</v>
      </c>
      <c r="X67" s="141">
        <f>Costs!X80*X$6</f>
        <v>0</v>
      </c>
      <c r="Y67" s="141">
        <f>Costs!Y80*Y$6</f>
        <v>0</v>
      </c>
      <c r="Z67" s="141">
        <f>Costs!Z80*Z$6</f>
        <v>0</v>
      </c>
      <c r="AA67" s="141">
        <f>Costs!AA80*AA$6</f>
        <v>0</v>
      </c>
      <c r="AB67" s="141">
        <f>Costs!AB80*AB$6</f>
        <v>0</v>
      </c>
      <c r="AC67" s="141">
        <f>Costs!AC80*AC$6</f>
        <v>0</v>
      </c>
      <c r="AD67" s="141">
        <f>Costs!AD80*AD$6</f>
        <v>0</v>
      </c>
      <c r="AE67" s="141">
        <f>Costs!AE80*AE$6</f>
        <v>0</v>
      </c>
      <c r="AF67" s="141">
        <f>Costs!AF80*AF$6</f>
        <v>0</v>
      </c>
      <c r="AG67" s="141">
        <f>Costs!AG80*AG$6</f>
        <v>0</v>
      </c>
    </row>
    <row r="68" spans="1:33" s="878" customFormat="1" ht="17.25" customHeight="1" outlineLevel="2">
      <c r="A68" s="861"/>
      <c r="B68" s="861"/>
      <c r="C68" s="1049" t="str">
        <f>Costs!C81</f>
        <v>Patents, Trademarks and Licence Fees</v>
      </c>
      <c r="I68" s="236">
        <f t="shared" si="9"/>
        <v>0</v>
      </c>
      <c r="J68" s="141">
        <f>Costs!J81*J$6</f>
        <v>0</v>
      </c>
      <c r="K68" s="141">
        <f>Costs!K81*K$6</f>
        <v>0</v>
      </c>
      <c r="L68" s="141">
        <f>Costs!L81*L$6</f>
        <v>0</v>
      </c>
      <c r="M68" s="141">
        <f>Costs!M81*M$6</f>
        <v>0</v>
      </c>
      <c r="N68" s="141">
        <f>Costs!N81*N$6</f>
        <v>0</v>
      </c>
      <c r="O68" s="141">
        <f>Costs!O81*O$6</f>
        <v>0</v>
      </c>
      <c r="P68" s="141">
        <f>Costs!P81*P$6</f>
        <v>0</v>
      </c>
      <c r="Q68" s="141">
        <f>Costs!Q81*Q$6</f>
        <v>0</v>
      </c>
      <c r="R68" s="141">
        <f>Costs!R81*R$6</f>
        <v>0</v>
      </c>
      <c r="S68" s="141">
        <f>Costs!S81*S$6</f>
        <v>0</v>
      </c>
      <c r="T68" s="141">
        <f>Costs!T81*T$6</f>
        <v>0</v>
      </c>
      <c r="U68" s="141">
        <f>Costs!U81*U$6</f>
        <v>0</v>
      </c>
      <c r="V68" s="141">
        <f>Costs!V81*V$6</f>
        <v>0</v>
      </c>
      <c r="W68" s="141">
        <f>Costs!W81*W$6</f>
        <v>0</v>
      </c>
      <c r="X68" s="141">
        <f>Costs!X81*X$6</f>
        <v>0</v>
      </c>
      <c r="Y68" s="141">
        <f>Costs!Y81*Y$6</f>
        <v>0</v>
      </c>
      <c r="Z68" s="141">
        <f>Costs!Z81*Z$6</f>
        <v>0</v>
      </c>
      <c r="AA68" s="141">
        <f>Costs!AA81*AA$6</f>
        <v>0</v>
      </c>
      <c r="AB68" s="141">
        <f>Costs!AB81*AB$6</f>
        <v>0</v>
      </c>
      <c r="AC68" s="141">
        <f>Costs!AC81*AC$6</f>
        <v>0</v>
      </c>
      <c r="AD68" s="141">
        <f>Costs!AD81*AD$6</f>
        <v>0</v>
      </c>
      <c r="AE68" s="141">
        <f>Costs!AE81*AE$6</f>
        <v>0</v>
      </c>
      <c r="AF68" s="141">
        <f>Costs!AF81*AF$6</f>
        <v>0</v>
      </c>
      <c r="AG68" s="141">
        <f>Costs!AG81*AG$6</f>
        <v>0</v>
      </c>
    </row>
    <row r="69" spans="1:33" s="878" customFormat="1" ht="17.25" customHeight="1" outlineLevel="2">
      <c r="A69" s="861"/>
      <c r="B69" s="861"/>
      <c r="C69" s="1049" t="str">
        <f>Costs!C82</f>
        <v xml:space="preserve">Repairs and maintenance </v>
      </c>
      <c r="I69" s="236">
        <f t="shared" si="9"/>
        <v>0</v>
      </c>
      <c r="J69" s="141">
        <f>Costs!J82*J$6</f>
        <v>0</v>
      </c>
      <c r="K69" s="141">
        <f>Costs!K82*K$6</f>
        <v>0</v>
      </c>
      <c r="L69" s="141">
        <f>Costs!L82*L$6</f>
        <v>0</v>
      </c>
      <c r="M69" s="141">
        <f>Costs!M82*M$6</f>
        <v>0</v>
      </c>
      <c r="N69" s="141">
        <f>Costs!N82*N$6</f>
        <v>0</v>
      </c>
      <c r="O69" s="141">
        <f>Costs!O82*O$6</f>
        <v>0</v>
      </c>
      <c r="P69" s="141">
        <f>Costs!P82*P$6</f>
        <v>0</v>
      </c>
      <c r="Q69" s="141">
        <f>Costs!Q82*Q$6</f>
        <v>0</v>
      </c>
      <c r="R69" s="141">
        <f>Costs!R82*R$6</f>
        <v>0</v>
      </c>
      <c r="S69" s="141">
        <f>Costs!S82*S$6</f>
        <v>0</v>
      </c>
      <c r="T69" s="141">
        <f>Costs!T82*T$6</f>
        <v>0</v>
      </c>
      <c r="U69" s="141">
        <f>Costs!U82*U$6</f>
        <v>0</v>
      </c>
      <c r="V69" s="141">
        <f>Costs!V82*V$6</f>
        <v>0</v>
      </c>
      <c r="W69" s="141">
        <f>Costs!W82*W$6</f>
        <v>0</v>
      </c>
      <c r="X69" s="141">
        <f>Costs!X82*X$6</f>
        <v>0</v>
      </c>
      <c r="Y69" s="141">
        <f>Costs!Y82*Y$6</f>
        <v>0</v>
      </c>
      <c r="Z69" s="141">
        <f>Costs!Z82*Z$6</f>
        <v>0</v>
      </c>
      <c r="AA69" s="141">
        <f>Costs!AA82*AA$6</f>
        <v>0</v>
      </c>
      <c r="AB69" s="141">
        <f>Costs!AB82*AB$6</f>
        <v>0</v>
      </c>
      <c r="AC69" s="141">
        <f>Costs!AC82*AC$6</f>
        <v>0</v>
      </c>
      <c r="AD69" s="141">
        <f>Costs!AD82*AD$6</f>
        <v>0</v>
      </c>
      <c r="AE69" s="141">
        <f>Costs!AE82*AE$6</f>
        <v>0</v>
      </c>
      <c r="AF69" s="141">
        <f>Costs!AF82*AF$6</f>
        <v>0</v>
      </c>
      <c r="AG69" s="141">
        <f>Costs!AG82*AG$6</f>
        <v>0</v>
      </c>
    </row>
    <row r="70" spans="1:33" s="878" customFormat="1" ht="17.25" customHeight="1" outlineLevel="2">
      <c r="A70" s="861"/>
      <c r="B70" s="861"/>
      <c r="C70" s="1049" t="str">
        <f>Costs!C83</f>
        <v>Communication (Internet, Phone, Mobile etc.)</v>
      </c>
      <c r="I70" s="236">
        <f t="shared" si="9"/>
        <v>0</v>
      </c>
      <c r="J70" s="141">
        <f>Costs!J83*J$6</f>
        <v>0</v>
      </c>
      <c r="K70" s="141">
        <f>Costs!K83*K$6</f>
        <v>0</v>
      </c>
      <c r="L70" s="141">
        <f>Costs!L83*L$6</f>
        <v>0</v>
      </c>
      <c r="M70" s="141">
        <f>Costs!M83*M$6</f>
        <v>0</v>
      </c>
      <c r="N70" s="141">
        <f>Costs!N83*N$6</f>
        <v>0</v>
      </c>
      <c r="O70" s="141">
        <f>Costs!O83*O$6</f>
        <v>0</v>
      </c>
      <c r="P70" s="141">
        <f>Costs!P83*P$6</f>
        <v>0</v>
      </c>
      <c r="Q70" s="141">
        <f>Costs!Q83*Q$6</f>
        <v>0</v>
      </c>
      <c r="R70" s="141">
        <f>Costs!R83*R$6</f>
        <v>0</v>
      </c>
      <c r="S70" s="141">
        <f>Costs!S83*S$6</f>
        <v>0</v>
      </c>
      <c r="T70" s="141">
        <f>Costs!T83*T$6</f>
        <v>0</v>
      </c>
      <c r="U70" s="141">
        <f>Costs!U83*U$6</f>
        <v>0</v>
      </c>
      <c r="V70" s="141">
        <f>Costs!V83*V$6</f>
        <v>0</v>
      </c>
      <c r="W70" s="141">
        <f>Costs!W83*W$6</f>
        <v>0</v>
      </c>
      <c r="X70" s="141">
        <f>Costs!X83*X$6</f>
        <v>0</v>
      </c>
      <c r="Y70" s="141">
        <f>Costs!Y83*Y$6</f>
        <v>0</v>
      </c>
      <c r="Z70" s="141">
        <f>Costs!Z83*Z$6</f>
        <v>0</v>
      </c>
      <c r="AA70" s="141">
        <f>Costs!AA83*AA$6</f>
        <v>0</v>
      </c>
      <c r="AB70" s="141">
        <f>Costs!AB83*AB$6</f>
        <v>0</v>
      </c>
      <c r="AC70" s="141">
        <f>Costs!AC83*AC$6</f>
        <v>0</v>
      </c>
      <c r="AD70" s="141">
        <f>Costs!AD83*AD$6</f>
        <v>0</v>
      </c>
      <c r="AE70" s="141">
        <f>Costs!AE83*AE$6</f>
        <v>0</v>
      </c>
      <c r="AF70" s="141">
        <f>Costs!AF83*AF$6</f>
        <v>0</v>
      </c>
      <c r="AG70" s="141">
        <f>Costs!AG83*AG$6</f>
        <v>0</v>
      </c>
    </row>
    <row r="71" spans="1:33" s="878" customFormat="1" ht="17.25" customHeight="1" outlineLevel="2">
      <c r="A71" s="861"/>
      <c r="B71" s="861"/>
      <c r="C71" s="1049" t="str">
        <f>Costs!C84</f>
        <v>Office Supplies</v>
      </c>
      <c r="I71" s="236">
        <f t="shared" si="9"/>
        <v>0</v>
      </c>
      <c r="J71" s="141">
        <f>Costs!J84*J$6</f>
        <v>0</v>
      </c>
      <c r="K71" s="141">
        <f>Costs!K84*K$6</f>
        <v>0</v>
      </c>
      <c r="L71" s="141">
        <f>Costs!L84*L$6</f>
        <v>0</v>
      </c>
      <c r="M71" s="141">
        <f>Costs!M84*M$6</f>
        <v>0</v>
      </c>
      <c r="N71" s="141">
        <f>Costs!N84*N$6</f>
        <v>0</v>
      </c>
      <c r="O71" s="141">
        <f>Costs!O84*O$6</f>
        <v>0</v>
      </c>
      <c r="P71" s="141">
        <f>Costs!P84*P$6</f>
        <v>0</v>
      </c>
      <c r="Q71" s="141">
        <f>Costs!Q84*Q$6</f>
        <v>0</v>
      </c>
      <c r="R71" s="141">
        <f>Costs!R84*R$6</f>
        <v>0</v>
      </c>
      <c r="S71" s="141">
        <f>Costs!S84*S$6</f>
        <v>0</v>
      </c>
      <c r="T71" s="141">
        <f>Costs!T84*T$6</f>
        <v>0</v>
      </c>
      <c r="U71" s="141">
        <f>Costs!U84*U$6</f>
        <v>0</v>
      </c>
      <c r="V71" s="141">
        <f>Costs!V84*V$6</f>
        <v>0</v>
      </c>
      <c r="W71" s="141">
        <f>Costs!W84*W$6</f>
        <v>0</v>
      </c>
      <c r="X71" s="141">
        <f>Costs!X84*X$6</f>
        <v>0</v>
      </c>
      <c r="Y71" s="141">
        <f>Costs!Y84*Y$6</f>
        <v>0</v>
      </c>
      <c r="Z71" s="141">
        <f>Costs!Z84*Z$6</f>
        <v>0</v>
      </c>
      <c r="AA71" s="141">
        <f>Costs!AA84*AA$6</f>
        <v>0</v>
      </c>
      <c r="AB71" s="141">
        <f>Costs!AB84*AB$6</f>
        <v>0</v>
      </c>
      <c r="AC71" s="141">
        <f>Costs!AC84*AC$6</f>
        <v>0</v>
      </c>
      <c r="AD71" s="141">
        <f>Costs!AD84*AD$6</f>
        <v>0</v>
      </c>
      <c r="AE71" s="141">
        <f>Costs!AE84*AE$6</f>
        <v>0</v>
      </c>
      <c r="AF71" s="141">
        <f>Costs!AF84*AF$6</f>
        <v>0</v>
      </c>
      <c r="AG71" s="141">
        <f>Costs!AG84*AG$6</f>
        <v>0</v>
      </c>
    </row>
    <row r="72" spans="1:33" s="878" customFormat="1" ht="17.25" customHeight="1" outlineLevel="2">
      <c r="A72" s="861"/>
      <c r="B72" s="861"/>
      <c r="C72" s="1049" t="str">
        <f>Costs!C85</f>
        <v>Travel &amp; Entertainment</v>
      </c>
      <c r="I72" s="236">
        <f t="shared" si="9"/>
        <v>0</v>
      </c>
      <c r="J72" s="141">
        <f>Costs!J85*J$6</f>
        <v>0</v>
      </c>
      <c r="K72" s="141">
        <f>Costs!K85*K$6</f>
        <v>0</v>
      </c>
      <c r="L72" s="141">
        <f>Costs!L85*L$6</f>
        <v>0</v>
      </c>
      <c r="M72" s="141">
        <f>Costs!M85*M$6</f>
        <v>0</v>
      </c>
      <c r="N72" s="141">
        <f>Costs!N85*N$6</f>
        <v>0</v>
      </c>
      <c r="O72" s="141">
        <f>Costs!O85*O$6</f>
        <v>0</v>
      </c>
      <c r="P72" s="141">
        <f>Costs!P85*P$6</f>
        <v>0</v>
      </c>
      <c r="Q72" s="141">
        <f>Costs!Q85*Q$6</f>
        <v>0</v>
      </c>
      <c r="R72" s="141">
        <f>Costs!R85*R$6</f>
        <v>0</v>
      </c>
      <c r="S72" s="141">
        <f>Costs!S85*S$6</f>
        <v>0</v>
      </c>
      <c r="T72" s="141">
        <f>Costs!T85*T$6</f>
        <v>0</v>
      </c>
      <c r="U72" s="141">
        <f>Costs!U85*U$6</f>
        <v>0</v>
      </c>
      <c r="V72" s="141">
        <f>Costs!V85*V$6</f>
        <v>0</v>
      </c>
      <c r="W72" s="141">
        <f>Costs!W85*W$6</f>
        <v>0</v>
      </c>
      <c r="X72" s="141">
        <f>Costs!X85*X$6</f>
        <v>0</v>
      </c>
      <c r="Y72" s="141">
        <f>Costs!Y85*Y$6</f>
        <v>0</v>
      </c>
      <c r="Z72" s="141">
        <f>Costs!Z85*Z$6</f>
        <v>0</v>
      </c>
      <c r="AA72" s="141">
        <f>Costs!AA85*AA$6</f>
        <v>0</v>
      </c>
      <c r="AB72" s="141">
        <f>Costs!AB85*AB$6</f>
        <v>0</v>
      </c>
      <c r="AC72" s="141">
        <f>Costs!AC85*AC$6</f>
        <v>0</v>
      </c>
      <c r="AD72" s="141">
        <f>Costs!AD85*AD$6</f>
        <v>0</v>
      </c>
      <c r="AE72" s="141">
        <f>Costs!AE85*AE$6</f>
        <v>0</v>
      </c>
      <c r="AF72" s="141">
        <f>Costs!AF85*AF$6</f>
        <v>0</v>
      </c>
      <c r="AG72" s="141">
        <f>Costs!AG85*AG$6</f>
        <v>0</v>
      </c>
    </row>
    <row r="73" spans="1:33" s="878" customFormat="1" ht="17.25" customHeight="1" outlineLevel="2">
      <c r="A73" s="861"/>
      <c r="B73" s="861"/>
      <c r="C73" s="1049" t="str">
        <f>Costs!C86</f>
        <v>Vehicle's costs</v>
      </c>
      <c r="I73" s="236">
        <f t="shared" si="9"/>
        <v>0</v>
      </c>
      <c r="J73" s="141">
        <f>Costs!J86*J$6</f>
        <v>0</v>
      </c>
      <c r="K73" s="141">
        <f>Costs!K86*K$6</f>
        <v>0</v>
      </c>
      <c r="L73" s="141">
        <f>Costs!L86*L$6</f>
        <v>0</v>
      </c>
      <c r="M73" s="141">
        <f>Costs!M86*M$6</f>
        <v>0</v>
      </c>
      <c r="N73" s="141">
        <f>Costs!N86*N$6</f>
        <v>0</v>
      </c>
      <c r="O73" s="141">
        <f>Costs!O86*O$6</f>
        <v>0</v>
      </c>
      <c r="P73" s="141">
        <f>Costs!P86*P$6</f>
        <v>0</v>
      </c>
      <c r="Q73" s="141">
        <f>Costs!Q86*Q$6</f>
        <v>0</v>
      </c>
      <c r="R73" s="141">
        <f>Costs!R86*R$6</f>
        <v>0</v>
      </c>
      <c r="S73" s="141">
        <f>Costs!S86*S$6</f>
        <v>0</v>
      </c>
      <c r="T73" s="141">
        <f>Costs!T86*T$6</f>
        <v>0</v>
      </c>
      <c r="U73" s="141">
        <f>Costs!U86*U$6</f>
        <v>0</v>
      </c>
      <c r="V73" s="141">
        <f>Costs!V86*V$6</f>
        <v>0</v>
      </c>
      <c r="W73" s="141">
        <f>Costs!W86*W$6</f>
        <v>0</v>
      </c>
      <c r="X73" s="141">
        <f>Costs!X86*X$6</f>
        <v>0</v>
      </c>
      <c r="Y73" s="141">
        <f>Costs!Y86*Y$6</f>
        <v>0</v>
      </c>
      <c r="Z73" s="141">
        <f>Costs!Z86*Z$6</f>
        <v>0</v>
      </c>
      <c r="AA73" s="141">
        <f>Costs!AA86*AA$6</f>
        <v>0</v>
      </c>
      <c r="AB73" s="141">
        <f>Costs!AB86*AB$6</f>
        <v>0</v>
      </c>
      <c r="AC73" s="141">
        <f>Costs!AC86*AC$6</f>
        <v>0</v>
      </c>
      <c r="AD73" s="141">
        <f>Costs!AD86*AD$6</f>
        <v>0</v>
      </c>
      <c r="AE73" s="141">
        <f>Costs!AE86*AE$6</f>
        <v>0</v>
      </c>
      <c r="AF73" s="141">
        <f>Costs!AF86*AF$6</f>
        <v>0</v>
      </c>
      <c r="AG73" s="141">
        <f>Costs!AG86*AG$6</f>
        <v>0</v>
      </c>
    </row>
    <row r="74" spans="1:33" s="878" customFormat="1" ht="17.25" customHeight="1" outlineLevel="2">
      <c r="A74" s="861"/>
      <c r="B74" s="861"/>
      <c r="C74" s="1049" t="str">
        <f>Costs!C87</f>
        <v>Establishment (Start-up costs)</v>
      </c>
      <c r="I74" s="236">
        <f t="shared" si="9"/>
        <v>0</v>
      </c>
      <c r="J74" s="141">
        <f>Costs!J87*J$6</f>
        <v>0</v>
      </c>
      <c r="K74" s="141">
        <f>Costs!K87*K$6</f>
        <v>0</v>
      </c>
      <c r="L74" s="141">
        <f>Costs!L87*L$6</f>
        <v>0</v>
      </c>
      <c r="M74" s="141">
        <f>Costs!M87*M$6</f>
        <v>0</v>
      </c>
      <c r="N74" s="141">
        <f>Costs!N87*N$6</f>
        <v>0</v>
      </c>
      <c r="O74" s="141">
        <f>Costs!O87*O$6</f>
        <v>0</v>
      </c>
      <c r="P74" s="141">
        <f>Costs!P87*P$6</f>
        <v>0</v>
      </c>
      <c r="Q74" s="141">
        <f>Costs!Q87*Q$6</f>
        <v>0</v>
      </c>
      <c r="R74" s="141">
        <f>Costs!R87*R$6</f>
        <v>0</v>
      </c>
      <c r="S74" s="141">
        <f>Costs!S87*S$6</f>
        <v>0</v>
      </c>
      <c r="T74" s="141">
        <f>Costs!T87*T$6</f>
        <v>0</v>
      </c>
      <c r="U74" s="141">
        <f>Costs!U87*U$6</f>
        <v>0</v>
      </c>
      <c r="V74" s="141">
        <f>Costs!V87*V$6</f>
        <v>0</v>
      </c>
      <c r="W74" s="141">
        <f>Costs!W87*W$6</f>
        <v>0</v>
      </c>
      <c r="X74" s="141">
        <f>Costs!X87*X$6</f>
        <v>0</v>
      </c>
      <c r="Y74" s="141">
        <f>Costs!Y87*Y$6</f>
        <v>0</v>
      </c>
      <c r="Z74" s="141">
        <f>Costs!Z87*Z$6</f>
        <v>0</v>
      </c>
      <c r="AA74" s="141">
        <f>Costs!AA87*AA$6</f>
        <v>0</v>
      </c>
      <c r="AB74" s="141">
        <f>Costs!AB87*AB$6</f>
        <v>0</v>
      </c>
      <c r="AC74" s="141">
        <f>Costs!AC87*AC$6</f>
        <v>0</v>
      </c>
      <c r="AD74" s="141">
        <f>Costs!AD87*AD$6</f>
        <v>0</v>
      </c>
      <c r="AE74" s="141">
        <f>Costs!AE87*AE$6</f>
        <v>0</v>
      </c>
      <c r="AF74" s="141">
        <f>Costs!AF87*AF$6</f>
        <v>0</v>
      </c>
      <c r="AG74" s="141">
        <f>Costs!AG87*AG$6</f>
        <v>0</v>
      </c>
    </row>
    <row r="75" spans="1:33" s="878" customFormat="1" ht="17.25" customHeight="1" outlineLevel="2">
      <c r="A75" s="861"/>
      <c r="B75" s="861"/>
      <c r="C75" s="1049" t="str">
        <f>Costs!C88</f>
        <v>Miscellaneous 01</v>
      </c>
      <c r="I75" s="236">
        <f t="shared" si="9"/>
        <v>0</v>
      </c>
      <c r="J75" s="141">
        <f>Costs!J88*J$6</f>
        <v>0</v>
      </c>
      <c r="K75" s="141">
        <f>Costs!K88*K$6</f>
        <v>0</v>
      </c>
      <c r="L75" s="141">
        <f>Costs!L88*L$6</f>
        <v>0</v>
      </c>
      <c r="M75" s="141">
        <f>Costs!M88*M$6</f>
        <v>0</v>
      </c>
      <c r="N75" s="141">
        <f>Costs!N88*N$6</f>
        <v>0</v>
      </c>
      <c r="O75" s="141">
        <f>Costs!O88*O$6</f>
        <v>0</v>
      </c>
      <c r="P75" s="141">
        <f>Costs!P88*P$6</f>
        <v>0</v>
      </c>
      <c r="Q75" s="141">
        <f>Costs!Q88*Q$6</f>
        <v>0</v>
      </c>
      <c r="R75" s="141">
        <f>Costs!R88*R$6</f>
        <v>0</v>
      </c>
      <c r="S75" s="141">
        <f>Costs!S88*S$6</f>
        <v>0</v>
      </c>
      <c r="T75" s="141">
        <f>Costs!T88*T$6</f>
        <v>0</v>
      </c>
      <c r="U75" s="141">
        <f>Costs!U88*U$6</f>
        <v>0</v>
      </c>
      <c r="V75" s="141">
        <f>Costs!V88*V$6</f>
        <v>0</v>
      </c>
      <c r="W75" s="141">
        <f>Costs!W88*W$6</f>
        <v>0</v>
      </c>
      <c r="X75" s="141">
        <f>Costs!X88*X$6</f>
        <v>0</v>
      </c>
      <c r="Y75" s="141">
        <f>Costs!Y88*Y$6</f>
        <v>0</v>
      </c>
      <c r="Z75" s="141">
        <f>Costs!Z88*Z$6</f>
        <v>0</v>
      </c>
      <c r="AA75" s="141">
        <f>Costs!AA88*AA$6</f>
        <v>0</v>
      </c>
      <c r="AB75" s="141">
        <f>Costs!AB88*AB$6</f>
        <v>0</v>
      </c>
      <c r="AC75" s="141">
        <f>Costs!AC88*AC$6</f>
        <v>0</v>
      </c>
      <c r="AD75" s="141">
        <f>Costs!AD88*AD$6</f>
        <v>0</v>
      </c>
      <c r="AE75" s="141">
        <f>Costs!AE88*AE$6</f>
        <v>0</v>
      </c>
      <c r="AF75" s="141">
        <f>Costs!AF88*AF$6</f>
        <v>0</v>
      </c>
      <c r="AG75" s="141">
        <f>Costs!AG88*AG$6</f>
        <v>0</v>
      </c>
    </row>
    <row r="76" spans="1:33" s="632" customFormat="1" ht="17.25" customHeight="1" outlineLevel="1">
      <c r="A76" s="861"/>
      <c r="B76" s="282"/>
      <c r="C76" s="120" t="s">
        <v>285</v>
      </c>
      <c r="F76" s="736" t="s">
        <v>204</v>
      </c>
      <c r="G76" s="70">
        <f ca="1">Costs!I91</f>
        <v>978964.75367187057</v>
      </c>
      <c r="H76" s="1040" t="s">
        <v>1018</v>
      </c>
      <c r="I76" s="236">
        <f t="shared" ca="1" si="9"/>
        <v>978964.75367187057</v>
      </c>
      <c r="J76" s="731">
        <f t="shared" ref="J76:AG76" ca="1" si="11">J28+J44+J60</f>
        <v>18928.628888888888</v>
      </c>
      <c r="K76" s="731">
        <f t="shared" ca="1" si="11"/>
        <v>21695.317777777778</v>
      </c>
      <c r="L76" s="731">
        <f t="shared" ca="1" si="11"/>
        <v>29220.745555555553</v>
      </c>
      <c r="M76" s="731">
        <f t="shared" ca="1" si="11"/>
        <v>25767.590611111111</v>
      </c>
      <c r="N76" s="731">
        <f t="shared" ca="1" si="11"/>
        <v>25945.016903888893</v>
      </c>
      <c r="O76" s="731">
        <f t="shared" ca="1" si="11"/>
        <v>30211.048879594447</v>
      </c>
      <c r="P76" s="731">
        <f t="shared" ca="1" si="11"/>
        <v>30089.744129190396</v>
      </c>
      <c r="Q76" s="731">
        <f t="shared" ca="1" si="11"/>
        <v>39091.572390247631</v>
      </c>
      <c r="R76" s="731">
        <f t="shared" ca="1" si="11"/>
        <v>39807.411417679381</v>
      </c>
      <c r="S76" s="731">
        <f t="shared" ca="1" si="11"/>
        <v>42355.749725299967</v>
      </c>
      <c r="T76" s="731">
        <f t="shared" ca="1" si="11"/>
        <v>42121.478387507836</v>
      </c>
      <c r="U76" s="731">
        <f t="shared" ca="1" si="11"/>
        <v>45811.590666783675</v>
      </c>
      <c r="V76" s="731">
        <f t="shared" ca="1" si="11"/>
        <v>44848.019834714425</v>
      </c>
      <c r="W76" s="731">
        <f t="shared" ca="1" si="11"/>
        <v>50606.705871554368</v>
      </c>
      <c r="X76" s="731">
        <f t="shared" ca="1" si="11"/>
        <v>53136.690186288877</v>
      </c>
      <c r="Y76" s="731">
        <f t="shared" ca="1" si="11"/>
        <v>55277.650288977326</v>
      </c>
      <c r="Z76" s="731">
        <f t="shared" ca="1" si="11"/>
        <v>61371.502615691672</v>
      </c>
      <c r="AA76" s="731">
        <f t="shared" ca="1" si="11"/>
        <v>57687.757622748599</v>
      </c>
      <c r="AB76" s="731">
        <f t="shared" ca="1" si="11"/>
        <v>64121.293607104693</v>
      </c>
      <c r="AC76" s="731">
        <f t="shared" ca="1" si="11"/>
        <v>65626.003197346668</v>
      </c>
      <c r="AD76" s="731">
        <f t="shared" ca="1" si="11"/>
        <v>64712.274232002368</v>
      </c>
      <c r="AE76" s="731">
        <f t="shared" ca="1" si="11"/>
        <v>70530.960881916093</v>
      </c>
      <c r="AF76" s="731">
        <f t="shared" ca="1" si="11"/>
        <v>0</v>
      </c>
      <c r="AG76" s="731">
        <f t="shared" ca="1" si="11"/>
        <v>0</v>
      </c>
    </row>
    <row r="77" spans="1:33" ht="17.25" customHeight="1" outlineLevel="1">
      <c r="A77" s="861"/>
      <c r="B77" s="235"/>
      <c r="C77" s="131" t="s">
        <v>276</v>
      </c>
      <c r="D77" s="132"/>
      <c r="E77" s="132"/>
      <c r="F77" s="132"/>
      <c r="G77" s="132"/>
      <c r="H77" s="132"/>
      <c r="I77" s="236">
        <f t="shared" ca="1" si="9"/>
        <v>287907.01032787649</v>
      </c>
      <c r="J77" s="387">
        <f t="shared" ref="J77:AG77" ca="1" si="12">J25-J76</f>
        <v>-8899.2588888888895</v>
      </c>
      <c r="K77" s="387">
        <f t="shared" ca="1" si="12"/>
        <v>-7974.9477777777793</v>
      </c>
      <c r="L77" s="387">
        <f t="shared" ca="1" si="12"/>
        <v>-11349.125555555554</v>
      </c>
      <c r="M77" s="387">
        <f t="shared" ca="1" si="12"/>
        <v>-4400.9581111111111</v>
      </c>
      <c r="N77" s="387">
        <f t="shared" ca="1" si="12"/>
        <v>1282.1665961111066</v>
      </c>
      <c r="O77" s="387">
        <f t="shared" ca="1" si="12"/>
        <v>1819.7124004055549</v>
      </c>
      <c r="P77" s="387">
        <f t="shared" ca="1" si="12"/>
        <v>5582.6015710096108</v>
      </c>
      <c r="Q77" s="387">
        <f t="shared" ca="1" si="12"/>
        <v>4169.3714328003698</v>
      </c>
      <c r="R77" s="387">
        <f t="shared" ca="1" si="12"/>
        <v>9393.9509962905431</v>
      </c>
      <c r="S77" s="387">
        <f t="shared" ca="1" si="12"/>
        <v>8070.2047006070134</v>
      </c>
      <c r="T77" s="387">
        <f t="shared" ca="1" si="12"/>
        <v>17091.309550212041</v>
      </c>
      <c r="U77" s="387">
        <f t="shared" ca="1" si="12"/>
        <v>15570.567222461585</v>
      </c>
      <c r="V77" s="387">
        <f t="shared" ca="1" si="12"/>
        <v>16031.615166736206</v>
      </c>
      <c r="W77" s="387">
        <f t="shared" ca="1" si="12"/>
        <v>19622.992528542862</v>
      </c>
      <c r="X77" s="387">
        <f t="shared" ca="1" si="12"/>
        <v>22070.942072871941</v>
      </c>
      <c r="Y77" s="387">
        <f t="shared" ca="1" si="12"/>
        <v>18754.208321092039</v>
      </c>
      <c r="Z77" s="387">
        <f t="shared" ca="1" si="12"/>
        <v>23002.174605260268</v>
      </c>
      <c r="AA77" s="387">
        <f t="shared" ca="1" si="12"/>
        <v>31680.565588753045</v>
      </c>
      <c r="AB77" s="387">
        <f t="shared" ca="1" si="12"/>
        <v>23173.515737979782</v>
      </c>
      <c r="AC77" s="387">
        <f t="shared" ca="1" si="12"/>
        <v>33261.809917603445</v>
      </c>
      <c r="AD77" s="387">
        <f t="shared" ca="1" si="12"/>
        <v>39334.148373023578</v>
      </c>
      <c r="AE77" s="387">
        <f t="shared" ca="1" si="12"/>
        <v>30619.443879448852</v>
      </c>
      <c r="AF77" s="387">
        <f t="shared" ca="1" si="12"/>
        <v>0</v>
      </c>
      <c r="AG77" s="387">
        <f t="shared" ca="1" si="12"/>
        <v>0</v>
      </c>
    </row>
    <row r="78" spans="1:33" ht="17.25" customHeight="1" outlineLevel="1">
      <c r="A78" s="861"/>
      <c r="B78" s="235"/>
      <c r="C78" s="116" t="s">
        <v>279</v>
      </c>
      <c r="D78" s="680"/>
      <c r="E78" s="680"/>
      <c r="F78" s="680"/>
      <c r="G78" s="253"/>
      <c r="I78" s="236">
        <f t="shared" si="9"/>
        <v>2750</v>
      </c>
      <c r="J78" s="141">
        <f>(Inputs!J333+Capex!J166)*J$6</f>
        <v>0</v>
      </c>
      <c r="K78" s="141">
        <f>(Inputs!K333+Capex!K166)*K$6</f>
        <v>0</v>
      </c>
      <c r="L78" s="141">
        <f>(Inputs!L333+Capex!L166)*L$6</f>
        <v>2750</v>
      </c>
      <c r="M78" s="141">
        <f>(Inputs!M333+Capex!M166)*M$6</f>
        <v>0</v>
      </c>
      <c r="N78" s="141">
        <f>(Inputs!N333+Capex!N166)*N$6</f>
        <v>0</v>
      </c>
      <c r="O78" s="141">
        <f>(Inputs!O333+Capex!O166)*O$6</f>
        <v>0</v>
      </c>
      <c r="P78" s="141">
        <f>(Inputs!P333+Capex!P166)*P$6</f>
        <v>0</v>
      </c>
      <c r="Q78" s="141">
        <f>(Inputs!Q333+Capex!Q166)*Q$6</f>
        <v>0</v>
      </c>
      <c r="R78" s="141">
        <f>(Inputs!R333+Capex!R166)*R$6</f>
        <v>0</v>
      </c>
      <c r="S78" s="141">
        <f>(Inputs!S333+Capex!S166)*S$6</f>
        <v>0</v>
      </c>
      <c r="T78" s="141">
        <f>(Inputs!T333+Capex!T166)*T$6</f>
        <v>0</v>
      </c>
      <c r="U78" s="141">
        <f>(Inputs!U333+Capex!U166)*U$6</f>
        <v>0</v>
      </c>
      <c r="V78" s="141">
        <f>(Inputs!V333+Capex!V166)*V$6</f>
        <v>0</v>
      </c>
      <c r="W78" s="141">
        <f>(Inputs!W333+Capex!W166)*W$6</f>
        <v>0</v>
      </c>
      <c r="X78" s="141">
        <f>(Inputs!X333+Capex!X166)*X$6</f>
        <v>0</v>
      </c>
      <c r="Y78" s="141">
        <f>(Inputs!Y333+Capex!Y166)*Y$6</f>
        <v>0</v>
      </c>
      <c r="Z78" s="141">
        <f>(Inputs!Z333+Capex!Z166)*Z$6</f>
        <v>0</v>
      </c>
      <c r="AA78" s="141">
        <f>(Inputs!AA333+Capex!AA166)*AA$6</f>
        <v>0</v>
      </c>
      <c r="AB78" s="141">
        <f>(Inputs!AB333+Capex!AB166)*AB$6</f>
        <v>0</v>
      </c>
      <c r="AC78" s="141">
        <f>(Inputs!AC333+Capex!AC166)*AC$6</f>
        <v>0</v>
      </c>
      <c r="AD78" s="141">
        <f>(Inputs!AD333+Capex!AD166)*AD$6</f>
        <v>0</v>
      </c>
      <c r="AE78" s="141">
        <f>(Inputs!AE333+Capex!AE166)*AE$6</f>
        <v>0</v>
      </c>
      <c r="AF78" s="141">
        <f>(Inputs!AF333+Capex!AF166)*AF$6</f>
        <v>0</v>
      </c>
      <c r="AG78" s="141">
        <f>(Inputs!AG333+Capex!AG166)*AG$6</f>
        <v>0</v>
      </c>
    </row>
    <row r="79" spans="1:33" s="632" customFormat="1" ht="17.25" customHeight="1" outlineLevel="1">
      <c r="A79" s="861"/>
      <c r="B79" s="282"/>
      <c r="C79" s="116" t="s">
        <v>208</v>
      </c>
      <c r="D79" s="878"/>
      <c r="E79" s="878"/>
      <c r="G79" s="253"/>
      <c r="I79" s="236">
        <f t="shared" ca="1" si="9"/>
        <v>16796.403501327579</v>
      </c>
      <c r="J79" s="141">
        <f ca="1">'Offering 1'!J32+'Offering 2'!J32+'Offering 3'!J32+'Offering 4'!J32</f>
        <v>110.10000000000001</v>
      </c>
      <c r="K79" s="141">
        <f ca="1">'Offering 1'!K32+'Offering 2'!K32+'Offering 3'!K32+'Offering 4'!K32</f>
        <v>162.6</v>
      </c>
      <c r="L79" s="141">
        <f ca="1">'Offering 1'!L32+'Offering 2'!L32+'Offering 3'!L32+'Offering 4'!L32</f>
        <v>218.85</v>
      </c>
      <c r="M79" s="141">
        <f ca="1">'Offering 1'!M32+'Offering 2'!M32+'Offering 3'!M32+'Offering 4'!M32</f>
        <v>280.14</v>
      </c>
      <c r="N79" s="141">
        <f ca="1">'Offering 1'!N32+'Offering 2'!N32+'Offering 3'!N32+'Offering 4'!N32</f>
        <v>341.12</v>
      </c>
      <c r="O79" s="141">
        <f ca="1">'Offering 1'!O32+'Offering 2'!O32+'Offering 3'!O32+'Offering 4'!O32</f>
        <v>405.71520000000004</v>
      </c>
      <c r="P79" s="141">
        <f ca="1">'Offering 1'!P32+'Offering 2'!P32+'Offering 3'!P32+'Offering 4'!P32</f>
        <v>477.43140800000009</v>
      </c>
      <c r="Q79" s="141">
        <f ca="1">'Offering 1'!Q32+'Offering 2'!Q32+'Offering 3'!Q32+'Offering 4'!Q32</f>
        <v>550.79357632000006</v>
      </c>
      <c r="R79" s="141">
        <f ca="1">'Offering 1'!R32+'Offering 2'!R32+'Offering 3'!R32+'Offering 4'!R32</f>
        <v>627.82439137280005</v>
      </c>
      <c r="S79" s="141">
        <f ca="1">'Offering 1'!S32+'Offering 2'!S32+'Offering 3'!S32+'Offering 4'!S32</f>
        <v>686.56957102771207</v>
      </c>
      <c r="T79" s="141">
        <f ca="1">'Offering 1'!T32+'Offering 2'!T32+'Offering 3'!T32+'Offering 4'!T32</f>
        <v>758.10306058882065</v>
      </c>
      <c r="U79" s="141">
        <f ca="1">'Offering 1'!U32+'Offering 2'!U32+'Offering 3'!U32+'Offering 4'!U32</f>
        <v>795.23986652024541</v>
      </c>
      <c r="V79" s="141">
        <f ca="1">'Offering 1'!V32+'Offering 2'!V32+'Offering 3'!V32+'Offering 4'!V32</f>
        <v>850.62621053605528</v>
      </c>
      <c r="W79" s="141">
        <f ca="1">'Offering 1'!W32+'Offering 2'!W32+'Offering 3'!W32+'Offering 4'!W32</f>
        <v>915.80511543289765</v>
      </c>
      <c r="X79" s="141">
        <f ca="1">'Offering 1'!X32+'Offering 2'!X32+'Offering 3'!X32+'Offering 4'!X32</f>
        <v>981.83505303761342</v>
      </c>
      <c r="Y79" s="141">
        <f ca="1">'Offering 1'!Y32+'Offering 2'!Y32+'Offering 3'!Y32+'Offering 4'!Y32</f>
        <v>1038.647061855168</v>
      </c>
      <c r="Z79" s="141">
        <f ca="1">'Offering 1'!Z32+'Offering 2'!Z32+'Offering 3'!Z32+'Offering 4'!Z32</f>
        <v>1103.7095478404287</v>
      </c>
      <c r="AA79" s="141">
        <f ca="1">'Offering 1'!AA32+'Offering 2'!AA32+'Offering 3'!AA32+'Offering 4'!AA32</f>
        <v>1170.0398794142197</v>
      </c>
      <c r="AB79" s="141">
        <f ca="1">'Offering 1'!AB32+'Offering 2'!AB32+'Offering 3'!AB32+'Offering 4'!AB32</f>
        <v>1229.8100790067244</v>
      </c>
      <c r="AC79" s="141">
        <f ca="1">'Offering 1'!AC32+'Offering 2'!AC32+'Offering 3'!AC32+'Offering 4'!AC32</f>
        <v>1296.7227897956568</v>
      </c>
      <c r="AD79" s="141">
        <f ca="1">'Offering 1'!AD32+'Offering 2'!AD32+'Offering 3'!AD32+'Offering 4'!AD32</f>
        <v>1365.2976720894781</v>
      </c>
      <c r="AE79" s="141">
        <f ca="1">'Offering 1'!AE32+'Offering 2'!AE32+'Offering 3'!AE32+'Offering 4'!AE32</f>
        <v>1429.4230184897588</v>
      </c>
      <c r="AF79" s="141">
        <f ca="1">'Offering 1'!AF32+'Offering 2'!AF32+'Offering 3'!AF32+'Offering 4'!AF32</f>
        <v>0</v>
      </c>
      <c r="AG79" s="141">
        <f ca="1">'Offering 1'!AG32+'Offering 2'!AG32+'Offering 3'!AG32+'Offering 4'!AG32</f>
        <v>0</v>
      </c>
    </row>
    <row r="80" spans="1:33" s="680" customFormat="1" ht="17.25" customHeight="1" outlineLevel="1">
      <c r="A80" s="861"/>
      <c r="B80" s="282"/>
      <c r="C80" s="680" t="s">
        <v>403</v>
      </c>
      <c r="G80" s="253"/>
      <c r="I80" s="236">
        <f t="shared" si="9"/>
        <v>4500</v>
      </c>
      <c r="J80" s="141">
        <f>Capex!J180</f>
        <v>0</v>
      </c>
      <c r="K80" s="141">
        <f>Capex!K180</f>
        <v>0</v>
      </c>
      <c r="L80" s="141">
        <f>Capex!L180</f>
        <v>0</v>
      </c>
      <c r="M80" s="141">
        <f>Capex!M180</f>
        <v>0</v>
      </c>
      <c r="N80" s="141">
        <f>Capex!N180</f>
        <v>0</v>
      </c>
      <c r="O80" s="141">
        <f>Capex!O180</f>
        <v>0</v>
      </c>
      <c r="P80" s="141">
        <f>Capex!P180</f>
        <v>0</v>
      </c>
      <c r="Q80" s="141">
        <f>Capex!Q180</f>
        <v>0</v>
      </c>
      <c r="R80" s="141">
        <f>Capex!R180</f>
        <v>0</v>
      </c>
      <c r="S80" s="141">
        <f>Capex!S180</f>
        <v>0</v>
      </c>
      <c r="T80" s="141">
        <f>Capex!T180</f>
        <v>0</v>
      </c>
      <c r="U80" s="141">
        <f>Capex!U180</f>
        <v>0</v>
      </c>
      <c r="V80" s="141">
        <f>Capex!V180</f>
        <v>0</v>
      </c>
      <c r="W80" s="141">
        <f>Capex!W180</f>
        <v>0</v>
      </c>
      <c r="X80" s="141">
        <f>Capex!X180</f>
        <v>0</v>
      </c>
      <c r="Y80" s="141">
        <f>Capex!Y180</f>
        <v>0</v>
      </c>
      <c r="Z80" s="141">
        <f>Capex!Z180</f>
        <v>4500</v>
      </c>
      <c r="AA80" s="141">
        <f>Capex!AA180</f>
        <v>0</v>
      </c>
      <c r="AB80" s="141">
        <f>Capex!AB180</f>
        <v>0</v>
      </c>
      <c r="AC80" s="141">
        <f>Capex!AC180</f>
        <v>0</v>
      </c>
      <c r="AD80" s="141">
        <f>Capex!AD180</f>
        <v>0</v>
      </c>
      <c r="AE80" s="141">
        <f>Capex!AE180</f>
        <v>0</v>
      </c>
      <c r="AF80" s="141">
        <f>Capex!AF180</f>
        <v>0</v>
      </c>
      <c r="AG80" s="141">
        <f>Capex!AG180</f>
        <v>0</v>
      </c>
    </row>
    <row r="81" spans="1:33" s="632" customFormat="1" ht="17.25" customHeight="1" outlineLevel="1">
      <c r="A81" s="861"/>
      <c r="B81" s="282"/>
      <c r="C81" s="632" t="str">
        <f>CHOOSE(language,"Depreciation &amp; Amortisation","Depreciation &amp; Amortization")</f>
        <v>Depreciation &amp; Amortization</v>
      </c>
      <c r="G81" s="253"/>
      <c r="I81" s="236">
        <f t="shared" si="9"/>
        <v>37012.420634920622</v>
      </c>
      <c r="J81" s="141">
        <f>Capex!J164</f>
        <v>59.523809523809518</v>
      </c>
      <c r="K81" s="141">
        <f>Capex!K164</f>
        <v>178.57142857142856</v>
      </c>
      <c r="L81" s="141">
        <f>Capex!L164</f>
        <v>178.57142857142856</v>
      </c>
      <c r="M81" s="141">
        <f>Capex!M164</f>
        <v>706.34920634920627</v>
      </c>
      <c r="N81" s="141">
        <f>Capex!N164</f>
        <v>706.34920634920627</v>
      </c>
      <c r="O81" s="141">
        <f>Capex!O164</f>
        <v>706.34920634920627</v>
      </c>
      <c r="P81" s="141">
        <f>Capex!P164</f>
        <v>706.34920634920627</v>
      </c>
      <c r="Q81" s="141">
        <f>Capex!Q164</f>
        <v>1162.6984126984125</v>
      </c>
      <c r="R81" s="141">
        <f>Capex!R164</f>
        <v>1903.9484126984125</v>
      </c>
      <c r="S81" s="141">
        <f>Capex!S164</f>
        <v>1903.9484126984125</v>
      </c>
      <c r="T81" s="141">
        <f>Capex!T164</f>
        <v>1903.9484126984125</v>
      </c>
      <c r="U81" s="141">
        <f>Capex!U164</f>
        <v>1903.9484126984125</v>
      </c>
      <c r="V81" s="141">
        <f>Capex!V164</f>
        <v>1903.9484126984125</v>
      </c>
      <c r="W81" s="141">
        <f>Capex!W164</f>
        <v>2598.3928571428569</v>
      </c>
      <c r="X81" s="141">
        <f>Capex!X164</f>
        <v>2598.3928571428569</v>
      </c>
      <c r="Y81" s="141">
        <f>Capex!Y164</f>
        <v>2598.3928571428569</v>
      </c>
      <c r="Z81" s="141">
        <f>Capex!Z164</f>
        <v>2598.3928571428569</v>
      </c>
      <c r="AA81" s="141">
        <f>Capex!AA164</f>
        <v>2538.8690476190477</v>
      </c>
      <c r="AB81" s="141">
        <f>Capex!AB164</f>
        <v>2538.8690476190477</v>
      </c>
      <c r="AC81" s="141">
        <f>Capex!AC164</f>
        <v>2538.8690476190477</v>
      </c>
      <c r="AD81" s="141">
        <f>Capex!AD164</f>
        <v>2538.8690476190477</v>
      </c>
      <c r="AE81" s="141">
        <f>Capex!AE164</f>
        <v>2538.8690476190477</v>
      </c>
      <c r="AF81" s="141">
        <f>Capex!AF164</f>
        <v>0</v>
      </c>
      <c r="AG81" s="141">
        <f>Capex!AG164</f>
        <v>0</v>
      </c>
    </row>
    <row r="82" spans="1:33" ht="17.25" customHeight="1" outlineLevel="1">
      <c r="A82" s="861"/>
      <c r="B82" s="235"/>
      <c r="C82" s="131" t="s">
        <v>277</v>
      </c>
      <c r="D82" s="132"/>
      <c r="E82" s="132"/>
      <c r="F82" s="132"/>
      <c r="G82" s="132"/>
      <c r="H82" s="132"/>
      <c r="I82" s="236">
        <f t="shared" ca="1" si="9"/>
        <v>241348.18619162828</v>
      </c>
      <c r="J82" s="387">
        <f t="shared" ref="J82:AG82" ca="1" si="13">J77+J78-J79+J80-J81</f>
        <v>-9068.882698412699</v>
      </c>
      <c r="K82" s="387">
        <f t="shared" ca="1" si="13"/>
        <v>-8316.119206349209</v>
      </c>
      <c r="L82" s="387">
        <f t="shared" ca="1" si="13"/>
        <v>-8996.5469841269842</v>
      </c>
      <c r="M82" s="387">
        <f t="shared" ca="1" si="13"/>
        <v>-5387.4473174603172</v>
      </c>
      <c r="N82" s="387">
        <f t="shared" ca="1" si="13"/>
        <v>234.69738976190035</v>
      </c>
      <c r="O82" s="387">
        <f t="shared" ca="1" si="13"/>
        <v>707.64799405634858</v>
      </c>
      <c r="P82" s="387">
        <f t="shared" ca="1" si="13"/>
        <v>4398.8209566604037</v>
      </c>
      <c r="Q82" s="387">
        <f t="shared" ca="1" si="13"/>
        <v>2455.879443781957</v>
      </c>
      <c r="R82" s="387">
        <f t="shared" ca="1" si="13"/>
        <v>6862.1781922193304</v>
      </c>
      <c r="S82" s="387">
        <f t="shared" ca="1" si="13"/>
        <v>5479.6867168808885</v>
      </c>
      <c r="T82" s="387">
        <f t="shared" ca="1" si="13"/>
        <v>14429.258076924809</v>
      </c>
      <c r="U82" s="387">
        <f t="shared" ca="1" si="13"/>
        <v>12871.378943242926</v>
      </c>
      <c r="V82" s="387">
        <f t="shared" ca="1" si="13"/>
        <v>13277.040543501738</v>
      </c>
      <c r="W82" s="387">
        <f t="shared" ca="1" si="13"/>
        <v>16108.794555967108</v>
      </c>
      <c r="X82" s="387">
        <f t="shared" ca="1" si="13"/>
        <v>18490.714162691474</v>
      </c>
      <c r="Y82" s="387">
        <f t="shared" ca="1" si="13"/>
        <v>15117.168402094014</v>
      </c>
      <c r="Z82" s="387">
        <f t="shared" ca="1" si="13"/>
        <v>23800.072200276983</v>
      </c>
      <c r="AA82" s="387">
        <f t="shared" ca="1" si="13"/>
        <v>27971.656661719775</v>
      </c>
      <c r="AB82" s="387">
        <f t="shared" ca="1" si="13"/>
        <v>19404.836611354011</v>
      </c>
      <c r="AC82" s="387">
        <f t="shared" ca="1" si="13"/>
        <v>29426.218080188737</v>
      </c>
      <c r="AD82" s="387">
        <f t="shared" ca="1" si="13"/>
        <v>35429.981653315052</v>
      </c>
      <c r="AE82" s="387">
        <f t="shared" ca="1" si="13"/>
        <v>26651.151813340046</v>
      </c>
      <c r="AF82" s="387">
        <f t="shared" ca="1" si="13"/>
        <v>0</v>
      </c>
      <c r="AG82" s="387">
        <f t="shared" ca="1" si="13"/>
        <v>0</v>
      </c>
    </row>
    <row r="83" spans="1:33" ht="17.25" customHeight="1" outlineLevel="1">
      <c r="A83" s="861"/>
      <c r="B83" s="235"/>
      <c r="C83" s="116" t="s">
        <v>331</v>
      </c>
      <c r="D83" s="632"/>
      <c r="E83" s="632"/>
      <c r="I83" s="236">
        <f t="shared" ca="1" si="9"/>
        <v>15360.711552091438</v>
      </c>
      <c r="J83" s="141">
        <f>-(Financing!J28+Financing!J29++Financing!J31-Capex!J169)*J6</f>
        <v>1062.5</v>
      </c>
      <c r="K83" s="141">
        <f ca="1">-(Financing!K28+Financing!K29++Financing!K31-Capex!K169)*K6</f>
        <v>62.5</v>
      </c>
      <c r="L83" s="141">
        <f ca="1">-(Financing!L28+Financing!L29++Financing!L31-Capex!L169)*L6</f>
        <v>62.5</v>
      </c>
      <c r="M83" s="141">
        <f ca="1">-(Financing!M28+Financing!M29++Financing!M31-Capex!M169)*M6</f>
        <v>62.5</v>
      </c>
      <c r="N83" s="141">
        <f ca="1">-(Financing!N28+Financing!N29++Financing!N31-Capex!N169)*N6</f>
        <v>62.5</v>
      </c>
      <c r="O83" s="141">
        <f ca="1">-(Financing!O28+Financing!O29++Financing!O31-Capex!O169)*O6</f>
        <v>62.5</v>
      </c>
      <c r="P83" s="141">
        <f ca="1">-(Financing!P28+Financing!P29++Financing!P31-Capex!P169)*P6</f>
        <v>291.66666666666669</v>
      </c>
      <c r="Q83" s="141">
        <f ca="1">-(Financing!Q28+Financing!Q29++Financing!Q31-Capex!Q169)*Q6</f>
        <v>291.66666666666669</v>
      </c>
      <c r="R83" s="141">
        <f ca="1">-(Financing!R28+Financing!R29++Financing!R31-Capex!R169)*R6</f>
        <v>658.33333333333337</v>
      </c>
      <c r="S83" s="141">
        <f ca="1">-(Financing!S28+Financing!S29++Financing!S31-Capex!S169)*S6</f>
        <v>1109.8887650796269</v>
      </c>
      <c r="T83" s="141">
        <f ca="1">-(Financing!T28+Financing!T29++Financing!T31-Capex!T169)*T6</f>
        <v>920.83333333333337</v>
      </c>
      <c r="U83" s="141">
        <f ca="1">-(Financing!U28+Financing!U29++Financing!U31-Capex!U169)*U6</f>
        <v>920.83333333333337</v>
      </c>
      <c r="V83" s="141">
        <f ca="1">-(Financing!V28+Financing!V29++Financing!V31-Capex!V169)*V6</f>
        <v>917.5</v>
      </c>
      <c r="W83" s="141">
        <f ca="1">-(Financing!W28+Financing!W29++Financing!W31-Capex!W169)*W6</f>
        <v>893.33333333333337</v>
      </c>
      <c r="X83" s="141">
        <f ca="1">-(Financing!X28+Financing!X29++Financing!X31-Capex!X169)*X6</f>
        <v>890.00000000000011</v>
      </c>
      <c r="Y83" s="141">
        <f ca="1">-(Financing!Y28+Financing!Y29++Financing!Y31-Capex!Y169)*Y6</f>
        <v>1491.4600702727591</v>
      </c>
      <c r="Z83" s="141">
        <f ca="1">-(Financing!Z28+Financing!Z29++Financing!Z31-Capex!Z169)*Z6</f>
        <v>883.33333333333337</v>
      </c>
      <c r="AA83" s="141">
        <f ca="1">-(Financing!AA28+Financing!AA29++Financing!AA31-Capex!AA169)*AA6</f>
        <v>880.00000000000011</v>
      </c>
      <c r="AB83" s="141">
        <f ca="1">-(Financing!AB28+Financing!AB29++Financing!AB31-Capex!AB169)*AB6</f>
        <v>1083.1041862126287</v>
      </c>
      <c r="AC83" s="141">
        <f ca="1">-(Financing!AC28+Financing!AC29++Financing!AC31-Capex!AC169)*AC6</f>
        <v>915</v>
      </c>
      <c r="AD83" s="141">
        <f ca="1">-(Financing!AD28+Financing!AD29++Financing!AD31-Capex!AD169)*AD6</f>
        <v>874.16666666666674</v>
      </c>
      <c r="AE83" s="141">
        <f ca="1">-(Financing!AE28+Financing!AE29++Financing!AE31-Capex!AE169)*AE6</f>
        <v>964.59186385975659</v>
      </c>
      <c r="AF83" s="141">
        <f ca="1">-(Financing!AF28+Financing!AF29++Financing!AF31-Capex!AF169)*AF6</f>
        <v>0</v>
      </c>
      <c r="AG83" s="141">
        <f ca="1">-(Financing!AG28+Financing!AG29++Financing!AG31-Capex!AG169)*AG6</f>
        <v>0</v>
      </c>
    </row>
    <row r="84" spans="1:33" s="632" customFormat="1" ht="17.25" customHeight="1" outlineLevel="1">
      <c r="A84" s="861"/>
      <c r="B84" s="282"/>
      <c r="C84" s="632" t="s">
        <v>280</v>
      </c>
      <c r="I84" s="236">
        <f t="shared" ca="1" si="9"/>
        <v>1613.9309957741468</v>
      </c>
      <c r="J84" s="141">
        <f>Financing!J15</f>
        <v>0</v>
      </c>
      <c r="K84" s="141">
        <f ca="1">Financing!K15</f>
        <v>0</v>
      </c>
      <c r="L84" s="141">
        <f ca="1">Financing!L15</f>
        <v>0</v>
      </c>
      <c r="M84" s="141">
        <f ca="1">Financing!M15</f>
        <v>112.76995380952383</v>
      </c>
      <c r="N84" s="141">
        <f ca="1">Financing!N15</f>
        <v>135.66872078825526</v>
      </c>
      <c r="O84" s="141">
        <f ca="1">Financing!O15</f>
        <v>87.893928030075188</v>
      </c>
      <c r="P84" s="141">
        <f ca="1">Financing!P15</f>
        <v>37.093430759216716</v>
      </c>
      <c r="Q84" s="141">
        <f ca="1">Financing!Q15</f>
        <v>97.140572712524701</v>
      </c>
      <c r="R84" s="141">
        <f ca="1">Financing!R15</f>
        <v>19.480965519885757</v>
      </c>
      <c r="S84" s="141">
        <f ca="1">Financing!S15</f>
        <v>0</v>
      </c>
      <c r="T84" s="141">
        <f ca="1">Financing!T15</f>
        <v>184.14425725274884</v>
      </c>
      <c r="U84" s="141">
        <f ca="1">Financing!U15</f>
        <v>99.52161929653488</v>
      </c>
      <c r="V84" s="141">
        <f ca="1">Financing!V15</f>
        <v>12.403248372971339</v>
      </c>
      <c r="W84" s="141">
        <f ca="1">Financing!W15</f>
        <v>155.22670974795466</v>
      </c>
      <c r="X84" s="141">
        <f ca="1">Financing!X15</f>
        <v>28.449633562132675</v>
      </c>
      <c r="Y84" s="141">
        <f ca="1">Financing!Y15</f>
        <v>0</v>
      </c>
      <c r="Z84" s="141">
        <f ca="1">Financing!Z15</f>
        <v>181.3017019757622</v>
      </c>
      <c r="AA84" s="141">
        <f ca="1">Financing!AA15</f>
        <v>30.524829941458776</v>
      </c>
      <c r="AB84" s="141">
        <f ca="1">Financing!AB15</f>
        <v>0</v>
      </c>
      <c r="AC84" s="141">
        <f ca="1">Financing!AC15</f>
        <v>312.50694783579138</v>
      </c>
      <c r="AD84" s="141">
        <f ca="1">Financing!AD15</f>
        <v>119.80447616931055</v>
      </c>
      <c r="AE84" s="141">
        <f ca="1">Financing!AE15</f>
        <v>0</v>
      </c>
      <c r="AF84" s="141">
        <f ca="1">Financing!AF15</f>
        <v>0</v>
      </c>
      <c r="AG84" s="141">
        <f ca="1">Financing!AG15</f>
        <v>0</v>
      </c>
    </row>
    <row r="85" spans="1:33" s="632" customFormat="1" ht="17.25" customHeight="1" outlineLevel="1">
      <c r="A85" s="861"/>
      <c r="B85" s="282"/>
      <c r="C85" s="632" t="s">
        <v>281</v>
      </c>
      <c r="I85" s="236">
        <f t="shared" si="9"/>
        <v>6750</v>
      </c>
      <c r="J85" s="141">
        <f>(Inputs!J334+Inputs!J340)*J$6</f>
        <v>0</v>
      </c>
      <c r="K85" s="141">
        <f>(Inputs!K334+Inputs!K340)*K$6</f>
        <v>0</v>
      </c>
      <c r="L85" s="141">
        <f>(Inputs!L334+Inputs!L340)*L$6</f>
        <v>0</v>
      </c>
      <c r="M85" s="141">
        <f>(Inputs!M334+Inputs!M340)*M$6</f>
        <v>0</v>
      </c>
      <c r="N85" s="141">
        <f>(Inputs!N334+Inputs!N340)*N$6</f>
        <v>0</v>
      </c>
      <c r="O85" s="141">
        <f>(Inputs!O334+Inputs!O340)*O$6</f>
        <v>6750</v>
      </c>
      <c r="P85" s="141">
        <f>(Inputs!P334+Inputs!P340)*P$6</f>
        <v>0</v>
      </c>
      <c r="Q85" s="141">
        <f>(Inputs!Q334+Inputs!Q340)*Q$6</f>
        <v>0</v>
      </c>
      <c r="R85" s="141">
        <f>(Inputs!R334+Inputs!R340)*R$6</f>
        <v>0</v>
      </c>
      <c r="S85" s="141">
        <f>(Inputs!S334+Inputs!S340)*S$6</f>
        <v>0</v>
      </c>
      <c r="T85" s="141">
        <f>(Inputs!T334+Inputs!T340)*T$6</f>
        <v>0</v>
      </c>
      <c r="U85" s="141">
        <f>(Inputs!U334+Inputs!U340)*U$6</f>
        <v>0</v>
      </c>
      <c r="V85" s="141">
        <f>(Inputs!V334+Inputs!V340)*V$6</f>
        <v>0</v>
      </c>
      <c r="W85" s="141">
        <f>(Inputs!W334+Inputs!W340)*W$6</f>
        <v>0</v>
      </c>
      <c r="X85" s="141">
        <f>(Inputs!X334+Inputs!X340)*X$6</f>
        <v>0</v>
      </c>
      <c r="Y85" s="141">
        <f>(Inputs!Y334+Inputs!Y340)*Y$6</f>
        <v>0</v>
      </c>
      <c r="Z85" s="141">
        <f>(Inputs!Z334+Inputs!Z340)*Z$6</f>
        <v>0</v>
      </c>
      <c r="AA85" s="141">
        <f>(Inputs!AA334+Inputs!AA340)*AA$6</f>
        <v>0</v>
      </c>
      <c r="AB85" s="141">
        <f>(Inputs!AB334+Inputs!AB340)*AB$6</f>
        <v>0</v>
      </c>
      <c r="AC85" s="141">
        <f>(Inputs!AC334+Inputs!AC340)*AC$6</f>
        <v>0</v>
      </c>
      <c r="AD85" s="141">
        <f>(Inputs!AD334+Inputs!AD340)*AD$6</f>
        <v>0</v>
      </c>
      <c r="AE85" s="141">
        <f>(Inputs!AE334+Inputs!AE340)*AE$6</f>
        <v>0</v>
      </c>
      <c r="AF85" s="141">
        <f>(Inputs!AF334+Inputs!AF340)*AF$6</f>
        <v>0</v>
      </c>
      <c r="AG85" s="141">
        <f>(Inputs!AG334+Inputs!AG340)*AG$6</f>
        <v>0</v>
      </c>
    </row>
    <row r="86" spans="1:33" s="632" customFormat="1" ht="17.25" customHeight="1" outlineLevel="1">
      <c r="A86" s="861"/>
      <c r="B86" s="282"/>
      <c r="C86" s="632" t="s">
        <v>282</v>
      </c>
      <c r="I86" s="236">
        <f t="shared" si="9"/>
        <v>4550</v>
      </c>
      <c r="J86" s="141">
        <f>Inputs!J335*J$6</f>
        <v>0</v>
      </c>
      <c r="K86" s="141">
        <f>Inputs!K335*K$6</f>
        <v>0</v>
      </c>
      <c r="L86" s="141">
        <f>Inputs!L335*L$6</f>
        <v>0</v>
      </c>
      <c r="M86" s="141">
        <f>Inputs!M335*M$6</f>
        <v>0</v>
      </c>
      <c r="N86" s="141">
        <f>Inputs!N335*N$6</f>
        <v>0</v>
      </c>
      <c r="O86" s="141">
        <f>Inputs!O335*O$6</f>
        <v>0</v>
      </c>
      <c r="P86" s="141">
        <f>Inputs!P335*P$6</f>
        <v>0</v>
      </c>
      <c r="Q86" s="141">
        <f>Inputs!Q335*Q$6</f>
        <v>0</v>
      </c>
      <c r="R86" s="141">
        <f>Inputs!R335*R$6</f>
        <v>0</v>
      </c>
      <c r="S86" s="141">
        <f>Inputs!S335*S$6</f>
        <v>0</v>
      </c>
      <c r="T86" s="141">
        <f>Inputs!T335*T$6</f>
        <v>0</v>
      </c>
      <c r="U86" s="141">
        <f>Inputs!U335*U$6</f>
        <v>0</v>
      </c>
      <c r="V86" s="141">
        <f>Inputs!V335*V$6</f>
        <v>0</v>
      </c>
      <c r="W86" s="141">
        <f>Inputs!W335*W$6</f>
        <v>0</v>
      </c>
      <c r="X86" s="141">
        <f>Inputs!X335*X$6</f>
        <v>0</v>
      </c>
      <c r="Y86" s="141">
        <f>Inputs!Y335*Y$6</f>
        <v>0</v>
      </c>
      <c r="Z86" s="141">
        <f>Inputs!Z335*Z$6</f>
        <v>0</v>
      </c>
      <c r="AA86" s="141">
        <f>Inputs!AA335*AA$6</f>
        <v>0</v>
      </c>
      <c r="AB86" s="141">
        <f>Inputs!AB335*AB$6</f>
        <v>4550</v>
      </c>
      <c r="AC86" s="141">
        <f>Inputs!AC335*AC$6</f>
        <v>0</v>
      </c>
      <c r="AD86" s="141">
        <f>Inputs!AD335*AD$6</f>
        <v>0</v>
      </c>
      <c r="AE86" s="141">
        <f>Inputs!AE335*AE$6</f>
        <v>0</v>
      </c>
      <c r="AF86" s="141">
        <f>Inputs!AF335*AF$6</f>
        <v>0</v>
      </c>
      <c r="AG86" s="141">
        <f>Inputs!AG335*AG$6</f>
        <v>0</v>
      </c>
    </row>
    <row r="87" spans="1:33" ht="17.25" customHeight="1" outlineLevel="1">
      <c r="A87" s="861"/>
      <c r="B87" s="235"/>
      <c r="C87" s="131" t="s">
        <v>278</v>
      </c>
      <c r="D87" s="132"/>
      <c r="E87" s="132"/>
      <c r="F87" s="132"/>
      <c r="G87" s="132"/>
      <c r="H87" s="132"/>
      <c r="I87" s="236">
        <f t="shared" ca="1" si="9"/>
        <v>225401.40563531101</v>
      </c>
      <c r="J87" s="387">
        <f t="shared" ref="J87:AG87" ca="1" si="14">J82-J83+J84-J85+J86</f>
        <v>-10131.382698412699</v>
      </c>
      <c r="K87" s="387">
        <f t="shared" ca="1" si="14"/>
        <v>-8378.619206349209</v>
      </c>
      <c r="L87" s="387">
        <f t="shared" ca="1" si="14"/>
        <v>-9059.0469841269842</v>
      </c>
      <c r="M87" s="387">
        <f t="shared" ca="1" si="14"/>
        <v>-5337.1773636507933</v>
      </c>
      <c r="N87" s="387">
        <f t="shared" ca="1" si="14"/>
        <v>307.86611055015561</v>
      </c>
      <c r="O87" s="387">
        <f t="shared" ca="1" si="14"/>
        <v>-6016.9580779135758</v>
      </c>
      <c r="P87" s="387">
        <f t="shared" ca="1" si="14"/>
        <v>4144.2477207529537</v>
      </c>
      <c r="Q87" s="387">
        <f t="shared" ca="1" si="14"/>
        <v>2261.3533498278152</v>
      </c>
      <c r="R87" s="387">
        <f t="shared" ca="1" si="14"/>
        <v>6223.3258244058834</v>
      </c>
      <c r="S87" s="387">
        <f t="shared" ca="1" si="14"/>
        <v>4369.7979518012617</v>
      </c>
      <c r="T87" s="387">
        <f t="shared" ca="1" si="14"/>
        <v>13692.569000844223</v>
      </c>
      <c r="U87" s="387">
        <f t="shared" ca="1" si="14"/>
        <v>12050.067229206126</v>
      </c>
      <c r="V87" s="387">
        <f t="shared" ca="1" si="14"/>
        <v>12371.94379187471</v>
      </c>
      <c r="W87" s="387">
        <f t="shared" ca="1" si="14"/>
        <v>15370.687932381728</v>
      </c>
      <c r="X87" s="387">
        <f t="shared" ca="1" si="14"/>
        <v>17629.163796253608</v>
      </c>
      <c r="Y87" s="387">
        <f t="shared" ca="1" si="14"/>
        <v>13625.708331821255</v>
      </c>
      <c r="Z87" s="387">
        <f t="shared" ca="1" si="14"/>
        <v>23098.040568919412</v>
      </c>
      <c r="AA87" s="387">
        <f t="shared" ca="1" si="14"/>
        <v>27122.181491661235</v>
      </c>
      <c r="AB87" s="387">
        <f t="shared" ca="1" si="14"/>
        <v>22871.732425141381</v>
      </c>
      <c r="AC87" s="387">
        <f t="shared" ca="1" si="14"/>
        <v>28823.725028024528</v>
      </c>
      <c r="AD87" s="387">
        <f t="shared" ca="1" si="14"/>
        <v>34675.619462817696</v>
      </c>
      <c r="AE87" s="387">
        <f t="shared" ca="1" si="14"/>
        <v>25686.559949480288</v>
      </c>
      <c r="AF87" s="387">
        <f t="shared" ca="1" si="14"/>
        <v>0</v>
      </c>
      <c r="AG87" s="387">
        <f t="shared" ca="1" si="14"/>
        <v>0</v>
      </c>
    </row>
    <row r="88" spans="1:33" ht="17.25" customHeight="1" outlineLevel="1">
      <c r="A88" s="861"/>
      <c r="B88" s="235"/>
      <c r="C88" s="48" t="str">
        <f>CHOOSE(language,"Taxes on profit","Taxes on income")</f>
        <v>Taxes on income</v>
      </c>
      <c r="D88" s="680"/>
      <c r="E88" s="680"/>
      <c r="F88" s="680"/>
      <c r="I88" s="236">
        <f t="shared" ca="1" si="9"/>
        <v>42080.28112706219</v>
      </c>
      <c r="J88" s="141">
        <f ca="1">Taxes!J65</f>
        <v>0</v>
      </c>
      <c r="K88" s="141">
        <f ca="1">Taxes!K65</f>
        <v>0</v>
      </c>
      <c r="L88" s="141">
        <f ca="1">Taxes!L65</f>
        <v>0</v>
      </c>
      <c r="M88" s="141">
        <f ca="1">Taxes!M65</f>
        <v>0</v>
      </c>
      <c r="N88" s="141">
        <f ca="1">Taxes!N65</f>
        <v>0</v>
      </c>
      <c r="O88" s="141">
        <f ca="1">Taxes!O65</f>
        <v>0</v>
      </c>
      <c r="P88" s="141">
        <f ca="1">Taxes!P65</f>
        <v>0</v>
      </c>
      <c r="Q88" s="141">
        <f ca="1">Taxes!Q65</f>
        <v>0</v>
      </c>
      <c r="R88" s="141">
        <f ca="1">Taxes!R65</f>
        <v>0</v>
      </c>
      <c r="S88" s="141">
        <f ca="1">Taxes!S65</f>
        <v>0</v>
      </c>
      <c r="T88" s="141">
        <f ca="1">Taxes!T65</f>
        <v>3506.6900939218499</v>
      </c>
      <c r="U88" s="141">
        <f ca="1">Taxes!U65</f>
        <v>3506.6900939218499</v>
      </c>
      <c r="V88" s="141">
        <f ca="1">Taxes!V65</f>
        <v>3506.6900939218499</v>
      </c>
      <c r="W88" s="141">
        <f ca="1">Taxes!W65</f>
        <v>3506.6900939218499</v>
      </c>
      <c r="X88" s="141">
        <f ca="1">Taxes!X65</f>
        <v>3506.6900939218499</v>
      </c>
      <c r="Y88" s="141">
        <f ca="1">Taxes!Y65</f>
        <v>3506.6900939218499</v>
      </c>
      <c r="Z88" s="141">
        <f ca="1">Taxes!Z65</f>
        <v>3506.6900939218499</v>
      </c>
      <c r="AA88" s="141">
        <f ca="1">Taxes!AA65</f>
        <v>3506.6900939218499</v>
      </c>
      <c r="AB88" s="141">
        <f ca="1">Taxes!AB65</f>
        <v>3506.6900939218499</v>
      </c>
      <c r="AC88" s="141">
        <f ca="1">Taxes!AC65</f>
        <v>3506.6900939218499</v>
      </c>
      <c r="AD88" s="141">
        <f ca="1">Taxes!AD65</f>
        <v>3506.6900939218499</v>
      </c>
      <c r="AE88" s="141">
        <f ca="1">Taxes!AE65</f>
        <v>3506.6900939218499</v>
      </c>
      <c r="AF88" s="141">
        <f>Taxes!AF65</f>
        <v>0</v>
      </c>
      <c r="AG88" s="141">
        <f>Taxes!AG65</f>
        <v>0</v>
      </c>
    </row>
    <row r="89" spans="1:33" ht="17.25" customHeight="1" outlineLevel="1">
      <c r="A89" s="861"/>
      <c r="B89" s="235"/>
      <c r="C89" s="131" t="s">
        <v>639</v>
      </c>
      <c r="D89" s="132"/>
      <c r="E89" s="132"/>
      <c r="F89" s="132"/>
      <c r="G89" s="132"/>
      <c r="H89" s="132"/>
      <c r="I89" s="236">
        <f t="shared" ca="1" si="9"/>
        <v>183321.12450824882</v>
      </c>
      <c r="J89" s="387">
        <f t="shared" ref="J89:AG89" ca="1" si="15">J87-J88</f>
        <v>-10131.382698412699</v>
      </c>
      <c r="K89" s="387">
        <f t="shared" ca="1" si="15"/>
        <v>-8378.619206349209</v>
      </c>
      <c r="L89" s="387">
        <f t="shared" ca="1" si="15"/>
        <v>-9059.0469841269842</v>
      </c>
      <c r="M89" s="387">
        <f t="shared" ca="1" si="15"/>
        <v>-5337.1773636507933</v>
      </c>
      <c r="N89" s="387">
        <f t="shared" ca="1" si="15"/>
        <v>307.86611055015561</v>
      </c>
      <c r="O89" s="387">
        <f t="shared" ca="1" si="15"/>
        <v>-6016.9580779135758</v>
      </c>
      <c r="P89" s="387">
        <f t="shared" ca="1" si="15"/>
        <v>4144.2477207529537</v>
      </c>
      <c r="Q89" s="387">
        <f t="shared" ca="1" si="15"/>
        <v>2261.3533498278152</v>
      </c>
      <c r="R89" s="387">
        <f t="shared" ca="1" si="15"/>
        <v>6223.3258244058834</v>
      </c>
      <c r="S89" s="387">
        <f t="shared" ca="1" si="15"/>
        <v>4369.7979518012617</v>
      </c>
      <c r="T89" s="387">
        <f t="shared" ca="1" si="15"/>
        <v>10185.878906922373</v>
      </c>
      <c r="U89" s="387">
        <f t="shared" ca="1" si="15"/>
        <v>8543.3771352842759</v>
      </c>
      <c r="V89" s="387">
        <f t="shared" ca="1" si="15"/>
        <v>8865.2536979528595</v>
      </c>
      <c r="W89" s="387">
        <f t="shared" ca="1" si="15"/>
        <v>11863.997838459878</v>
      </c>
      <c r="X89" s="387">
        <f t="shared" ca="1" si="15"/>
        <v>14122.473702331758</v>
      </c>
      <c r="Y89" s="387">
        <f t="shared" ca="1" si="15"/>
        <v>10119.018237899405</v>
      </c>
      <c r="Z89" s="387">
        <f t="shared" ca="1" si="15"/>
        <v>19591.350474997562</v>
      </c>
      <c r="AA89" s="387">
        <f t="shared" ca="1" si="15"/>
        <v>23615.491397739384</v>
      </c>
      <c r="AB89" s="387">
        <f t="shared" ca="1" si="15"/>
        <v>19365.042331219531</v>
      </c>
      <c r="AC89" s="387">
        <f t="shared" ca="1" si="15"/>
        <v>25317.034934102678</v>
      </c>
      <c r="AD89" s="387">
        <f t="shared" ca="1" si="15"/>
        <v>31168.929368895846</v>
      </c>
      <c r="AE89" s="387">
        <f t="shared" ca="1" si="15"/>
        <v>22179.869855558438</v>
      </c>
      <c r="AF89" s="387">
        <f t="shared" ca="1" si="15"/>
        <v>0</v>
      </c>
      <c r="AG89" s="387">
        <f t="shared" ca="1" si="15"/>
        <v>0</v>
      </c>
    </row>
    <row r="90" spans="1:33" ht="17.25" customHeight="1" outlineLevel="1">
      <c r="A90" s="861"/>
      <c r="B90" s="235"/>
      <c r="C90" s="48" t="s">
        <v>283</v>
      </c>
      <c r="D90" s="181"/>
      <c r="E90" s="181"/>
      <c r="F90" s="181"/>
      <c r="G90" s="181"/>
      <c r="H90" s="181"/>
      <c r="I90" s="433">
        <f>Inputs!F284</f>
        <v>-23500</v>
      </c>
      <c r="J90" s="141">
        <f t="shared" ref="J90:AG90" ca="1" si="16">(I90+J89)*J6</f>
        <v>-33631.382698412701</v>
      </c>
      <c r="K90" s="141">
        <f t="shared" ca="1" si="16"/>
        <v>-42010.001904761913</v>
      </c>
      <c r="L90" s="141">
        <f t="shared" ca="1" si="16"/>
        <v>-51069.048888888894</v>
      </c>
      <c r="M90" s="141">
        <f t="shared" ca="1" si="16"/>
        <v>-56406.226252539687</v>
      </c>
      <c r="N90" s="141">
        <f t="shared" ca="1" si="16"/>
        <v>-56098.360141989535</v>
      </c>
      <c r="O90" s="141">
        <f t="shared" ca="1" si="16"/>
        <v>-62115.318219903114</v>
      </c>
      <c r="P90" s="141">
        <f t="shared" ca="1" si="16"/>
        <v>-57971.070499150163</v>
      </c>
      <c r="Q90" s="141">
        <f t="shared" ca="1" si="16"/>
        <v>-55709.71714932235</v>
      </c>
      <c r="R90" s="141">
        <f t="shared" ca="1" si="16"/>
        <v>-49486.391324916469</v>
      </c>
      <c r="S90" s="141">
        <f t="shared" ca="1" si="16"/>
        <v>-45116.593373115204</v>
      </c>
      <c r="T90" s="141">
        <f t="shared" ca="1" si="16"/>
        <v>-34930.714466192832</v>
      </c>
      <c r="U90" s="141">
        <f t="shared" ca="1" si="16"/>
        <v>-26387.337330908558</v>
      </c>
      <c r="V90" s="141">
        <f t="shared" ca="1" si="16"/>
        <v>-17522.083632955699</v>
      </c>
      <c r="W90" s="141">
        <f t="shared" ca="1" si="16"/>
        <v>-5658.0857944958207</v>
      </c>
      <c r="X90" s="141">
        <f t="shared" ca="1" si="16"/>
        <v>8464.3879078359369</v>
      </c>
      <c r="Y90" s="141">
        <f t="shared" ca="1" si="16"/>
        <v>18583.406145735342</v>
      </c>
      <c r="Z90" s="141">
        <f t="shared" ca="1" si="16"/>
        <v>38174.756620732907</v>
      </c>
      <c r="AA90" s="141">
        <f t="shared" ca="1" si="16"/>
        <v>61790.248018472295</v>
      </c>
      <c r="AB90" s="141">
        <f t="shared" ca="1" si="16"/>
        <v>81155.29034969183</v>
      </c>
      <c r="AC90" s="141">
        <f t="shared" ca="1" si="16"/>
        <v>106472.3252837945</v>
      </c>
      <c r="AD90" s="141">
        <f t="shared" ca="1" si="16"/>
        <v>137641.25465269035</v>
      </c>
      <c r="AE90" s="141">
        <f t="shared" ca="1" si="16"/>
        <v>159821.12450824879</v>
      </c>
      <c r="AF90" s="141">
        <f t="shared" ca="1" si="16"/>
        <v>0</v>
      </c>
      <c r="AG90" s="141">
        <f t="shared" ca="1" si="16"/>
        <v>0</v>
      </c>
    </row>
    <row r="91" spans="1:33" s="799" customFormat="1" ht="17.25" customHeight="1" outlineLevel="1">
      <c r="A91" s="861"/>
      <c r="B91" s="282"/>
      <c r="C91" s="282"/>
      <c r="D91" s="282"/>
      <c r="E91" s="282"/>
      <c r="F91" s="282"/>
      <c r="G91" s="282"/>
      <c r="H91" s="282"/>
      <c r="I91" s="786"/>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row>
    <row r="92" spans="1:33" ht="17.25" customHeight="1" outlineLevel="1">
      <c r="A92" s="861"/>
      <c r="B92" s="235"/>
      <c r="C92" s="181" t="s">
        <v>508</v>
      </c>
      <c r="D92" s="181"/>
      <c r="E92" s="181"/>
      <c r="F92" s="181"/>
      <c r="G92" s="181"/>
      <c r="H92" s="181"/>
      <c r="I92" s="236">
        <f>SUM(J92:AG92)</f>
        <v>0</v>
      </c>
      <c r="J92" s="423">
        <f t="shared" ref="J92:AG92" si="17">J142*J6</f>
        <v>0</v>
      </c>
      <c r="K92" s="423">
        <f t="shared" si="17"/>
        <v>0</v>
      </c>
      <c r="L92" s="423">
        <f t="shared" si="17"/>
        <v>0</v>
      </c>
      <c r="M92" s="423">
        <f t="shared" si="17"/>
        <v>0</v>
      </c>
      <c r="N92" s="423">
        <f t="shared" si="17"/>
        <v>0</v>
      </c>
      <c r="O92" s="423">
        <f t="shared" si="17"/>
        <v>0</v>
      </c>
      <c r="P92" s="423">
        <f t="shared" si="17"/>
        <v>0</v>
      </c>
      <c r="Q92" s="423">
        <f t="shared" si="17"/>
        <v>0</v>
      </c>
      <c r="R92" s="423">
        <f t="shared" si="17"/>
        <v>0</v>
      </c>
      <c r="S92" s="423">
        <f t="shared" si="17"/>
        <v>0</v>
      </c>
      <c r="T92" s="423">
        <f t="shared" si="17"/>
        <v>0</v>
      </c>
      <c r="U92" s="423">
        <f t="shared" si="17"/>
        <v>0</v>
      </c>
      <c r="V92" s="423">
        <f t="shared" si="17"/>
        <v>0</v>
      </c>
      <c r="W92" s="423">
        <f t="shared" si="17"/>
        <v>0</v>
      </c>
      <c r="X92" s="423">
        <f t="shared" si="17"/>
        <v>0</v>
      </c>
      <c r="Y92" s="423">
        <f t="shared" si="17"/>
        <v>0</v>
      </c>
      <c r="Z92" s="423">
        <f t="shared" si="17"/>
        <v>0</v>
      </c>
      <c r="AA92" s="423">
        <f t="shared" si="17"/>
        <v>0</v>
      </c>
      <c r="AB92" s="423">
        <f t="shared" si="17"/>
        <v>0</v>
      </c>
      <c r="AC92" s="423">
        <f t="shared" si="17"/>
        <v>0</v>
      </c>
      <c r="AD92" s="423">
        <f t="shared" si="17"/>
        <v>0</v>
      </c>
      <c r="AE92" s="423">
        <f t="shared" si="17"/>
        <v>0</v>
      </c>
      <c r="AF92" s="423">
        <f t="shared" si="17"/>
        <v>0</v>
      </c>
      <c r="AG92" s="423">
        <f t="shared" si="17"/>
        <v>0</v>
      </c>
    </row>
    <row r="93" spans="1:33" s="680" customFormat="1" ht="17.25" customHeight="1" outlineLevel="1">
      <c r="A93" s="861"/>
      <c r="B93" s="282"/>
      <c r="C93" s="268" t="s">
        <v>559</v>
      </c>
      <c r="D93" s="282"/>
      <c r="E93" s="282"/>
      <c r="F93" s="282"/>
      <c r="G93" s="282"/>
      <c r="H93" s="282"/>
      <c r="I93" s="786"/>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row>
    <row r="94" spans="1:33" s="680" customFormat="1" ht="17.25" customHeight="1" outlineLevel="1">
      <c r="A94" s="861"/>
      <c r="B94" s="282"/>
      <c r="C94" s="181" t="s">
        <v>547</v>
      </c>
      <c r="D94" s="181"/>
      <c r="E94" s="181"/>
      <c r="F94" s="181"/>
      <c r="G94" s="181"/>
      <c r="H94" s="181"/>
      <c r="I94" s="181"/>
      <c r="J94" s="802">
        <f t="shared" ref="J94:AG94" si="18">I96*J$6</f>
        <v>-23500</v>
      </c>
      <c r="K94" s="802">
        <f t="shared" ca="1" si="18"/>
        <v>-33631.382698412701</v>
      </c>
      <c r="L94" s="802">
        <f t="shared" ca="1" si="18"/>
        <v>-42010.001904761913</v>
      </c>
      <c r="M94" s="802">
        <f t="shared" ca="1" si="18"/>
        <v>-51069.048888888894</v>
      </c>
      <c r="N94" s="802">
        <f t="shared" ca="1" si="18"/>
        <v>-56406.226252539687</v>
      </c>
      <c r="O94" s="802">
        <f t="shared" ca="1" si="18"/>
        <v>-56098.360141989535</v>
      </c>
      <c r="P94" s="802">
        <f t="shared" ca="1" si="18"/>
        <v>-62115.318219903114</v>
      </c>
      <c r="Q94" s="802">
        <f t="shared" ca="1" si="18"/>
        <v>-57971.070499150163</v>
      </c>
      <c r="R94" s="802">
        <f t="shared" ca="1" si="18"/>
        <v>-55709.71714932235</v>
      </c>
      <c r="S94" s="802">
        <f t="shared" ca="1" si="18"/>
        <v>-49486.391324916469</v>
      </c>
      <c r="T94" s="802">
        <f t="shared" ca="1" si="18"/>
        <v>-45116.593373115204</v>
      </c>
      <c r="U94" s="802">
        <f t="shared" ca="1" si="18"/>
        <v>-34930.714466192832</v>
      </c>
      <c r="V94" s="802">
        <f t="shared" ca="1" si="18"/>
        <v>-26387.337330908558</v>
      </c>
      <c r="W94" s="802">
        <f t="shared" ca="1" si="18"/>
        <v>-17522.083632955699</v>
      </c>
      <c r="X94" s="802">
        <f t="shared" ca="1" si="18"/>
        <v>-5658.0857944958207</v>
      </c>
      <c r="Y94" s="802">
        <f t="shared" ca="1" si="18"/>
        <v>8464.3879078359369</v>
      </c>
      <c r="Z94" s="802">
        <f t="shared" ca="1" si="18"/>
        <v>18583.406145735342</v>
      </c>
      <c r="AA94" s="802">
        <f t="shared" ca="1" si="18"/>
        <v>38174.756620732907</v>
      </c>
      <c r="AB94" s="802">
        <f t="shared" ca="1" si="18"/>
        <v>61790.248018472295</v>
      </c>
      <c r="AC94" s="802">
        <f t="shared" ca="1" si="18"/>
        <v>81155.29034969183</v>
      </c>
      <c r="AD94" s="802">
        <f t="shared" ca="1" si="18"/>
        <v>106472.3252837945</v>
      </c>
      <c r="AE94" s="802">
        <f t="shared" ca="1" si="18"/>
        <v>137641.25465269035</v>
      </c>
      <c r="AF94" s="802">
        <f t="shared" ca="1" si="18"/>
        <v>0</v>
      </c>
      <c r="AG94" s="802">
        <f t="shared" ca="1" si="18"/>
        <v>0</v>
      </c>
    </row>
    <row r="95" spans="1:33" s="799" customFormat="1" ht="17.25" customHeight="1" outlineLevel="1">
      <c r="A95" s="861"/>
      <c r="B95" s="282"/>
      <c r="C95" s="181" t="s">
        <v>558</v>
      </c>
      <c r="D95" s="181"/>
      <c r="E95" s="181"/>
      <c r="F95" s="181"/>
      <c r="G95" s="181"/>
      <c r="H95" s="181"/>
      <c r="I95" s="236">
        <f ca="1">SUM(J95:AG95)</f>
        <v>183321.12450824882</v>
      </c>
      <c r="J95" s="141">
        <f t="shared" ref="J95:AG95" ca="1" si="19">J89+J92</f>
        <v>-10131.382698412699</v>
      </c>
      <c r="K95" s="141">
        <f t="shared" ca="1" si="19"/>
        <v>-8378.619206349209</v>
      </c>
      <c r="L95" s="141">
        <f t="shared" ca="1" si="19"/>
        <v>-9059.0469841269842</v>
      </c>
      <c r="M95" s="141">
        <f t="shared" ca="1" si="19"/>
        <v>-5337.1773636507933</v>
      </c>
      <c r="N95" s="141">
        <f t="shared" ca="1" si="19"/>
        <v>307.86611055015561</v>
      </c>
      <c r="O95" s="141">
        <f t="shared" ca="1" si="19"/>
        <v>-6016.9580779135758</v>
      </c>
      <c r="P95" s="141">
        <f t="shared" ca="1" si="19"/>
        <v>4144.2477207529537</v>
      </c>
      <c r="Q95" s="141">
        <f t="shared" ca="1" si="19"/>
        <v>2261.3533498278152</v>
      </c>
      <c r="R95" s="141">
        <f t="shared" ca="1" si="19"/>
        <v>6223.3258244058834</v>
      </c>
      <c r="S95" s="141">
        <f t="shared" ca="1" si="19"/>
        <v>4369.7979518012617</v>
      </c>
      <c r="T95" s="141">
        <f t="shared" ca="1" si="19"/>
        <v>10185.878906922373</v>
      </c>
      <c r="U95" s="141">
        <f t="shared" ca="1" si="19"/>
        <v>8543.3771352842759</v>
      </c>
      <c r="V95" s="141">
        <f t="shared" ca="1" si="19"/>
        <v>8865.2536979528595</v>
      </c>
      <c r="W95" s="141">
        <f t="shared" ca="1" si="19"/>
        <v>11863.997838459878</v>
      </c>
      <c r="X95" s="141">
        <f t="shared" ca="1" si="19"/>
        <v>14122.473702331758</v>
      </c>
      <c r="Y95" s="141">
        <f t="shared" ca="1" si="19"/>
        <v>10119.018237899405</v>
      </c>
      <c r="Z95" s="141">
        <f t="shared" ca="1" si="19"/>
        <v>19591.350474997562</v>
      </c>
      <c r="AA95" s="141">
        <f t="shared" ca="1" si="19"/>
        <v>23615.491397739384</v>
      </c>
      <c r="AB95" s="141">
        <f t="shared" ca="1" si="19"/>
        <v>19365.042331219531</v>
      </c>
      <c r="AC95" s="141">
        <f t="shared" ca="1" si="19"/>
        <v>25317.034934102678</v>
      </c>
      <c r="AD95" s="141">
        <f t="shared" ca="1" si="19"/>
        <v>31168.929368895846</v>
      </c>
      <c r="AE95" s="141">
        <f t="shared" ca="1" si="19"/>
        <v>22179.869855558438</v>
      </c>
      <c r="AF95" s="141">
        <f t="shared" ca="1" si="19"/>
        <v>0</v>
      </c>
      <c r="AG95" s="141">
        <f t="shared" ca="1" si="19"/>
        <v>0</v>
      </c>
    </row>
    <row r="96" spans="1:33" s="680" customFormat="1" ht="17.25" customHeight="1" outlineLevel="1" thickBot="1">
      <c r="A96" s="861"/>
      <c r="B96" s="282"/>
      <c r="C96" s="181" t="s">
        <v>548</v>
      </c>
      <c r="D96" s="181"/>
      <c r="E96" s="181"/>
      <c r="F96" s="181"/>
      <c r="G96" s="181"/>
      <c r="H96" s="181"/>
      <c r="I96" s="433">
        <f>Inputs!F284</f>
        <v>-23500</v>
      </c>
      <c r="J96" s="509">
        <f t="shared" ref="J96:AG96" ca="1" si="20">SUM(J94:J95)*J6</f>
        <v>-33631.382698412701</v>
      </c>
      <c r="K96" s="509">
        <f t="shared" ca="1" si="20"/>
        <v>-42010.001904761913</v>
      </c>
      <c r="L96" s="509">
        <f t="shared" ca="1" si="20"/>
        <v>-51069.048888888894</v>
      </c>
      <c r="M96" s="509">
        <f t="shared" ca="1" si="20"/>
        <v>-56406.226252539687</v>
      </c>
      <c r="N96" s="509">
        <f t="shared" ca="1" si="20"/>
        <v>-56098.360141989535</v>
      </c>
      <c r="O96" s="509">
        <f t="shared" ca="1" si="20"/>
        <v>-62115.318219903114</v>
      </c>
      <c r="P96" s="509">
        <f t="shared" ca="1" si="20"/>
        <v>-57971.070499150163</v>
      </c>
      <c r="Q96" s="509">
        <f t="shared" ca="1" si="20"/>
        <v>-55709.71714932235</v>
      </c>
      <c r="R96" s="509">
        <f t="shared" ca="1" si="20"/>
        <v>-49486.391324916469</v>
      </c>
      <c r="S96" s="509">
        <f t="shared" ca="1" si="20"/>
        <v>-45116.593373115204</v>
      </c>
      <c r="T96" s="509">
        <f t="shared" ca="1" si="20"/>
        <v>-34930.714466192832</v>
      </c>
      <c r="U96" s="509">
        <f t="shared" ca="1" si="20"/>
        <v>-26387.337330908558</v>
      </c>
      <c r="V96" s="509">
        <f t="shared" ca="1" si="20"/>
        <v>-17522.083632955699</v>
      </c>
      <c r="W96" s="509">
        <f t="shared" ca="1" si="20"/>
        <v>-5658.0857944958207</v>
      </c>
      <c r="X96" s="509">
        <f t="shared" ca="1" si="20"/>
        <v>8464.3879078359369</v>
      </c>
      <c r="Y96" s="509">
        <f t="shared" ca="1" si="20"/>
        <v>18583.406145735342</v>
      </c>
      <c r="Z96" s="509">
        <f t="shared" ca="1" si="20"/>
        <v>38174.756620732907</v>
      </c>
      <c r="AA96" s="509">
        <f t="shared" ca="1" si="20"/>
        <v>61790.248018472295</v>
      </c>
      <c r="AB96" s="509">
        <f t="shared" ca="1" si="20"/>
        <v>81155.29034969183</v>
      </c>
      <c r="AC96" s="509">
        <f t="shared" ca="1" si="20"/>
        <v>106472.3252837945</v>
      </c>
      <c r="AD96" s="509">
        <f t="shared" ca="1" si="20"/>
        <v>137641.25465269035</v>
      </c>
      <c r="AE96" s="509">
        <f t="shared" ca="1" si="20"/>
        <v>159821.12450824879</v>
      </c>
      <c r="AF96" s="509">
        <f t="shared" ca="1" si="20"/>
        <v>0</v>
      </c>
      <c r="AG96" s="509">
        <f t="shared" ca="1" si="20"/>
        <v>0</v>
      </c>
    </row>
    <row r="97" spans="1:33" s="632" customFormat="1" ht="17.25" customHeight="1" outlineLevel="1" thickTop="1">
      <c r="A97" s="861"/>
      <c r="B97" s="282"/>
      <c r="C97" s="282"/>
      <c r="D97" s="282"/>
      <c r="E97" s="282"/>
      <c r="F97" s="282"/>
      <c r="G97" s="282"/>
      <c r="H97" s="282"/>
      <c r="I97" s="786"/>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row>
    <row r="98" spans="1:33" ht="24" thickBot="1">
      <c r="A98" s="316"/>
      <c r="B98" s="316"/>
      <c r="C98" s="316" t="s">
        <v>303</v>
      </c>
      <c r="D98" s="323" t="str">
        <f>"(all figures in " &amp;Currency_Label &amp;")"</f>
        <v>(all figures in USD)</v>
      </c>
      <c r="E98" s="316"/>
      <c r="F98" s="316"/>
      <c r="G98" s="316"/>
      <c r="H98" s="316"/>
      <c r="I98" s="427"/>
      <c r="J98" s="316"/>
      <c r="K98" s="316"/>
      <c r="L98" s="316"/>
      <c r="M98" s="316"/>
      <c r="N98" s="316"/>
      <c r="O98" s="316"/>
      <c r="P98" s="316"/>
      <c r="Q98" s="316"/>
      <c r="R98" s="316"/>
      <c r="S98" s="316"/>
      <c r="T98" s="316"/>
      <c r="U98" s="316"/>
      <c r="V98" s="316"/>
      <c r="W98" s="316"/>
      <c r="X98" s="316"/>
      <c r="Y98" s="316"/>
      <c r="Z98" s="316"/>
      <c r="AA98" s="316"/>
      <c r="AB98" s="316"/>
      <c r="AC98" s="316"/>
      <c r="AD98" s="316"/>
      <c r="AE98" s="316"/>
      <c r="AF98" s="316"/>
      <c r="AG98" s="316"/>
    </row>
    <row r="99" spans="1:33" ht="15" customHeight="1" outlineLevel="1">
      <c r="A99" s="861"/>
      <c r="B99" s="235"/>
      <c r="C99" s="235"/>
      <c r="D99" s="235"/>
      <c r="E99" s="235"/>
      <c r="F99" s="235"/>
      <c r="G99" s="235"/>
      <c r="H99" s="235"/>
      <c r="I99" s="786"/>
      <c r="J99" s="691">
        <f t="shared" ref="J99:AG99" si="21">J$4</f>
        <v>43132</v>
      </c>
      <c r="K99" s="691">
        <f t="shared" si="21"/>
        <v>43160</v>
      </c>
      <c r="L99" s="691">
        <f t="shared" si="21"/>
        <v>43191</v>
      </c>
      <c r="M99" s="691">
        <f t="shared" si="21"/>
        <v>43221</v>
      </c>
      <c r="N99" s="691">
        <f t="shared" si="21"/>
        <v>43252</v>
      </c>
      <c r="O99" s="691">
        <f t="shared" si="21"/>
        <v>43282</v>
      </c>
      <c r="P99" s="691">
        <f t="shared" si="21"/>
        <v>43313</v>
      </c>
      <c r="Q99" s="691">
        <f t="shared" si="21"/>
        <v>43344</v>
      </c>
      <c r="R99" s="691">
        <f t="shared" si="21"/>
        <v>43374</v>
      </c>
      <c r="S99" s="691">
        <f t="shared" si="21"/>
        <v>43405</v>
      </c>
      <c r="T99" s="691">
        <f t="shared" si="21"/>
        <v>43435</v>
      </c>
      <c r="U99" s="691">
        <f t="shared" si="21"/>
        <v>43466</v>
      </c>
      <c r="V99" s="691">
        <f t="shared" si="21"/>
        <v>43497</v>
      </c>
      <c r="W99" s="691">
        <f t="shared" si="21"/>
        <v>43525</v>
      </c>
      <c r="X99" s="691">
        <f t="shared" si="21"/>
        <v>43556</v>
      </c>
      <c r="Y99" s="691">
        <f t="shared" si="21"/>
        <v>43586</v>
      </c>
      <c r="Z99" s="691">
        <f t="shared" si="21"/>
        <v>43617</v>
      </c>
      <c r="AA99" s="691">
        <f t="shared" si="21"/>
        <v>43647</v>
      </c>
      <c r="AB99" s="691">
        <f t="shared" si="21"/>
        <v>43678</v>
      </c>
      <c r="AC99" s="691">
        <f t="shared" si="21"/>
        <v>43709</v>
      </c>
      <c r="AD99" s="691">
        <f t="shared" si="21"/>
        <v>43739</v>
      </c>
      <c r="AE99" s="691">
        <f t="shared" si="21"/>
        <v>43770</v>
      </c>
      <c r="AF99" s="691">
        <f t="shared" si="21"/>
        <v>43800</v>
      </c>
      <c r="AG99" s="691">
        <f t="shared" si="21"/>
        <v>43831</v>
      </c>
    </row>
    <row r="100" spans="1:33" ht="21.75" customHeight="1" outlineLevel="1">
      <c r="A100" s="861"/>
      <c r="B100" s="235"/>
      <c r="C100" s="274" t="s">
        <v>294</v>
      </c>
      <c r="D100" s="235"/>
      <c r="E100" s="235"/>
      <c r="F100" s="235"/>
      <c r="G100" s="235"/>
      <c r="H100" s="235"/>
      <c r="I100" s="786"/>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row>
    <row r="101" spans="1:33" ht="17.25" customHeight="1" outlineLevel="1">
      <c r="A101" s="861"/>
      <c r="B101" s="235"/>
      <c r="C101" s="116" t="str">
        <f>"Cash collected from sales (incl. "&amp;Name_VAT &amp;")"</f>
        <v>Cash collected from sales (incl. VAT)</v>
      </c>
      <c r="D101" s="125"/>
      <c r="E101" s="125"/>
      <c r="F101" s="125"/>
      <c r="G101" s="800"/>
      <c r="H101" s="125"/>
      <c r="I101" s="236">
        <f t="shared" ref="I101:I106" ca="1" si="22">SUM(J101:AG101)</f>
        <v>1809114.4386490954</v>
      </c>
      <c r="J101" s="237">
        <f ca="1">Financing!J11</f>
        <v>2654.5333333333333</v>
      </c>
      <c r="K101" s="141">
        <f ca="1">Financing!K11</f>
        <v>2306.5333333333333</v>
      </c>
      <c r="L101" s="141">
        <f ca="1">Financing!L11</f>
        <v>2422.5333333333333</v>
      </c>
      <c r="M101" s="141">
        <f ca="1">Financing!M11</f>
        <v>58640.135333333332</v>
      </c>
      <c r="N101" s="141">
        <f ca="1">Financing!N11</f>
        <v>2654.5333333333333</v>
      </c>
      <c r="O101" s="141">
        <f ca="1">Financing!O11</f>
        <v>2654.5333333333333</v>
      </c>
      <c r="P101" s="141">
        <f ca="1">Financing!P11</f>
        <v>119840.23196800001</v>
      </c>
      <c r="Q101" s="141">
        <f ca="1">Financing!Q11</f>
        <v>1821.2</v>
      </c>
      <c r="R101" s="141">
        <f ca="1">Financing!R11</f>
        <v>1821.2</v>
      </c>
      <c r="S101" s="141">
        <f ca="1">Financing!S11</f>
        <v>192001.91030456123</v>
      </c>
      <c r="T101" s="141">
        <f ca="1">Financing!T11</f>
        <v>1821.2</v>
      </c>
      <c r="U101" s="141">
        <f ca="1">Financing!U11</f>
        <v>2088</v>
      </c>
      <c r="V101" s="141">
        <f ca="1">Financing!V11</f>
        <v>259052.75128602763</v>
      </c>
      <c r="W101" s="141">
        <f ca="1">Financing!W11</f>
        <v>1821.2</v>
      </c>
      <c r="X101" s="141">
        <f ca="1">Financing!X11</f>
        <v>1821.2</v>
      </c>
      <c r="Y101" s="141">
        <f ca="1">Financing!Y11</f>
        <v>317432.11096511409</v>
      </c>
      <c r="Z101" s="141">
        <f ca="1">Financing!Z11</f>
        <v>1821.2</v>
      </c>
      <c r="AA101" s="141">
        <f ca="1">Financing!AA11</f>
        <v>1821.2</v>
      </c>
      <c r="AB101" s="141">
        <f ca="1">Financing!AB11</f>
        <v>382216.81280937139</v>
      </c>
      <c r="AC101" s="141">
        <f ca="1">Financing!AC11</f>
        <v>1821.2</v>
      </c>
      <c r="AD101" s="141">
        <f ca="1">Financing!AD11</f>
        <v>1821.2</v>
      </c>
      <c r="AE101" s="141">
        <f ca="1">Financing!AE11</f>
        <v>448759.01931602112</v>
      </c>
      <c r="AF101" s="141">
        <f ca="1">Financing!AF11</f>
        <v>0</v>
      </c>
      <c r="AG101" s="141">
        <f ca="1">Financing!AG11</f>
        <v>0</v>
      </c>
    </row>
    <row r="102" spans="1:33" s="199" customFormat="1" ht="17.25" customHeight="1" outlineLevel="1">
      <c r="A102" s="861"/>
      <c r="B102" s="235"/>
      <c r="C102" s="199" t="s">
        <v>339</v>
      </c>
      <c r="D102" s="125"/>
      <c r="E102" s="125"/>
      <c r="F102" s="125"/>
      <c r="G102" s="800"/>
      <c r="H102" s="125"/>
      <c r="I102" s="236">
        <f t="shared" si="22"/>
        <v>4250</v>
      </c>
      <c r="J102" s="141">
        <f>Financing!J12</f>
        <v>0</v>
      </c>
      <c r="K102" s="141">
        <f>Financing!K12</f>
        <v>0</v>
      </c>
      <c r="L102" s="141">
        <f>Financing!L12</f>
        <v>3500</v>
      </c>
      <c r="M102" s="141">
        <f>Financing!M12</f>
        <v>0</v>
      </c>
      <c r="N102" s="141">
        <f>Financing!N12</f>
        <v>0</v>
      </c>
      <c r="O102" s="141">
        <f>Financing!O12</f>
        <v>0</v>
      </c>
      <c r="P102" s="141">
        <f>Financing!P12</f>
        <v>0</v>
      </c>
      <c r="Q102" s="141">
        <f>Financing!Q12</f>
        <v>0</v>
      </c>
      <c r="R102" s="141">
        <f>Financing!R12</f>
        <v>-2000</v>
      </c>
      <c r="S102" s="141">
        <f>Financing!S12</f>
        <v>0</v>
      </c>
      <c r="T102" s="141">
        <f>Financing!T12</f>
        <v>0</v>
      </c>
      <c r="U102" s="141">
        <f>Financing!U12</f>
        <v>0</v>
      </c>
      <c r="V102" s="141">
        <f>Financing!V12</f>
        <v>0</v>
      </c>
      <c r="W102" s="141">
        <f>Financing!W12</f>
        <v>0</v>
      </c>
      <c r="X102" s="141">
        <f>Financing!X12</f>
        <v>0</v>
      </c>
      <c r="Y102" s="141">
        <f>Financing!Y12</f>
        <v>0</v>
      </c>
      <c r="Z102" s="141">
        <f>Financing!Z12</f>
        <v>0</v>
      </c>
      <c r="AA102" s="141">
        <f>Financing!AA12</f>
        <v>0</v>
      </c>
      <c r="AB102" s="141">
        <f>Financing!AB12</f>
        <v>0</v>
      </c>
      <c r="AC102" s="141">
        <f>Financing!AC12</f>
        <v>2750</v>
      </c>
      <c r="AD102" s="141">
        <f>Financing!AD12</f>
        <v>0</v>
      </c>
      <c r="AE102" s="141">
        <f>Financing!AE12</f>
        <v>0</v>
      </c>
      <c r="AF102" s="141">
        <f>Financing!AF12</f>
        <v>0</v>
      </c>
      <c r="AG102" s="141">
        <f>Financing!AG12</f>
        <v>0</v>
      </c>
    </row>
    <row r="103" spans="1:33" s="199" customFormat="1" ht="17.25" customHeight="1" outlineLevel="1">
      <c r="A103" s="861"/>
      <c r="B103" s="235"/>
      <c r="C103" s="199" t="s">
        <v>296</v>
      </c>
      <c r="D103" s="333"/>
      <c r="E103" s="333"/>
      <c r="F103" s="125"/>
      <c r="G103" s="800"/>
      <c r="H103" s="125"/>
      <c r="I103" s="236">
        <f t="shared" si="22"/>
        <v>7300</v>
      </c>
      <c r="J103" s="141">
        <f>Financing!J13</f>
        <v>0</v>
      </c>
      <c r="K103" s="141">
        <f>Financing!K13</f>
        <v>0</v>
      </c>
      <c r="L103" s="141">
        <f>Financing!L13</f>
        <v>2750</v>
      </c>
      <c r="M103" s="141">
        <f>Financing!M13</f>
        <v>0</v>
      </c>
      <c r="N103" s="141">
        <f>Financing!N13</f>
        <v>0</v>
      </c>
      <c r="O103" s="141">
        <f>Financing!O13</f>
        <v>0</v>
      </c>
      <c r="P103" s="141">
        <f>Financing!P13</f>
        <v>0</v>
      </c>
      <c r="Q103" s="141">
        <f>Financing!Q13</f>
        <v>0</v>
      </c>
      <c r="R103" s="141">
        <f>Financing!R13</f>
        <v>0</v>
      </c>
      <c r="S103" s="141">
        <f>Financing!S13</f>
        <v>0</v>
      </c>
      <c r="T103" s="141">
        <f>Financing!T13</f>
        <v>0</v>
      </c>
      <c r="U103" s="141">
        <f>Financing!U13</f>
        <v>0</v>
      </c>
      <c r="V103" s="141">
        <f>Financing!V13</f>
        <v>0</v>
      </c>
      <c r="W103" s="141">
        <f>Financing!W13</f>
        <v>0</v>
      </c>
      <c r="X103" s="141">
        <f>Financing!X13</f>
        <v>0</v>
      </c>
      <c r="Y103" s="141">
        <f>Financing!Y13</f>
        <v>0</v>
      </c>
      <c r="Z103" s="141">
        <f>Financing!Z13</f>
        <v>0</v>
      </c>
      <c r="AA103" s="141">
        <f>Financing!AA13</f>
        <v>0</v>
      </c>
      <c r="AB103" s="141">
        <f>Financing!AB13</f>
        <v>4550</v>
      </c>
      <c r="AC103" s="141">
        <f>Financing!AC13</f>
        <v>0</v>
      </c>
      <c r="AD103" s="141">
        <f>Financing!AD13</f>
        <v>0</v>
      </c>
      <c r="AE103" s="141">
        <f>Financing!AE13</f>
        <v>0</v>
      </c>
      <c r="AF103" s="141">
        <f>Financing!AF13</f>
        <v>0</v>
      </c>
      <c r="AG103" s="141">
        <f>Financing!AG13</f>
        <v>0</v>
      </c>
    </row>
    <row r="104" spans="1:33" ht="17.25" customHeight="1" outlineLevel="1">
      <c r="A104" s="861"/>
      <c r="B104" s="235"/>
      <c r="C104" s="125" t="s">
        <v>298</v>
      </c>
      <c r="D104" s="125"/>
      <c r="E104" s="125"/>
      <c r="F104" s="125"/>
      <c r="G104" s="800"/>
      <c r="H104" s="125"/>
      <c r="I104" s="236">
        <f t="shared" si="22"/>
        <v>7500</v>
      </c>
      <c r="J104" s="139">
        <f>Financing!J14</f>
        <v>0</v>
      </c>
      <c r="K104" s="139">
        <f>Financing!K14</f>
        <v>0</v>
      </c>
      <c r="L104" s="139">
        <f>Financing!L14</f>
        <v>0</v>
      </c>
      <c r="M104" s="139">
        <f>Financing!M14</f>
        <v>0</v>
      </c>
      <c r="N104" s="139">
        <f>Financing!N14</f>
        <v>0</v>
      </c>
      <c r="O104" s="139">
        <f>Financing!O14</f>
        <v>0</v>
      </c>
      <c r="P104" s="139">
        <f>Financing!P14</f>
        <v>0</v>
      </c>
      <c r="Q104" s="139">
        <f>Financing!Q14</f>
        <v>0</v>
      </c>
      <c r="R104" s="139">
        <f>Financing!R14</f>
        <v>0</v>
      </c>
      <c r="S104" s="139">
        <f>Financing!S14</f>
        <v>0</v>
      </c>
      <c r="T104" s="139">
        <f>Financing!T14</f>
        <v>0</v>
      </c>
      <c r="U104" s="139">
        <f>Financing!U14</f>
        <v>0</v>
      </c>
      <c r="V104" s="139">
        <f>Financing!V14</f>
        <v>0</v>
      </c>
      <c r="W104" s="139">
        <f>Financing!W14</f>
        <v>0</v>
      </c>
      <c r="X104" s="139">
        <f>Financing!X14</f>
        <v>0</v>
      </c>
      <c r="Y104" s="139">
        <f>Financing!Y14</f>
        <v>0</v>
      </c>
      <c r="Z104" s="139">
        <f>Financing!Z14</f>
        <v>7500</v>
      </c>
      <c r="AA104" s="139">
        <f>Financing!AA14</f>
        <v>0</v>
      </c>
      <c r="AB104" s="139">
        <f>Financing!AB14</f>
        <v>0</v>
      </c>
      <c r="AC104" s="139">
        <f>Financing!AC14</f>
        <v>0</v>
      </c>
      <c r="AD104" s="139">
        <f>Financing!AD14</f>
        <v>0</v>
      </c>
      <c r="AE104" s="139">
        <f>Financing!AE14</f>
        <v>0</v>
      </c>
      <c r="AF104" s="139">
        <f>Financing!AF14</f>
        <v>0</v>
      </c>
      <c r="AG104" s="139">
        <f>Financing!AG14</f>
        <v>0</v>
      </c>
    </row>
    <row r="105" spans="1:33" ht="17.25" customHeight="1" outlineLevel="1">
      <c r="A105" s="861"/>
      <c r="B105" s="235"/>
      <c r="C105" s="199" t="s">
        <v>297</v>
      </c>
      <c r="D105" s="125"/>
      <c r="E105" s="125"/>
      <c r="F105" s="125"/>
      <c r="G105" s="800"/>
      <c r="H105" s="125"/>
      <c r="I105" s="236">
        <f t="shared" ca="1" si="22"/>
        <v>1613.9309957741468</v>
      </c>
      <c r="J105" s="139">
        <f>Financing!J15</f>
        <v>0</v>
      </c>
      <c r="K105" s="139">
        <f ca="1">Financing!K15</f>
        <v>0</v>
      </c>
      <c r="L105" s="139">
        <f ca="1">Financing!L15</f>
        <v>0</v>
      </c>
      <c r="M105" s="139">
        <f ca="1">Financing!M15</f>
        <v>112.76995380952383</v>
      </c>
      <c r="N105" s="139">
        <f ca="1">Financing!N15</f>
        <v>135.66872078825526</v>
      </c>
      <c r="O105" s="139">
        <f ca="1">Financing!O15</f>
        <v>87.893928030075188</v>
      </c>
      <c r="P105" s="139">
        <f ca="1">Financing!P15</f>
        <v>37.093430759216716</v>
      </c>
      <c r="Q105" s="139">
        <f ca="1">Financing!Q15</f>
        <v>97.140572712524701</v>
      </c>
      <c r="R105" s="139">
        <f ca="1">Financing!R15</f>
        <v>19.480965519885757</v>
      </c>
      <c r="S105" s="139">
        <f ca="1">Financing!S15</f>
        <v>0</v>
      </c>
      <c r="T105" s="139">
        <f ca="1">Financing!T15</f>
        <v>184.14425725274884</v>
      </c>
      <c r="U105" s="139">
        <f ca="1">Financing!U15</f>
        <v>99.52161929653488</v>
      </c>
      <c r="V105" s="139">
        <f ca="1">Financing!V15</f>
        <v>12.403248372971339</v>
      </c>
      <c r="W105" s="139">
        <f ca="1">Financing!W15</f>
        <v>155.22670974795466</v>
      </c>
      <c r="X105" s="139">
        <f ca="1">Financing!X15</f>
        <v>28.449633562132675</v>
      </c>
      <c r="Y105" s="139">
        <f ca="1">Financing!Y15</f>
        <v>0</v>
      </c>
      <c r="Z105" s="139">
        <f ca="1">Financing!Z15</f>
        <v>181.3017019757622</v>
      </c>
      <c r="AA105" s="139">
        <f ca="1">Financing!AA15</f>
        <v>30.524829941458776</v>
      </c>
      <c r="AB105" s="139">
        <f ca="1">Financing!AB15</f>
        <v>0</v>
      </c>
      <c r="AC105" s="139">
        <f ca="1">Financing!AC15</f>
        <v>312.50694783579138</v>
      </c>
      <c r="AD105" s="139">
        <f ca="1">Financing!AD15</f>
        <v>119.80447616931055</v>
      </c>
      <c r="AE105" s="139">
        <f ca="1">Financing!AE15</f>
        <v>0</v>
      </c>
      <c r="AF105" s="139">
        <f ca="1">Financing!AF15</f>
        <v>0</v>
      </c>
      <c r="AG105" s="139">
        <f ca="1">Financing!AG15</f>
        <v>0</v>
      </c>
    </row>
    <row r="106" spans="1:33" ht="17.25" customHeight="1" outlineLevel="1">
      <c r="A106" s="861"/>
      <c r="B106" s="235"/>
      <c r="C106" s="133" t="s">
        <v>561</v>
      </c>
      <c r="D106" s="132"/>
      <c r="E106" s="132"/>
      <c r="F106" s="132"/>
      <c r="G106" s="132"/>
      <c r="H106" s="132"/>
      <c r="I106" s="236">
        <f t="shared" ca="1" si="22"/>
        <v>1829778.3696448696</v>
      </c>
      <c r="J106" s="148">
        <f t="shared" ref="J106:AG106" ca="1" si="23">SUM(J101:J105)</f>
        <v>2654.5333333333333</v>
      </c>
      <c r="K106" s="148">
        <f t="shared" ca="1" si="23"/>
        <v>2306.5333333333333</v>
      </c>
      <c r="L106" s="148">
        <f t="shared" ca="1" si="23"/>
        <v>8672.5333333333328</v>
      </c>
      <c r="M106" s="148">
        <f t="shared" ca="1" si="23"/>
        <v>58752.905287142858</v>
      </c>
      <c r="N106" s="148">
        <f t="shared" ca="1" si="23"/>
        <v>2790.2020541215884</v>
      </c>
      <c r="O106" s="148">
        <f t="shared" ca="1" si="23"/>
        <v>2742.4272613634084</v>
      </c>
      <c r="P106" s="148">
        <f t="shared" ca="1" si="23"/>
        <v>119877.32539875922</v>
      </c>
      <c r="Q106" s="148">
        <f t="shared" ca="1" si="23"/>
        <v>1918.3405727125248</v>
      </c>
      <c r="R106" s="148">
        <f t="shared" ca="1" si="23"/>
        <v>-159.3190344801142</v>
      </c>
      <c r="S106" s="148">
        <f t="shared" ca="1" si="23"/>
        <v>192001.91030456123</v>
      </c>
      <c r="T106" s="148">
        <f t="shared" ca="1" si="23"/>
        <v>2005.3442572527488</v>
      </c>
      <c r="U106" s="148">
        <f t="shared" ca="1" si="23"/>
        <v>2187.5216192965349</v>
      </c>
      <c r="V106" s="148">
        <f t="shared" ca="1" si="23"/>
        <v>259065.15453440062</v>
      </c>
      <c r="W106" s="148">
        <f t="shared" ca="1" si="23"/>
        <v>1976.4267097479546</v>
      </c>
      <c r="X106" s="148">
        <f t="shared" ca="1" si="23"/>
        <v>1849.6496335621327</v>
      </c>
      <c r="Y106" s="148">
        <f t="shared" ca="1" si="23"/>
        <v>317432.11096511409</v>
      </c>
      <c r="Z106" s="148">
        <f t="shared" ca="1" si="23"/>
        <v>9502.5017019757634</v>
      </c>
      <c r="AA106" s="148">
        <f t="shared" ca="1" si="23"/>
        <v>1851.7248299414589</v>
      </c>
      <c r="AB106" s="148">
        <f t="shared" ca="1" si="23"/>
        <v>386766.81280937139</v>
      </c>
      <c r="AC106" s="148">
        <f t="shared" ca="1" si="23"/>
        <v>4883.7069478357917</v>
      </c>
      <c r="AD106" s="148">
        <f t="shared" ca="1" si="23"/>
        <v>1941.0044761693107</v>
      </c>
      <c r="AE106" s="148">
        <f t="shared" ca="1" si="23"/>
        <v>448759.01931602112</v>
      </c>
      <c r="AF106" s="148">
        <f t="shared" ca="1" si="23"/>
        <v>0</v>
      </c>
      <c r="AG106" s="148">
        <f t="shared" ca="1" si="23"/>
        <v>0</v>
      </c>
    </row>
    <row r="107" spans="1:33" ht="17.25" customHeight="1" outlineLevel="1">
      <c r="A107" s="861"/>
      <c r="B107" s="235"/>
      <c r="C107" s="235"/>
      <c r="D107" s="235"/>
      <c r="E107" s="235"/>
      <c r="F107" s="235"/>
      <c r="G107" s="861"/>
      <c r="H107" s="235"/>
      <c r="I107" s="441"/>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ht="21.75" customHeight="1" outlineLevel="1">
      <c r="A108" s="861"/>
      <c r="B108" s="235"/>
      <c r="C108" s="274" t="s">
        <v>295</v>
      </c>
      <c r="D108" s="235"/>
      <c r="E108" s="235"/>
      <c r="F108" s="235"/>
      <c r="G108" s="861"/>
      <c r="H108" s="235"/>
      <c r="I108" s="441"/>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ht="17.25" customHeight="1" outlineLevel="1">
      <c r="A109" s="861"/>
      <c r="B109" s="235"/>
      <c r="C109" s="632" t="s">
        <v>286</v>
      </c>
      <c r="D109" s="125"/>
      <c r="E109" s="333"/>
      <c r="F109" s="125"/>
      <c r="G109" s="800"/>
      <c r="H109" s="125"/>
      <c r="I109" s="236">
        <f t="shared" ref="I109:I126" ca="1" si="24">SUM(J109:AG109)</f>
        <v>-39860.222540356524</v>
      </c>
      <c r="J109" s="141">
        <f ca="1">Financing!J16</f>
        <v>-255</v>
      </c>
      <c r="K109" s="141">
        <f ca="1">Financing!K16</f>
        <v>-405</v>
      </c>
      <c r="L109" s="141">
        <f ca="1">Financing!L16</f>
        <v>-592.5</v>
      </c>
      <c r="M109" s="141">
        <f ca="1">Financing!M16</f>
        <v>-726.3</v>
      </c>
      <c r="N109" s="141">
        <f ca="1">Financing!N16</f>
        <v>-893.10000000000014</v>
      </c>
      <c r="O109" s="141">
        <f ca="1">Financing!O16</f>
        <v>-1059.0120000000002</v>
      </c>
      <c r="P109" s="141">
        <f ca="1">Financing!P16</f>
        <v>-1185.0484800000002</v>
      </c>
      <c r="Q109" s="141">
        <f ca="1">Financing!Q16</f>
        <v>-1337.1388992000002</v>
      </c>
      <c r="R109" s="141">
        <f ca="1">Financing!R16</f>
        <v>-1489.5673351680002</v>
      </c>
      <c r="S109" s="141">
        <f ca="1">Financing!S16</f>
        <v>-1612.7437885747199</v>
      </c>
      <c r="T109" s="141">
        <f ca="1">Financing!T16</f>
        <v>-1756.8167849177091</v>
      </c>
      <c r="U109" s="141">
        <f ca="1">Financing!U16</f>
        <v>-1902.2860451144177</v>
      </c>
      <c r="V109" s="141">
        <f ca="1">Financing!V16</f>
        <v>-2026.7087445189943</v>
      </c>
      <c r="W109" s="141">
        <f ca="1">Financing!W16</f>
        <v>-2168.2451603477543</v>
      </c>
      <c r="X109" s="141">
        <f ca="1">Financing!X16</f>
        <v>-2312.1243742496645</v>
      </c>
      <c r="Y109" s="141">
        <f ca="1">Financing!Y16</f>
        <v>-2441.3411049956508</v>
      </c>
      <c r="Z109" s="141">
        <f ca="1">Financing!Z16</f>
        <v>-2584.9504793919573</v>
      </c>
      <c r="AA109" s="141">
        <f ca="1">Financing!AA16</f>
        <v>-2731.7820482585153</v>
      </c>
      <c r="AB109" s="141">
        <f ca="1">Financing!AB16</f>
        <v>-2868.9694645786162</v>
      </c>
      <c r="AC109" s="141">
        <f ca="1">Financing!AC16</f>
        <v>-3018.6545981110853</v>
      </c>
      <c r="AD109" s="141">
        <f ca="1">Financing!AD16</f>
        <v>-3172.4102798005979</v>
      </c>
      <c r="AE109" s="141">
        <f ca="1">Financing!AE16</f>
        <v>-3320.5229531288401</v>
      </c>
      <c r="AF109" s="141">
        <f ca="1">Financing!AF16</f>
        <v>0</v>
      </c>
      <c r="AG109" s="141">
        <f ca="1">Financing!AG16</f>
        <v>0</v>
      </c>
    </row>
    <row r="110" spans="1:33" s="621" customFormat="1" ht="17.25" customHeight="1" outlineLevel="1">
      <c r="A110" s="861"/>
      <c r="B110" s="861"/>
      <c r="C110" s="800" t="str">
        <f>"Other Direct Costs (incl. "&amp;Name_VAT &amp;")"</f>
        <v>Other Direct Costs (incl. VAT)</v>
      </c>
      <c r="D110" s="800"/>
      <c r="E110" s="800"/>
      <c r="F110" s="800"/>
      <c r="G110" s="800"/>
      <c r="H110" s="800"/>
      <c r="I110" s="236">
        <f t="shared" ca="1" si="24"/>
        <v>-184197.61157293114</v>
      </c>
      <c r="J110" s="141">
        <f ca="1">Financing!J17</f>
        <v>-912.4559999999999</v>
      </c>
      <c r="K110" s="141">
        <f ca="1">Financing!K17</f>
        <v>-1353.2559999999999</v>
      </c>
      <c r="L110" s="141">
        <f ca="1">Financing!L17</f>
        <v>-1904.2560000000005</v>
      </c>
      <c r="M110" s="141">
        <f ca="1">Financing!M17</f>
        <v>-3560.6652399999994</v>
      </c>
      <c r="N110" s="141">
        <f ca="1">Financing!N17</f>
        <v>-3005.5947999999999</v>
      </c>
      <c r="O110" s="141">
        <f ca="1">Financing!O17</f>
        <v>-3597.8448639999992</v>
      </c>
      <c r="P110" s="141">
        <f ca="1">Financing!P17</f>
        <v>-6529.1999099200011</v>
      </c>
      <c r="Q110" s="141">
        <f ca="1">Financing!Q17</f>
        <v>-4790.0829397824009</v>
      </c>
      <c r="R110" s="141">
        <f ca="1">Financing!R17</f>
        <v>-5430.1112157736961</v>
      </c>
      <c r="S110" s="141">
        <f ca="1">Financing!S17</f>
        <v>-9729.6837458958689</v>
      </c>
      <c r="T110" s="141">
        <f ca="1">Financing!T17</f>
        <v>-6522.8468431168303</v>
      </c>
      <c r="U110" s="141">
        <f ca="1">Financing!U17</f>
        <v>-7123.4450097615036</v>
      </c>
      <c r="V110" s="141">
        <f ca="1">Financing!V17</f>
        <v>-12762.349761382517</v>
      </c>
      <c r="W110" s="141">
        <f ca="1">Financing!W17</f>
        <v>-8194.7629799048427</v>
      </c>
      <c r="X110" s="141">
        <f ca="1">Financing!X17</f>
        <v>-8779.6508200294356</v>
      </c>
      <c r="Y110" s="141">
        <f ca="1">Financing!Y17</f>
        <v>-15599.759206716199</v>
      </c>
      <c r="Z110" s="141">
        <f ca="1">Financing!Z17</f>
        <v>-9865.0079983646738</v>
      </c>
      <c r="AA110" s="141">
        <f ca="1">Financing!AA17</f>
        <v>-10453.99267759859</v>
      </c>
      <c r="AB110" s="141">
        <f ca="1">Financing!AB17</f>
        <v>-18596.888172809184</v>
      </c>
      <c r="AC110" s="141">
        <f ca="1">Financing!AC17</f>
        <v>-11584.109511215871</v>
      </c>
      <c r="AD110" s="141">
        <f ca="1">Financing!AD17</f>
        <v>-12194.24688035605</v>
      </c>
      <c r="AE110" s="141">
        <f ca="1">Financing!AE17</f>
        <v>-21707.40099630344</v>
      </c>
      <c r="AF110" s="141">
        <f ca="1">Financing!AF17</f>
        <v>0</v>
      </c>
      <c r="AG110" s="141">
        <f ca="1">Financing!AG17</f>
        <v>0</v>
      </c>
    </row>
    <row r="111" spans="1:33" s="621" customFormat="1" ht="17.25" customHeight="1" outlineLevel="1">
      <c r="A111" s="861"/>
      <c r="B111" s="861"/>
      <c r="C111" s="800" t="str">
        <f>"Changes in inventory (incl. "&amp;Name_VAT &amp;")"</f>
        <v>Changes in inventory (incl. VAT)</v>
      </c>
      <c r="D111" s="800"/>
      <c r="E111" s="800"/>
      <c r="F111" s="800"/>
      <c r="G111" s="800"/>
      <c r="H111" s="800"/>
      <c r="I111" s="236">
        <f t="shared" ca="1" si="24"/>
        <v>-51832.919156826101</v>
      </c>
      <c r="J111" s="141">
        <f ca="1">Financing!J18</f>
        <v>-2206.0714285714289</v>
      </c>
      <c r="K111" s="141">
        <f ca="1">Financing!K18</f>
        <v>-1301.9930875576031</v>
      </c>
      <c r="L111" s="141">
        <f ca="1">Financing!L18</f>
        <v>-2354.7688172043008</v>
      </c>
      <c r="M111" s="141">
        <f ca="1">Financing!M18</f>
        <v>-1885.8544086021502</v>
      </c>
      <c r="N111" s="141">
        <f ca="1">Financing!N18</f>
        <v>-2803.0202580645182</v>
      </c>
      <c r="O111" s="141">
        <f ca="1">Financing!O18</f>
        <v>-1921.1014451612898</v>
      </c>
      <c r="P111" s="141">
        <f ca="1">Financing!P18</f>
        <v>-2662.6057455483915</v>
      </c>
      <c r="Q111" s="141">
        <f ca="1">Financing!Q18</f>
        <v>-3351.976052639654</v>
      </c>
      <c r="R111" s="141">
        <f ca="1">Financing!R18</f>
        <v>-2135.4898180861251</v>
      </c>
      <c r="S111" s="141">
        <f ca="1">Financing!S18</f>
        <v>-3007.9480867205139</v>
      </c>
      <c r="T111" s="141">
        <f ca="1">Financing!T18</f>
        <v>-1766.9926446823006</v>
      </c>
      <c r="U111" s="141">
        <f ca="1">Financing!U18</f>
        <v>-1421.2661761990589</v>
      </c>
      <c r="V111" s="141">
        <f ca="1">Financing!V18</f>
        <v>-5331.9328447270873</v>
      </c>
      <c r="W111" s="141">
        <f ca="1">Financing!W18</f>
        <v>867.27906519938188</v>
      </c>
      <c r="X111" s="141">
        <f ca="1">Financing!X18</f>
        <v>-3632.3568612780409</v>
      </c>
      <c r="Y111" s="141">
        <f ca="1">Financing!Y18</f>
        <v>-862.11878039673525</v>
      </c>
      <c r="Z111" s="141">
        <f ca="1">Financing!Z18</f>
        <v>-3744.8689246570998</v>
      </c>
      <c r="AA111" s="141">
        <f ca="1">Financing!AA18</f>
        <v>-1063.0844116864741</v>
      </c>
      <c r="AB111" s="141">
        <f ca="1">Financing!AB18</f>
        <v>-2185.2276612255528</v>
      </c>
      <c r="AC111" s="141">
        <f ca="1">Financing!AC18</f>
        <v>-4047.1676901187211</v>
      </c>
      <c r="AD111" s="141">
        <f ca="1">Financing!AD18</f>
        <v>-909.14503631415255</v>
      </c>
      <c r="AE111" s="141">
        <f ca="1">Financing!AE18</f>
        <v>-4105.2080425842769</v>
      </c>
      <c r="AF111" s="141">
        <f ca="1">Financing!AF18</f>
        <v>0</v>
      </c>
      <c r="AG111" s="141">
        <f ca="1">Financing!AG18</f>
        <v>0</v>
      </c>
    </row>
    <row r="112" spans="1:33" s="621" customFormat="1" ht="17.25" customHeight="1" outlineLevel="1">
      <c r="A112" s="861"/>
      <c r="B112" s="861"/>
      <c r="C112" s="800" t="str">
        <f>"Overheads (incl. "&amp;Name_VAT &amp;")"</f>
        <v>Overheads (incl. VAT)</v>
      </c>
      <c r="D112" s="800"/>
      <c r="E112" s="800"/>
      <c r="F112" s="800"/>
      <c r="G112" s="800"/>
      <c r="H112" s="800"/>
      <c r="I112" s="236">
        <f t="shared" ca="1" si="24"/>
        <v>-906980.52447950386</v>
      </c>
      <c r="J112" s="141">
        <f ca="1">Financing!J19</f>
        <v>-13772.273333333333</v>
      </c>
      <c r="K112" s="141">
        <f ca="1">Financing!K19</f>
        <v>-19894.406666666666</v>
      </c>
      <c r="L112" s="141">
        <f ca="1">Financing!L19</f>
        <v>-21592.906666666669</v>
      </c>
      <c r="M112" s="141">
        <f ca="1">Financing!M19</f>
        <v>-27095.934666666668</v>
      </c>
      <c r="N112" s="141">
        <f ca="1">Financing!N19</f>
        <v>-32149.641999999996</v>
      </c>
      <c r="O112" s="141">
        <f ca="1">Financing!O19</f>
        <v>-28683.911160000003</v>
      </c>
      <c r="P112" s="141">
        <f ca="1">Financing!P19</f>
        <v>-31268.645165733335</v>
      </c>
      <c r="Q112" s="141">
        <f ca="1">Financing!Q19</f>
        <v>-37351.496138489332</v>
      </c>
      <c r="R112" s="141">
        <f ca="1">Financing!R19</f>
        <v>-36646.445210656842</v>
      </c>
      <c r="S112" s="141">
        <f ca="1">Financing!S19</f>
        <v>-37568.430613617325</v>
      </c>
      <c r="T112" s="141">
        <f ca="1">Financing!T19</f>
        <v>-38683.070276948245</v>
      </c>
      <c r="U112" s="141">
        <f ca="1">Financing!U19</f>
        <v>-41911.683229719223</v>
      </c>
      <c r="V112" s="141">
        <f ca="1">Financing!V19</f>
        <v>-41069.112996355703</v>
      </c>
      <c r="W112" s="141">
        <f ca="1">Financing!W19</f>
        <v>-48548.910871465567</v>
      </c>
      <c r="X112" s="141">
        <f ca="1">Financing!X19</f>
        <v>-46966.838116025967</v>
      </c>
      <c r="Y112" s="141">
        <f ca="1">Financing!Y19</f>
        <v>-50974.22652239586</v>
      </c>
      <c r="Z112" s="141">
        <f ca="1">Financing!Z19</f>
        <v>-50916.973811657335</v>
      </c>
      <c r="AA112" s="141">
        <f ca="1">Financing!AA19</f>
        <v>-51838.831904547493</v>
      </c>
      <c r="AB112" s="141">
        <f ca="1">Financing!AB19</f>
        <v>-63691.585403596153</v>
      </c>
      <c r="AC112" s="141">
        <f ca="1">Financing!AC19</f>
        <v>-58589.402760347795</v>
      </c>
      <c r="AD112" s="141">
        <f ca="1">Financing!AD19</f>
        <v>-61074.572735004971</v>
      </c>
      <c r="AE112" s="141">
        <f ca="1">Financing!AE19</f>
        <v>-66691.224229609405</v>
      </c>
      <c r="AF112" s="141">
        <f ca="1">Financing!AF19</f>
        <v>0</v>
      </c>
      <c r="AG112" s="141">
        <f ca="1">Financing!AG19</f>
        <v>0</v>
      </c>
    </row>
    <row r="113" spans="1:33" ht="17.25" customHeight="1" outlineLevel="1">
      <c r="A113" s="861"/>
      <c r="B113" s="235"/>
      <c r="C113" s="800" t="str">
        <f>CHOOSE(language,"Direct labour costs (w/o social insurance+income tax)","Direct labor expenses (w/o social insurance+income tax)")</f>
        <v>Direct labor expenses (w/o social insurance+income tax)</v>
      </c>
      <c r="D113" s="800"/>
      <c r="E113" s="800"/>
      <c r="F113" s="800"/>
      <c r="G113" s="800"/>
      <c r="H113" s="800"/>
      <c r="I113" s="236">
        <f t="shared" ca="1" si="24"/>
        <v>-207224.83861747268</v>
      </c>
      <c r="J113" s="141">
        <f ca="1">Financing!J20</f>
        <v>-1260.6300000000001</v>
      </c>
      <c r="K113" s="141">
        <f ca="1">Financing!K20</f>
        <v>-1869.63</v>
      </c>
      <c r="L113" s="141">
        <f ca="1">Financing!L20</f>
        <v>-2630.8800000000006</v>
      </c>
      <c r="M113" s="141">
        <f ca="1">Financing!M20</f>
        <v>-3359.5484999999999</v>
      </c>
      <c r="N113" s="141">
        <f ca="1">Financing!N20</f>
        <v>-4152.4665000000005</v>
      </c>
      <c r="O113" s="141">
        <f ca="1">Financing!O20</f>
        <v>-4970.7067200000001</v>
      </c>
      <c r="P113" s="141">
        <f ca="1">Financing!P20</f>
        <v>-5761.7966237999999</v>
      </c>
      <c r="Q113" s="141">
        <f ca="1">Financing!Q20</f>
        <v>-6617.8777457520018</v>
      </c>
      <c r="R113" s="141">
        <f ca="1">Financing!R20</f>
        <v>-7502.127337582082</v>
      </c>
      <c r="S113" s="141">
        <f ca="1">Financing!S20</f>
        <v>-8187.3329168353639</v>
      </c>
      <c r="T113" s="141">
        <f ca="1">Financing!T20</f>
        <v>-9011.8278753587801</v>
      </c>
      <c r="U113" s="141">
        <f ca="1">Financing!U20</f>
        <v>-9940.0176748053636</v>
      </c>
      <c r="V113" s="141">
        <f ca="1">Financing!V20</f>
        <v>-10629.724630486204</v>
      </c>
      <c r="W113" s="141">
        <f ca="1">Financing!W20</f>
        <v>-11434.929131827745</v>
      </c>
      <c r="X113" s="141">
        <f ca="1">Financing!X20</f>
        <v>-12251.078545580551</v>
      </c>
      <c r="Y113" s="141">
        <f ca="1">Financing!Y20</f>
        <v>-12959.785812042708</v>
      </c>
      <c r="Z113" s="141">
        <f ca="1">Financing!Z20</f>
        <v>-13765.580239823339</v>
      </c>
      <c r="AA113" s="141">
        <f ca="1">Financing!AA20</f>
        <v>-14587.446361306977</v>
      </c>
      <c r="AB113" s="141">
        <f ca="1">Financing!AB20</f>
        <v>-15333.959157338648</v>
      </c>
      <c r="AC113" s="141">
        <f ca="1">Financing!AC20</f>
        <v>-16164.405442953203</v>
      </c>
      <c r="AD113" s="141">
        <f ca="1">Financing!AD20</f>
        <v>-17015.78791660209</v>
      </c>
      <c r="AE113" s="141">
        <f ca="1">Financing!AE20</f>
        <v>-17817.299485377622</v>
      </c>
      <c r="AF113" s="141">
        <f ca="1">Financing!AF20</f>
        <v>0</v>
      </c>
      <c r="AG113" s="141">
        <f ca="1">Financing!AG20</f>
        <v>0</v>
      </c>
    </row>
    <row r="114" spans="1:33" s="199" customFormat="1" ht="17.25" customHeight="1" outlineLevel="1">
      <c r="A114" s="861"/>
      <c r="B114" s="235"/>
      <c r="C114" s="632" t="s">
        <v>721</v>
      </c>
      <c r="D114" s="333"/>
      <c r="E114" s="333"/>
      <c r="F114" s="125"/>
      <c r="G114" s="800"/>
      <c r="H114" s="125"/>
      <c r="I114" s="236">
        <f t="shared" ca="1" si="24"/>
        <v>-136461.00617151137</v>
      </c>
      <c r="J114" s="141">
        <f>Financing!J21</f>
        <v>0</v>
      </c>
      <c r="K114" s="141">
        <f ca="1">Financing!K21</f>
        <v>-1774.7555555555555</v>
      </c>
      <c r="L114" s="141">
        <f ca="1">Financing!L21</f>
        <v>-2140.3111111111116</v>
      </c>
      <c r="M114" s="141">
        <f ca="1">Financing!M21</f>
        <v>-2493.0888888888894</v>
      </c>
      <c r="N114" s="141">
        <f ca="1">Financing!N21</f>
        <v>-2778.1844444444446</v>
      </c>
      <c r="O114" s="141">
        <f ca="1">Financing!O21</f>
        <v>-3087.7488888888893</v>
      </c>
      <c r="P114" s="141">
        <f ca="1">Financing!P21</f>
        <v>-3990.6492444444448</v>
      </c>
      <c r="Q114" s="141">
        <f ca="1">Financing!Q21</f>
        <v>-4300.7119475555564</v>
      </c>
      <c r="R114" s="141">
        <f ca="1">Financing!R21</f>
        <v>-5718.9223054577797</v>
      </c>
      <c r="S114" s="141">
        <f ca="1">Financing!S21</f>
        <v>-6064.9334110094233</v>
      </c>
      <c r="T114" s="141">
        <f ca="1">Financing!T21</f>
        <v>-6337.5372774498001</v>
      </c>
      <c r="U114" s="141">
        <f ca="1">Financing!U21</f>
        <v>-6662.6868892144594</v>
      </c>
      <c r="V114" s="141">
        <f ca="1">Financing!V21</f>
        <v>-7069.0564569434773</v>
      </c>
      <c r="W114" s="141">
        <f ca="1">Financing!W21</f>
        <v>-7346.3257714228839</v>
      </c>
      <c r="X114" s="141">
        <f ca="1">Financing!X21</f>
        <v>-8256.6481267138643</v>
      </c>
      <c r="Y114" s="141">
        <f ca="1">Financing!Y21</f>
        <v>-8582.7175270751522</v>
      </c>
      <c r="Z114" s="141">
        <f ca="1">Financing!Z21</f>
        <v>-8869.5681566572093</v>
      </c>
      <c r="AA114" s="141">
        <f ca="1">Financing!AA21</f>
        <v>-9193.5366676399772</v>
      </c>
      <c r="AB114" s="141">
        <f ca="1">Financing!AB21</f>
        <v>-9524.4352070479781</v>
      </c>
      <c r="AC114" s="141">
        <f ca="1">Financing!AC21</f>
        <v>-10417.360618485669</v>
      </c>
      <c r="AD114" s="141">
        <f ca="1">Financing!AD21</f>
        <v>-10753.442282848882</v>
      </c>
      <c r="AE114" s="141">
        <f ca="1">Financing!AE21</f>
        <v>-11098.385392655924</v>
      </c>
      <c r="AF114" s="141">
        <f ca="1">Financing!AF21</f>
        <v>0</v>
      </c>
      <c r="AG114" s="141">
        <f ca="1">Financing!AG21</f>
        <v>0</v>
      </c>
    </row>
    <row r="115" spans="1:33" s="199" customFormat="1" ht="17.25" customHeight="1" outlineLevel="1">
      <c r="A115" s="861"/>
      <c r="B115" s="235"/>
      <c r="C115" s="333" t="s">
        <v>281</v>
      </c>
      <c r="D115" s="333"/>
      <c r="E115" s="333"/>
      <c r="F115" s="125"/>
      <c r="G115" s="800"/>
      <c r="H115" s="125"/>
      <c r="I115" s="236">
        <f t="shared" si="24"/>
        <v>0</v>
      </c>
      <c r="J115" s="141">
        <f>Financing!J22</f>
        <v>0</v>
      </c>
      <c r="K115" s="141">
        <f>Financing!K22</f>
        <v>0</v>
      </c>
      <c r="L115" s="141">
        <f>Financing!L22</f>
        <v>0</v>
      </c>
      <c r="M115" s="141">
        <f>Financing!M22</f>
        <v>0</v>
      </c>
      <c r="N115" s="141">
        <f>Financing!N22</f>
        <v>0</v>
      </c>
      <c r="O115" s="141">
        <f>Financing!O22</f>
        <v>0</v>
      </c>
      <c r="P115" s="141">
        <f>Financing!P22</f>
        <v>0</v>
      </c>
      <c r="Q115" s="141">
        <f>Financing!Q22</f>
        <v>0</v>
      </c>
      <c r="R115" s="141">
        <f>Financing!R22</f>
        <v>0</v>
      </c>
      <c r="S115" s="141">
        <f>Financing!S22</f>
        <v>0</v>
      </c>
      <c r="T115" s="141">
        <f>Financing!T22</f>
        <v>0</v>
      </c>
      <c r="U115" s="141">
        <f>Financing!U22</f>
        <v>0</v>
      </c>
      <c r="V115" s="141">
        <f>Financing!V22</f>
        <v>0</v>
      </c>
      <c r="W115" s="141">
        <f>Financing!W22</f>
        <v>0</v>
      </c>
      <c r="X115" s="141">
        <f>Financing!X22</f>
        <v>0</v>
      </c>
      <c r="Y115" s="141">
        <f>Financing!Y22</f>
        <v>0</v>
      </c>
      <c r="Z115" s="141">
        <f>Financing!Z22</f>
        <v>0</v>
      </c>
      <c r="AA115" s="141">
        <f>Financing!AA22</f>
        <v>0</v>
      </c>
      <c r="AB115" s="141">
        <f>Financing!AB22</f>
        <v>0</v>
      </c>
      <c r="AC115" s="141">
        <f>Financing!AC22</f>
        <v>0</v>
      </c>
      <c r="AD115" s="141">
        <f>Financing!AD22</f>
        <v>0</v>
      </c>
      <c r="AE115" s="141">
        <f>Financing!AE22</f>
        <v>0</v>
      </c>
      <c r="AF115" s="141">
        <f>Financing!AF22</f>
        <v>0</v>
      </c>
      <c r="AG115" s="141">
        <f>Financing!AG22</f>
        <v>0</v>
      </c>
    </row>
    <row r="116" spans="1:33" ht="17.25" customHeight="1" outlineLevel="1">
      <c r="A116" s="861"/>
      <c r="B116" s="235"/>
      <c r="C116" s="333" t="str">
        <f>"Capital Expenditure (incl. "&amp;Name_VAT &amp;")"</f>
        <v>Capital Expenditure (incl. VAT)</v>
      </c>
      <c r="D116" s="333"/>
      <c r="E116" s="333"/>
      <c r="F116" s="125"/>
      <c r="G116" s="800"/>
      <c r="H116" s="125"/>
      <c r="I116" s="236">
        <f t="shared" si="24"/>
        <v>-267140</v>
      </c>
      <c r="J116" s="141">
        <f>Financing!J23</f>
        <v>-11800</v>
      </c>
      <c r="K116" s="141">
        <f>Financing!K23</f>
        <v>0</v>
      </c>
      <c r="L116" s="141">
        <f>Financing!L23</f>
        <v>-64700</v>
      </c>
      <c r="M116" s="141">
        <f>Financing!M23</f>
        <v>0</v>
      </c>
      <c r="N116" s="141">
        <f>Financing!N23</f>
        <v>0</v>
      </c>
      <c r="O116" s="141">
        <f>Financing!O23</f>
        <v>0</v>
      </c>
      <c r="P116" s="141">
        <f>Financing!P23</f>
        <v>-18900</v>
      </c>
      <c r="Q116" s="141">
        <f>Financing!Q23</f>
        <v>-106740</v>
      </c>
      <c r="R116" s="141">
        <f>Financing!R23</f>
        <v>0</v>
      </c>
      <c r="S116" s="141">
        <f>Financing!S23</f>
        <v>0</v>
      </c>
      <c r="T116" s="141">
        <f>Financing!T23</f>
        <v>0</v>
      </c>
      <c r="U116" s="141">
        <f>Financing!U23</f>
        <v>0</v>
      </c>
      <c r="V116" s="141">
        <f>Financing!V23</f>
        <v>-53000</v>
      </c>
      <c r="W116" s="141">
        <f>Financing!W23</f>
        <v>0</v>
      </c>
      <c r="X116" s="141">
        <f>Financing!X23</f>
        <v>0</v>
      </c>
      <c r="Y116" s="141">
        <f>Financing!Y23</f>
        <v>-12000</v>
      </c>
      <c r="Z116" s="141">
        <f>Financing!Z23</f>
        <v>0</v>
      </c>
      <c r="AA116" s="141">
        <f>Financing!AA23</f>
        <v>0</v>
      </c>
      <c r="AB116" s="141">
        <f>Financing!AB23</f>
        <v>0</v>
      </c>
      <c r="AC116" s="141">
        <f>Financing!AC23</f>
        <v>0</v>
      </c>
      <c r="AD116" s="141">
        <f>Financing!AD23</f>
        <v>0</v>
      </c>
      <c r="AE116" s="141">
        <f>Financing!AE23</f>
        <v>0</v>
      </c>
      <c r="AF116" s="141">
        <f>Financing!AF23</f>
        <v>0</v>
      </c>
      <c r="AG116" s="141">
        <f>Financing!AG23</f>
        <v>0</v>
      </c>
    </row>
    <row r="117" spans="1:33" s="680" customFormat="1" ht="17.25" customHeight="1" outlineLevel="1">
      <c r="A117" s="861"/>
      <c r="B117" s="282"/>
      <c r="C117" s="680" t="s">
        <v>399</v>
      </c>
      <c r="D117" s="333"/>
      <c r="E117" s="333"/>
      <c r="F117" s="333"/>
      <c r="G117" s="800"/>
      <c r="H117" s="333"/>
      <c r="I117" s="236">
        <f t="shared" si="24"/>
        <v>-4000</v>
      </c>
      <c r="J117" s="141">
        <f>Financing!J24</f>
        <v>0</v>
      </c>
      <c r="K117" s="141">
        <f>Financing!K24</f>
        <v>0</v>
      </c>
      <c r="L117" s="141">
        <f>Financing!L24</f>
        <v>0</v>
      </c>
      <c r="M117" s="141">
        <f>Financing!M24</f>
        <v>0</v>
      </c>
      <c r="N117" s="141">
        <f>Financing!N24</f>
        <v>0</v>
      </c>
      <c r="O117" s="141">
        <f>Financing!O24</f>
        <v>0</v>
      </c>
      <c r="P117" s="141">
        <f>Financing!P24</f>
        <v>-250</v>
      </c>
      <c r="Q117" s="141">
        <f>Financing!Q24</f>
        <v>-250</v>
      </c>
      <c r="R117" s="141">
        <f>Financing!R24</f>
        <v>-250</v>
      </c>
      <c r="S117" s="141">
        <f>Financing!S24</f>
        <v>-250</v>
      </c>
      <c r="T117" s="141">
        <f>Financing!T24</f>
        <v>-250</v>
      </c>
      <c r="U117" s="141">
        <f>Financing!U24</f>
        <v>-250</v>
      </c>
      <c r="V117" s="141">
        <f>Financing!V24</f>
        <v>-250</v>
      </c>
      <c r="W117" s="141">
        <f>Financing!W24</f>
        <v>-250</v>
      </c>
      <c r="X117" s="141">
        <f>Financing!X24</f>
        <v>-250</v>
      </c>
      <c r="Y117" s="141">
        <f>Financing!Y24</f>
        <v>-250</v>
      </c>
      <c r="Z117" s="141">
        <f>Financing!Z24</f>
        <v>-250</v>
      </c>
      <c r="AA117" s="141">
        <f>Financing!AA24</f>
        <v>-250</v>
      </c>
      <c r="AB117" s="141">
        <f>Financing!AB24</f>
        <v>-250</v>
      </c>
      <c r="AC117" s="141">
        <f>Financing!AC24</f>
        <v>-250</v>
      </c>
      <c r="AD117" s="141">
        <f>Financing!AD24</f>
        <v>-250</v>
      </c>
      <c r="AE117" s="141">
        <f>Financing!AE24</f>
        <v>-250</v>
      </c>
      <c r="AF117" s="141">
        <f>Financing!AF24</f>
        <v>0</v>
      </c>
      <c r="AG117" s="141">
        <f>Financing!AG24</f>
        <v>0</v>
      </c>
    </row>
    <row r="118" spans="1:33" s="680" customFormat="1" ht="17.25" customHeight="1" outlineLevel="1">
      <c r="A118" s="861"/>
      <c r="B118" s="282"/>
      <c r="C118" s="680" t="s">
        <v>398</v>
      </c>
      <c r="D118" s="333"/>
      <c r="E118" s="333"/>
      <c r="F118" s="333"/>
      <c r="G118" s="800"/>
      <c r="H118" s="333"/>
      <c r="I118" s="236">
        <f t="shared" si="24"/>
        <v>-15000</v>
      </c>
      <c r="J118" s="141">
        <f>Financing!J25</f>
        <v>0</v>
      </c>
      <c r="K118" s="141">
        <f>Financing!K25</f>
        <v>0</v>
      </c>
      <c r="L118" s="141">
        <f>Financing!L25</f>
        <v>0</v>
      </c>
      <c r="M118" s="141">
        <f>Financing!M25</f>
        <v>0</v>
      </c>
      <c r="N118" s="141">
        <f>Financing!N25</f>
        <v>0</v>
      </c>
      <c r="O118" s="141">
        <f>Financing!O25</f>
        <v>0</v>
      </c>
      <c r="P118" s="141">
        <f>Financing!P25</f>
        <v>0</v>
      </c>
      <c r="Q118" s="141">
        <f>Financing!Q25</f>
        <v>-1000</v>
      </c>
      <c r="R118" s="141">
        <f>Financing!R25</f>
        <v>-1000</v>
      </c>
      <c r="S118" s="141">
        <f>Financing!S25</f>
        <v>-1000</v>
      </c>
      <c r="T118" s="141">
        <f>Financing!T25</f>
        <v>-1000</v>
      </c>
      <c r="U118" s="141">
        <f>Financing!U25</f>
        <v>-1000</v>
      </c>
      <c r="V118" s="141">
        <f>Financing!V25</f>
        <v>-1000</v>
      </c>
      <c r="W118" s="141">
        <f>Financing!W25</f>
        <v>-1000</v>
      </c>
      <c r="X118" s="141">
        <f>Financing!X25</f>
        <v>-1000</v>
      </c>
      <c r="Y118" s="141">
        <f>Financing!Y25</f>
        <v>-1000</v>
      </c>
      <c r="Z118" s="141">
        <f>Financing!Z25</f>
        <v>-1000</v>
      </c>
      <c r="AA118" s="141">
        <f>Financing!AA25</f>
        <v>-1000</v>
      </c>
      <c r="AB118" s="141">
        <f>Financing!AB25</f>
        <v>-1000</v>
      </c>
      <c r="AC118" s="141">
        <f>Financing!AC25</f>
        <v>-1000</v>
      </c>
      <c r="AD118" s="141">
        <f>Financing!AD25</f>
        <v>-1000</v>
      </c>
      <c r="AE118" s="141">
        <f>Financing!AE25</f>
        <v>-1000</v>
      </c>
      <c r="AF118" s="141">
        <f>Financing!AF25</f>
        <v>0</v>
      </c>
      <c r="AG118" s="141">
        <f>Financing!AG25</f>
        <v>0</v>
      </c>
    </row>
    <row r="119" spans="1:33" ht="17.25" customHeight="1" outlineLevel="1">
      <c r="A119" s="861"/>
      <c r="B119" s="235"/>
      <c r="C119" s="333" t="s">
        <v>340</v>
      </c>
      <c r="D119" s="125"/>
      <c r="E119" s="333"/>
      <c r="F119" s="125"/>
      <c r="G119" s="800"/>
      <c r="H119" s="125"/>
      <c r="I119" s="236">
        <f t="shared" si="24"/>
        <v>-2250</v>
      </c>
      <c r="J119" s="141">
        <f>Financing!J26</f>
        <v>0</v>
      </c>
      <c r="K119" s="141">
        <f>Financing!K26</f>
        <v>0</v>
      </c>
      <c r="L119" s="141">
        <f>Financing!L26</f>
        <v>0</v>
      </c>
      <c r="M119" s="141">
        <f>Financing!M26</f>
        <v>0</v>
      </c>
      <c r="N119" s="141">
        <f>Financing!N26</f>
        <v>0</v>
      </c>
      <c r="O119" s="141">
        <f>Financing!O26</f>
        <v>0</v>
      </c>
      <c r="P119" s="141">
        <f>Financing!P26</f>
        <v>0</v>
      </c>
      <c r="Q119" s="141">
        <f>Financing!Q26</f>
        <v>0</v>
      </c>
      <c r="R119" s="141">
        <f>Financing!R26</f>
        <v>0</v>
      </c>
      <c r="S119" s="141">
        <f>Financing!S26</f>
        <v>0</v>
      </c>
      <c r="T119" s="141">
        <f>Financing!T26</f>
        <v>0</v>
      </c>
      <c r="U119" s="141">
        <f>Financing!U26</f>
        <v>0</v>
      </c>
      <c r="V119" s="141">
        <f>Financing!V26</f>
        <v>0</v>
      </c>
      <c r="W119" s="141">
        <f>Financing!W26</f>
        <v>-2750</v>
      </c>
      <c r="X119" s="141">
        <f>Financing!X26</f>
        <v>0</v>
      </c>
      <c r="Y119" s="141">
        <f>Financing!Y26</f>
        <v>0</v>
      </c>
      <c r="Z119" s="141">
        <f>Financing!Z26</f>
        <v>0</v>
      </c>
      <c r="AA119" s="141">
        <f>Financing!AA26</f>
        <v>0</v>
      </c>
      <c r="AB119" s="141">
        <f>Financing!AB26</f>
        <v>0</v>
      </c>
      <c r="AC119" s="141">
        <f>Financing!AC26</f>
        <v>0</v>
      </c>
      <c r="AD119" s="141">
        <f>Financing!AD26</f>
        <v>500</v>
      </c>
      <c r="AE119" s="141">
        <f>Financing!AE26</f>
        <v>0</v>
      </c>
      <c r="AF119" s="141">
        <f>Financing!AF26</f>
        <v>0</v>
      </c>
      <c r="AG119" s="141">
        <f>Financing!AG26</f>
        <v>0</v>
      </c>
    </row>
    <row r="120" spans="1:33" ht="17.25" customHeight="1" outlineLevel="1">
      <c r="A120" s="861"/>
      <c r="B120" s="235"/>
      <c r="C120" s="800" t="s">
        <v>1066</v>
      </c>
      <c r="D120" s="125"/>
      <c r="E120" s="333"/>
      <c r="F120" s="125"/>
      <c r="G120" s="800"/>
      <c r="H120" s="125"/>
      <c r="I120" s="236">
        <f t="shared" si="24"/>
        <v>-1000</v>
      </c>
      <c r="J120" s="141">
        <f>Financing!J27</f>
        <v>0</v>
      </c>
      <c r="K120" s="141">
        <f>Financing!K27</f>
        <v>0</v>
      </c>
      <c r="L120" s="141">
        <f>Financing!L27</f>
        <v>0</v>
      </c>
      <c r="M120" s="141">
        <f>Financing!M27</f>
        <v>0</v>
      </c>
      <c r="N120" s="141">
        <f>Financing!N27</f>
        <v>0</v>
      </c>
      <c r="O120" s="141">
        <f>Financing!O27</f>
        <v>0</v>
      </c>
      <c r="P120" s="141">
        <f>Financing!P27</f>
        <v>0</v>
      </c>
      <c r="Q120" s="141">
        <f>Financing!Q27</f>
        <v>0</v>
      </c>
      <c r="R120" s="141">
        <f>Financing!R27</f>
        <v>0</v>
      </c>
      <c r="S120" s="141">
        <f>Financing!S27</f>
        <v>0</v>
      </c>
      <c r="T120" s="141">
        <f>Financing!T27</f>
        <v>0</v>
      </c>
      <c r="U120" s="141">
        <f>Financing!U27</f>
        <v>0</v>
      </c>
      <c r="V120" s="141">
        <f>Financing!V27</f>
        <v>0</v>
      </c>
      <c r="W120" s="141">
        <f>Financing!W27</f>
        <v>0</v>
      </c>
      <c r="X120" s="141">
        <f>Financing!X27</f>
        <v>0</v>
      </c>
      <c r="Y120" s="141">
        <f>Financing!Y27</f>
        <v>0</v>
      </c>
      <c r="Z120" s="141">
        <f>Financing!Z27</f>
        <v>-1000</v>
      </c>
      <c r="AA120" s="141">
        <f>Financing!AA27</f>
        <v>0</v>
      </c>
      <c r="AB120" s="141">
        <f>Financing!AB27</f>
        <v>0</v>
      </c>
      <c r="AC120" s="141">
        <f>Financing!AC27</f>
        <v>0</v>
      </c>
      <c r="AD120" s="141">
        <f>Financing!AD27</f>
        <v>0</v>
      </c>
      <c r="AE120" s="141">
        <f>Financing!AE27</f>
        <v>0</v>
      </c>
      <c r="AF120" s="141">
        <f>Financing!AF27</f>
        <v>0</v>
      </c>
      <c r="AG120" s="141">
        <f>Financing!AG27</f>
        <v>0</v>
      </c>
    </row>
    <row r="121" spans="1:33" s="199" customFormat="1" ht="17.25" customHeight="1" outlineLevel="1">
      <c r="A121" s="861"/>
      <c r="B121" s="235"/>
      <c r="C121" s="333" t="s">
        <v>599</v>
      </c>
      <c r="D121" s="125"/>
      <c r="E121" s="333"/>
      <c r="F121" s="125"/>
      <c r="G121" s="800"/>
      <c r="H121" s="125"/>
      <c r="I121" s="236">
        <f t="shared" ca="1" si="24"/>
        <v>-9506.5448854247734</v>
      </c>
      <c r="J121" s="141">
        <f>Financing!J28*J6</f>
        <v>0</v>
      </c>
      <c r="K121" s="141">
        <f ca="1">Financing!K28*K6</f>
        <v>0</v>
      </c>
      <c r="L121" s="141">
        <f ca="1">Financing!L28*L6</f>
        <v>0</v>
      </c>
      <c r="M121" s="141">
        <f ca="1">Financing!M28*M6</f>
        <v>0</v>
      </c>
      <c r="N121" s="141">
        <f ca="1">Financing!N28*N6</f>
        <v>0</v>
      </c>
      <c r="O121" s="141">
        <f ca="1">Financing!O28*O6</f>
        <v>0</v>
      </c>
      <c r="P121" s="141">
        <f ca="1">Financing!P28*P6</f>
        <v>0</v>
      </c>
      <c r="Q121" s="141">
        <f ca="1">Financing!Q28*Q6</f>
        <v>0</v>
      </c>
      <c r="R121" s="141">
        <f ca="1">Financing!R28*R6</f>
        <v>-366.66666666666669</v>
      </c>
      <c r="S121" s="141">
        <f ca="1">Financing!S28*S6</f>
        <v>-818.22209841296035</v>
      </c>
      <c r="T121" s="141">
        <f ca="1">Financing!T28*T6</f>
        <v>-629.16666666666674</v>
      </c>
      <c r="U121" s="141">
        <f ca="1">Financing!U28*U6</f>
        <v>-629.16666666666674</v>
      </c>
      <c r="V121" s="141">
        <f ca="1">Financing!V28*V6</f>
        <v>-625.83333333333337</v>
      </c>
      <c r="W121" s="141">
        <f ca="1">Financing!W28*W6</f>
        <v>-622.5</v>
      </c>
      <c r="X121" s="141">
        <f ca="1">Financing!X28*X6</f>
        <v>-619.16666666666674</v>
      </c>
      <c r="Y121" s="141">
        <f ca="1">Financing!Y28*Y6</f>
        <v>-1220.6267369394259</v>
      </c>
      <c r="Z121" s="141">
        <f ca="1">Financing!Z28*Z6</f>
        <v>-612.5</v>
      </c>
      <c r="AA121" s="141">
        <f ca="1">Financing!AA28*AA6</f>
        <v>-609.16666666666674</v>
      </c>
      <c r="AB121" s="141">
        <f ca="1">Financing!AB28*AB6</f>
        <v>-812.27085287929538</v>
      </c>
      <c r="AC121" s="141">
        <f ca="1">Financing!AC28*AC6</f>
        <v>-644.16666666666663</v>
      </c>
      <c r="AD121" s="141">
        <f ca="1">Financing!AD28*AD6</f>
        <v>-603.33333333333337</v>
      </c>
      <c r="AE121" s="141">
        <f ca="1">Financing!AE28*AE6</f>
        <v>-693.75853052642321</v>
      </c>
      <c r="AF121" s="141">
        <f ca="1">Financing!AF28*AF6</f>
        <v>0</v>
      </c>
      <c r="AG121" s="141">
        <f ca="1">Financing!AG28*AG6</f>
        <v>0</v>
      </c>
    </row>
    <row r="122" spans="1:33" ht="17.25" customHeight="1" outlineLevel="1">
      <c r="A122" s="861"/>
      <c r="B122" s="235"/>
      <c r="C122" s="632" t="s">
        <v>299</v>
      </c>
      <c r="D122" s="125"/>
      <c r="E122" s="333"/>
      <c r="F122" s="125"/>
      <c r="G122" s="800"/>
      <c r="H122" s="125"/>
      <c r="I122" s="236">
        <f t="shared" ca="1" si="24"/>
        <v>-1124.9999999999998</v>
      </c>
      <c r="J122" s="141">
        <f>Financing!J29</f>
        <v>-1020.8333333333334</v>
      </c>
      <c r="K122" s="141">
        <f ca="1">Financing!K29</f>
        <v>-20.833333333333336</v>
      </c>
      <c r="L122" s="141">
        <f ca="1">Financing!L29</f>
        <v>-20.833333333333336</v>
      </c>
      <c r="M122" s="141">
        <f ca="1">Financing!M29</f>
        <v>-20.833333333333336</v>
      </c>
      <c r="N122" s="141">
        <f ca="1">Financing!N29</f>
        <v>-20.833333333333336</v>
      </c>
      <c r="O122" s="141">
        <f ca="1">Financing!O29</f>
        <v>-20.833333333333336</v>
      </c>
      <c r="P122" s="141">
        <f ca="1">Financing!P29</f>
        <v>0</v>
      </c>
      <c r="Q122" s="141">
        <f ca="1">Financing!Q29</f>
        <v>0</v>
      </c>
      <c r="R122" s="141">
        <f ca="1">Financing!R29</f>
        <v>0</v>
      </c>
      <c r="S122" s="141">
        <f ca="1">Financing!S29</f>
        <v>0</v>
      </c>
      <c r="T122" s="141">
        <f ca="1">Financing!T29</f>
        <v>0</v>
      </c>
      <c r="U122" s="141">
        <f ca="1">Financing!U29</f>
        <v>0</v>
      </c>
      <c r="V122" s="141">
        <f ca="1">Financing!V29</f>
        <v>0</v>
      </c>
      <c r="W122" s="141">
        <f ca="1">Financing!W29</f>
        <v>0</v>
      </c>
      <c r="X122" s="141">
        <f ca="1">Financing!X29</f>
        <v>0</v>
      </c>
      <c r="Y122" s="141">
        <f ca="1">Financing!Y29</f>
        <v>0</v>
      </c>
      <c r="Z122" s="141">
        <f ca="1">Financing!Z29</f>
        <v>0</v>
      </c>
      <c r="AA122" s="141">
        <f ca="1">Financing!AA29</f>
        <v>0</v>
      </c>
      <c r="AB122" s="141">
        <f ca="1">Financing!AB29</f>
        <v>0</v>
      </c>
      <c r="AC122" s="141">
        <f ca="1">Financing!AC29</f>
        <v>0</v>
      </c>
      <c r="AD122" s="141">
        <f ca="1">Financing!AD29</f>
        <v>0</v>
      </c>
      <c r="AE122" s="141">
        <f ca="1">Financing!AE29</f>
        <v>0</v>
      </c>
      <c r="AF122" s="141">
        <f ca="1">Financing!AF29</f>
        <v>0</v>
      </c>
      <c r="AG122" s="141">
        <f ca="1">Financing!AG29</f>
        <v>0</v>
      </c>
    </row>
    <row r="123" spans="1:33" s="199" customFormat="1" ht="17.25" customHeight="1" outlineLevel="1">
      <c r="A123" s="861"/>
      <c r="B123" s="235"/>
      <c r="C123" s="333" t="s">
        <v>302</v>
      </c>
      <c r="D123" s="125"/>
      <c r="E123" s="333"/>
      <c r="F123" s="125"/>
      <c r="G123" s="800"/>
      <c r="H123" s="125"/>
      <c r="I123" s="236">
        <f t="shared" si="24"/>
        <v>-729.16666666666708</v>
      </c>
      <c r="J123" s="141">
        <f>Financing!J31</f>
        <v>-41.666666666666664</v>
      </c>
      <c r="K123" s="141">
        <f>Financing!K31</f>
        <v>-41.666666666666664</v>
      </c>
      <c r="L123" s="141">
        <f>Financing!L31</f>
        <v>-41.666666666666664</v>
      </c>
      <c r="M123" s="141">
        <f>Financing!M31</f>
        <v>-41.666666666666664</v>
      </c>
      <c r="N123" s="141">
        <f>Financing!N31</f>
        <v>-41.666666666666664</v>
      </c>
      <c r="O123" s="141">
        <f>Financing!O31</f>
        <v>-41.666666666666664</v>
      </c>
      <c r="P123" s="141">
        <f>Financing!P31</f>
        <v>-41.666666666666664</v>
      </c>
      <c r="Q123" s="141">
        <f>Financing!Q31</f>
        <v>-41.666666666666664</v>
      </c>
      <c r="R123" s="141">
        <f>Financing!R31</f>
        <v>-41.666666666666664</v>
      </c>
      <c r="S123" s="141">
        <f>Financing!S31</f>
        <v>-41.666666666666664</v>
      </c>
      <c r="T123" s="141">
        <f>Financing!T31</f>
        <v>-41.666666666666664</v>
      </c>
      <c r="U123" s="141">
        <f>Financing!U31</f>
        <v>-41.666666666666664</v>
      </c>
      <c r="V123" s="141">
        <f>Financing!V31</f>
        <v>-41.666666666666664</v>
      </c>
      <c r="W123" s="141">
        <f>Financing!W31</f>
        <v>-20.833333333333332</v>
      </c>
      <c r="X123" s="141">
        <f>Financing!X31</f>
        <v>-20.833333333333332</v>
      </c>
      <c r="Y123" s="141">
        <f>Financing!Y31</f>
        <v>-20.833333333333332</v>
      </c>
      <c r="Z123" s="141">
        <f>Financing!Z31</f>
        <v>-20.833333333333332</v>
      </c>
      <c r="AA123" s="141">
        <f>Financing!AA31</f>
        <v>-20.833333333333332</v>
      </c>
      <c r="AB123" s="141">
        <f>Financing!AB31</f>
        <v>-20.833333333333332</v>
      </c>
      <c r="AC123" s="141">
        <f>Financing!AC31</f>
        <v>-20.833333333333332</v>
      </c>
      <c r="AD123" s="141">
        <f>Financing!AD31</f>
        <v>-20.833333333333332</v>
      </c>
      <c r="AE123" s="141">
        <f>Financing!AE31</f>
        <v>-20.833333333333332</v>
      </c>
      <c r="AF123" s="141">
        <f>Financing!AF31</f>
        <v>0</v>
      </c>
      <c r="AG123" s="141">
        <f>Financing!AG31</f>
        <v>0</v>
      </c>
    </row>
    <row r="124" spans="1:33" s="199" customFormat="1" ht="17.25" customHeight="1" outlineLevel="1">
      <c r="A124" s="861"/>
      <c r="B124" s="235"/>
      <c r="C124" s="24" t="str">
        <f>Name_VAT &amp;" paid/recovered to/from tax authority"</f>
        <v>VAT paid/recovered to/from tax authority</v>
      </c>
      <c r="D124" s="125"/>
      <c r="E124" s="333"/>
      <c r="F124" s="125"/>
      <c r="G124" s="800"/>
      <c r="H124" s="125"/>
      <c r="I124" s="236">
        <f t="shared" ca="1" si="24"/>
        <v>-110125.33558765044</v>
      </c>
      <c r="J124" s="141">
        <f ca="1">Financing!J33</f>
        <v>0</v>
      </c>
      <c r="K124" s="141">
        <f ca="1">Financing!K33</f>
        <v>1740.957714285714</v>
      </c>
      <c r="L124" s="141">
        <f ca="1">Financing!L33</f>
        <v>0</v>
      </c>
      <c r="M124" s="141">
        <f ca="1">Financing!M33</f>
        <v>0</v>
      </c>
      <c r="N124" s="141">
        <f ca="1">Financing!N33</f>
        <v>4834.4717418433156</v>
      </c>
      <c r="O124" s="141">
        <f ca="1">Financing!O33</f>
        <v>0</v>
      </c>
      <c r="P124" s="141">
        <f ca="1">Financing!P33</f>
        <v>0</v>
      </c>
      <c r="Q124" s="141">
        <f ca="1">Financing!Q33</f>
        <v>-8265.0759367380888</v>
      </c>
      <c r="R124" s="141">
        <f ca="1">Financing!R33</f>
        <v>0</v>
      </c>
      <c r="S124" s="141">
        <f ca="1">Financing!S33</f>
        <v>0</v>
      </c>
      <c r="T124" s="141">
        <f ca="1">Financing!T33</f>
        <v>-3703.5295864169129</v>
      </c>
      <c r="U124" s="141">
        <f ca="1">Financing!U33</f>
        <v>0</v>
      </c>
      <c r="V124" s="141">
        <f ca="1">Financing!V33</f>
        <v>0</v>
      </c>
      <c r="W124" s="141">
        <f ca="1">Financing!W33</f>
        <v>-25928.859475302808</v>
      </c>
      <c r="X124" s="141">
        <f ca="1">Financing!X33</f>
        <v>0</v>
      </c>
      <c r="Y124" s="141">
        <f ca="1">Financing!Y33</f>
        <v>0</v>
      </c>
      <c r="Z124" s="141">
        <f ca="1">Financing!Z33</f>
        <v>-36493.716385533546</v>
      </c>
      <c r="AA124" s="141">
        <f ca="1">Financing!AA33</f>
        <v>0</v>
      </c>
      <c r="AB124" s="141">
        <f ca="1">Financing!AB33</f>
        <v>0</v>
      </c>
      <c r="AC124" s="141">
        <f ca="1">Financing!AC33</f>
        <v>-42309.583659788113</v>
      </c>
      <c r="AD124" s="141">
        <f ca="1">Financing!AD33</f>
        <v>0</v>
      </c>
      <c r="AE124" s="141">
        <f ca="1">Financing!AE33</f>
        <v>0</v>
      </c>
      <c r="AF124" s="141">
        <f ca="1">Financing!AF33</f>
        <v>0</v>
      </c>
      <c r="AG124" s="141">
        <f ca="1">Financing!AG33</f>
        <v>0</v>
      </c>
    </row>
    <row r="125" spans="1:33" ht="17.25" customHeight="1" outlineLevel="1">
      <c r="A125" s="861"/>
      <c r="B125" s="235"/>
      <c r="C125" s="632" t="str">
        <f>CHOOSE(language,"Taxes on profit paid","Taxes on income paid")</f>
        <v>Taxes on income paid</v>
      </c>
      <c r="D125" s="125"/>
      <c r="E125" s="632"/>
      <c r="F125" s="125"/>
      <c r="G125" s="800"/>
      <c r="H125" s="125"/>
      <c r="I125" s="236">
        <f t="shared" ca="1" si="24"/>
        <v>-20000</v>
      </c>
      <c r="J125" s="141">
        <f>Financing!J34</f>
        <v>-1250</v>
      </c>
      <c r="K125" s="141">
        <f>Financing!K34</f>
        <v>0</v>
      </c>
      <c r="L125" s="141">
        <f>Financing!L34</f>
        <v>0</v>
      </c>
      <c r="M125" s="141">
        <f>Financing!M34</f>
        <v>-1250</v>
      </c>
      <c r="N125" s="141">
        <f>Financing!N34</f>
        <v>0</v>
      </c>
      <c r="O125" s="141">
        <f>Financing!O34</f>
        <v>0</v>
      </c>
      <c r="P125" s="141">
        <f>Financing!P34</f>
        <v>-1250</v>
      </c>
      <c r="Q125" s="141">
        <f>Financing!Q34</f>
        <v>0</v>
      </c>
      <c r="R125" s="141">
        <f>Financing!R34</f>
        <v>0</v>
      </c>
      <c r="S125" s="141">
        <f>Financing!S34</f>
        <v>-1250</v>
      </c>
      <c r="T125" s="141">
        <f ca="1">Financing!T34</f>
        <v>0</v>
      </c>
      <c r="U125" s="141">
        <f ca="1">Financing!U34</f>
        <v>0</v>
      </c>
      <c r="V125" s="141">
        <f ca="1">Financing!V34</f>
        <v>-5000</v>
      </c>
      <c r="W125" s="141">
        <f ca="1">Financing!W34</f>
        <v>5000</v>
      </c>
      <c r="X125" s="141">
        <f ca="1">Financing!X34</f>
        <v>0</v>
      </c>
      <c r="Y125" s="141">
        <f ca="1">Financing!Y34</f>
        <v>-5000</v>
      </c>
      <c r="Z125" s="141">
        <f ca="1">Financing!Z34</f>
        <v>0</v>
      </c>
      <c r="AA125" s="141">
        <f ca="1">Financing!AA34</f>
        <v>0</v>
      </c>
      <c r="AB125" s="141">
        <f ca="1">Financing!AB34</f>
        <v>-5000</v>
      </c>
      <c r="AC125" s="141">
        <f ca="1">Financing!AC34</f>
        <v>0</v>
      </c>
      <c r="AD125" s="141">
        <f ca="1">Financing!AD34</f>
        <v>0</v>
      </c>
      <c r="AE125" s="141">
        <f ca="1">Financing!AE34</f>
        <v>-5000</v>
      </c>
      <c r="AF125" s="141">
        <f ca="1">Financing!AF34</f>
        <v>0</v>
      </c>
      <c r="AG125" s="141">
        <f ca="1">Financing!AG34</f>
        <v>0</v>
      </c>
    </row>
    <row r="126" spans="1:33" ht="17.25" customHeight="1" outlineLevel="1">
      <c r="A126" s="861"/>
      <c r="B126" s="235"/>
      <c r="C126" s="133" t="s">
        <v>560</v>
      </c>
      <c r="D126" s="132"/>
      <c r="E126" s="132"/>
      <c r="F126" s="132"/>
      <c r="G126" s="132"/>
      <c r="H126" s="132"/>
      <c r="I126" s="236">
        <f t="shared" ca="1" si="24"/>
        <v>-1957433.1696783435</v>
      </c>
      <c r="J126" s="148">
        <f t="shared" ref="J126:AG126" ca="1" si="25">SUM(J109:J125)</f>
        <v>-32518.930761904761</v>
      </c>
      <c r="K126" s="148">
        <f t="shared" ca="1" si="25"/>
        <v>-24920.583595494114</v>
      </c>
      <c r="L126" s="148">
        <f t="shared" ca="1" si="25"/>
        <v>-95978.12259498208</v>
      </c>
      <c r="M126" s="148">
        <f t="shared" ca="1" si="25"/>
        <v>-40433.891704157701</v>
      </c>
      <c r="N126" s="148">
        <f t="shared" ca="1" si="25"/>
        <v>-41010.036260665649</v>
      </c>
      <c r="O126" s="148">
        <f t="shared" ca="1" si="25"/>
        <v>-43382.825078050184</v>
      </c>
      <c r="P126" s="148">
        <f t="shared" ca="1" si="25"/>
        <v>-71839.611836112847</v>
      </c>
      <c r="Q126" s="148">
        <f t="shared" ca="1" si="25"/>
        <v>-174046.02632682369</v>
      </c>
      <c r="R126" s="148">
        <f t="shared" ca="1" si="25"/>
        <v>-60580.996556057857</v>
      </c>
      <c r="S126" s="148">
        <f t="shared" ca="1" si="25"/>
        <v>-69530.961327732861</v>
      </c>
      <c r="T126" s="148">
        <f t="shared" ca="1" si="25"/>
        <v>-69703.45462222393</v>
      </c>
      <c r="U126" s="148">
        <f t="shared" ca="1" si="25"/>
        <v>-70882.218358147366</v>
      </c>
      <c r="V126" s="148">
        <f t="shared" ca="1" si="25"/>
        <v>-138806.38543441397</v>
      </c>
      <c r="W126" s="148">
        <f t="shared" ca="1" si="25"/>
        <v>-102398.08765840554</v>
      </c>
      <c r="X126" s="148">
        <f t="shared" ca="1" si="25"/>
        <v>-84088.696843877507</v>
      </c>
      <c r="Y126" s="148">
        <f t="shared" ca="1" si="25"/>
        <v>-110911.40902389506</v>
      </c>
      <c r="Z126" s="148">
        <f t="shared" ca="1" si="25"/>
        <v>-129123.9993294185</v>
      </c>
      <c r="AA126" s="148">
        <f t="shared" ca="1" si="25"/>
        <v>-91748.674071038025</v>
      </c>
      <c r="AB126" s="148">
        <f t="shared" ca="1" si="25"/>
        <v>-119284.16925280876</v>
      </c>
      <c r="AC126" s="148">
        <f t="shared" ca="1" si="25"/>
        <v>-148045.68428102043</v>
      </c>
      <c r="AD126" s="148">
        <f t="shared" ca="1" si="25"/>
        <v>-106493.77179759339</v>
      </c>
      <c r="AE126" s="148">
        <f t="shared" ca="1" si="25"/>
        <v>-131704.63296351925</v>
      </c>
      <c r="AF126" s="148">
        <f t="shared" ca="1" si="25"/>
        <v>0</v>
      </c>
      <c r="AG126" s="148">
        <f t="shared" ca="1" si="25"/>
        <v>0</v>
      </c>
    </row>
    <row r="127" spans="1:33" ht="17.25" customHeight="1" outlineLevel="1">
      <c r="A127" s="861"/>
      <c r="B127" s="235"/>
      <c r="C127" s="235"/>
      <c r="D127" s="235"/>
      <c r="E127" s="235"/>
      <c r="F127" s="235"/>
      <c r="G127" s="235"/>
      <c r="H127" s="235"/>
      <c r="I127" s="441"/>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row>
    <row r="128" spans="1:33" ht="21.75" customHeight="1" outlineLevel="1">
      <c r="A128" s="861"/>
      <c r="B128" s="235"/>
      <c r="C128" s="274" t="s">
        <v>288</v>
      </c>
      <c r="D128" s="235"/>
      <c r="E128" s="235"/>
      <c r="F128" s="235"/>
      <c r="G128" s="235"/>
      <c r="H128" s="235"/>
      <c r="I128" s="441"/>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row>
    <row r="129" spans="1:33" ht="17.25" customHeight="1" outlineLevel="1">
      <c r="A129" s="861"/>
      <c r="B129" s="235"/>
      <c r="C129" s="66" t="s">
        <v>311</v>
      </c>
      <c r="D129" s="125"/>
      <c r="E129" s="125"/>
      <c r="F129" s="125"/>
      <c r="G129" s="125"/>
      <c r="H129" s="125"/>
      <c r="I129" s="746"/>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row>
    <row r="130" spans="1:33" ht="17.25" customHeight="1" outlineLevel="1">
      <c r="A130" s="861"/>
      <c r="B130" s="235"/>
      <c r="C130" s="40" t="s">
        <v>591</v>
      </c>
      <c r="D130" s="125"/>
      <c r="E130" s="36"/>
      <c r="F130" s="125"/>
      <c r="G130" s="125"/>
      <c r="H130" s="125"/>
      <c r="I130" s="236">
        <f ca="1">SUM(J130:AG130)</f>
        <v>230000</v>
      </c>
      <c r="J130" s="139">
        <f ca="1">Financing!J42</f>
        <v>29864.397428571428</v>
      </c>
      <c r="K130" s="139">
        <f ca="1">Financing!K42</f>
        <v>22614.050262160781</v>
      </c>
      <c r="L130" s="139">
        <f ca="1">Financing!L42</f>
        <v>177521.5523092678</v>
      </c>
      <c r="M130" s="139">
        <f ca="1">Financing!M42</f>
        <v>0</v>
      </c>
      <c r="N130" s="139">
        <f ca="1">Financing!N42</f>
        <v>0</v>
      </c>
      <c r="O130" s="139">
        <f ca="1">Financing!O42</f>
        <v>0</v>
      </c>
      <c r="P130" s="139">
        <f ca="1">Financing!P42</f>
        <v>0</v>
      </c>
      <c r="Q130" s="139">
        <f ca="1">Financing!Q42</f>
        <v>0</v>
      </c>
      <c r="R130" s="139">
        <f ca="1">Financing!R42</f>
        <v>0</v>
      </c>
      <c r="S130" s="139">
        <f ca="1">Financing!S42</f>
        <v>0</v>
      </c>
      <c r="T130" s="139">
        <f ca="1">Financing!T42</f>
        <v>0</v>
      </c>
      <c r="U130" s="139">
        <f ca="1">Financing!U42</f>
        <v>0</v>
      </c>
      <c r="V130" s="139">
        <f ca="1">Financing!V42</f>
        <v>0</v>
      </c>
      <c r="W130" s="139">
        <f ca="1">Financing!W42</f>
        <v>0</v>
      </c>
      <c r="X130" s="139">
        <f ca="1">Financing!X42</f>
        <v>0</v>
      </c>
      <c r="Y130" s="139">
        <f ca="1">Financing!Y42</f>
        <v>0</v>
      </c>
      <c r="Z130" s="139">
        <f ca="1">Financing!Z42</f>
        <v>0</v>
      </c>
      <c r="AA130" s="139">
        <f ca="1">Financing!AA42</f>
        <v>0</v>
      </c>
      <c r="AB130" s="139">
        <f ca="1">Financing!AB42</f>
        <v>0</v>
      </c>
      <c r="AC130" s="139">
        <f ca="1">Financing!AC42</f>
        <v>0</v>
      </c>
      <c r="AD130" s="139">
        <f ca="1">Financing!AD42</f>
        <v>0</v>
      </c>
      <c r="AE130" s="139">
        <f ca="1">Financing!AE42</f>
        <v>0</v>
      </c>
      <c r="AF130" s="139">
        <f ca="1">Financing!AF42</f>
        <v>0</v>
      </c>
      <c r="AG130" s="139">
        <f ca="1">Financing!AG42</f>
        <v>0</v>
      </c>
    </row>
    <row r="131" spans="1:33" ht="17.25" customHeight="1" outlineLevel="1">
      <c r="A131" s="861"/>
      <c r="B131" s="235"/>
      <c r="C131" s="66" t="s">
        <v>310</v>
      </c>
      <c r="D131" s="398" t="s">
        <v>312</v>
      </c>
      <c r="E131" s="36"/>
      <c r="F131" s="125"/>
      <c r="G131" s="125"/>
      <c r="H131" s="125"/>
      <c r="I131" s="746"/>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row>
    <row r="132" spans="1:33" s="199" customFormat="1" ht="17.25" customHeight="1" outlineLevel="1">
      <c r="A132" s="861"/>
      <c r="B132" s="235"/>
      <c r="C132" s="40" t="s">
        <v>309</v>
      </c>
      <c r="D132" s="125"/>
      <c r="E132" s="36"/>
      <c r="F132" s="125"/>
      <c r="G132" s="125"/>
      <c r="H132" s="125"/>
      <c r="I132" s="236">
        <f t="shared" ref="I132:I138" si="26">SUM(J132:AG132)</f>
        <v>-5000</v>
      </c>
      <c r="J132" s="139">
        <f>Financing!J32</f>
        <v>0</v>
      </c>
      <c r="K132" s="139">
        <f>Financing!K32</f>
        <v>0</v>
      </c>
      <c r="L132" s="139">
        <f>Financing!L32</f>
        <v>0</v>
      </c>
      <c r="M132" s="139">
        <f>Financing!M32</f>
        <v>0</v>
      </c>
      <c r="N132" s="139">
        <f>Financing!N32</f>
        <v>0</v>
      </c>
      <c r="O132" s="139">
        <f>Financing!O32</f>
        <v>0</v>
      </c>
      <c r="P132" s="139">
        <f>Financing!P32</f>
        <v>0</v>
      </c>
      <c r="Q132" s="139">
        <f>Financing!Q32</f>
        <v>0</v>
      </c>
      <c r="R132" s="139">
        <f>Financing!R32</f>
        <v>0</v>
      </c>
      <c r="S132" s="139">
        <f>Financing!S32</f>
        <v>0</v>
      </c>
      <c r="T132" s="139">
        <f>Financing!T32</f>
        <v>0</v>
      </c>
      <c r="U132" s="139">
        <f>Financing!U32</f>
        <v>0</v>
      </c>
      <c r="V132" s="139">
        <f>Financing!V32</f>
        <v>-5000</v>
      </c>
      <c r="W132" s="139">
        <f>Financing!W32</f>
        <v>0</v>
      </c>
      <c r="X132" s="139">
        <f>Financing!X32</f>
        <v>0</v>
      </c>
      <c r="Y132" s="139">
        <f>Financing!Y32</f>
        <v>0</v>
      </c>
      <c r="Z132" s="139">
        <f>Financing!Z32</f>
        <v>0</v>
      </c>
      <c r="AA132" s="139">
        <f>Financing!AA32</f>
        <v>0</v>
      </c>
      <c r="AB132" s="139">
        <f>Financing!AB32</f>
        <v>0</v>
      </c>
      <c r="AC132" s="139">
        <f>Financing!AC32</f>
        <v>0</v>
      </c>
      <c r="AD132" s="139">
        <f>Financing!AD32</f>
        <v>0</v>
      </c>
      <c r="AE132" s="139">
        <f>Financing!AE32</f>
        <v>0</v>
      </c>
      <c r="AF132" s="139">
        <f>Financing!AF32</f>
        <v>0</v>
      </c>
      <c r="AG132" s="139">
        <f>Financing!AG32</f>
        <v>0</v>
      </c>
    </row>
    <row r="133" spans="1:33" ht="17.25" customHeight="1" outlineLevel="1">
      <c r="A133" s="861"/>
      <c r="B133" s="235"/>
      <c r="C133" s="24" t="str">
        <f>"Debt 1: "&amp;Inputs!$F$157</f>
        <v>Debt 1: EasyCredit</v>
      </c>
      <c r="D133" s="125"/>
      <c r="E133" s="125"/>
      <c r="F133" s="125"/>
      <c r="G133" s="125"/>
      <c r="H133" s="125"/>
      <c r="I133" s="236">
        <f t="shared" ca="1" si="26"/>
        <v>0</v>
      </c>
      <c r="J133" s="141">
        <f ca="1">(Financing!J45+Financing!J99)*J$6</f>
        <v>0</v>
      </c>
      <c r="K133" s="141">
        <f ca="1">(Financing!K45+Financing!K99)*K$6</f>
        <v>0</v>
      </c>
      <c r="L133" s="141">
        <f ca="1">(Financing!L45+Financing!L99)*L$6</f>
        <v>0</v>
      </c>
      <c r="M133" s="141">
        <f ca="1">(Financing!M45+Financing!M99)*M$6</f>
        <v>0</v>
      </c>
      <c r="N133" s="141">
        <f ca="1">(Financing!N45+Financing!N99)*N$6</f>
        <v>0</v>
      </c>
      <c r="O133" s="141">
        <f ca="1">(Financing!O45+Financing!O99)*O$6</f>
        <v>0</v>
      </c>
      <c r="P133" s="141">
        <f ca="1">(Financing!P45+Financing!P99)*P$6</f>
        <v>0</v>
      </c>
      <c r="Q133" s="141">
        <f ca="1">(Financing!Q45+Financing!Q99)*Q$6</f>
        <v>0</v>
      </c>
      <c r="R133" s="141">
        <f ca="1">(Financing!R45+Financing!R99)*R$6</f>
        <v>0</v>
      </c>
      <c r="S133" s="141">
        <f ca="1">(Financing!S45+Financing!S99)*S$6</f>
        <v>0</v>
      </c>
      <c r="T133" s="141">
        <f ca="1">(Financing!T45+Financing!T99)*T$6</f>
        <v>0</v>
      </c>
      <c r="U133" s="141">
        <f ca="1">(Financing!U45+Financing!U99)*U$6</f>
        <v>0</v>
      </c>
      <c r="V133" s="141">
        <f ca="1">(Financing!V45+Financing!V99)*V$6</f>
        <v>0</v>
      </c>
      <c r="W133" s="141">
        <f ca="1">(Financing!W45+Financing!W99)*W$6</f>
        <v>0</v>
      </c>
      <c r="X133" s="141">
        <f ca="1">(Financing!X45+Financing!X99)*X$6</f>
        <v>0</v>
      </c>
      <c r="Y133" s="141">
        <f ca="1">(Financing!Y45+Financing!Y99)*Y$6</f>
        <v>0</v>
      </c>
      <c r="Z133" s="141">
        <f ca="1">(Financing!Z45+Financing!Z99)*Z$6</f>
        <v>0</v>
      </c>
      <c r="AA133" s="141">
        <f ca="1">(Financing!AA45+Financing!AA99)*AA$6</f>
        <v>0</v>
      </c>
      <c r="AB133" s="141">
        <f ca="1">(Financing!AB45+Financing!AB99)*AB$6</f>
        <v>0</v>
      </c>
      <c r="AC133" s="141">
        <f ca="1">(Financing!AC45+Financing!AC99)*AC$6</f>
        <v>0</v>
      </c>
      <c r="AD133" s="141">
        <f ca="1">(Financing!AD45+Financing!AD99)*AD$6</f>
        <v>0</v>
      </c>
      <c r="AE133" s="141">
        <f ca="1">(Financing!AE45+Financing!AE99)*AE$6</f>
        <v>0</v>
      </c>
      <c r="AF133" s="141">
        <f ca="1">(Financing!AF45+Financing!AF99)*AF$6</f>
        <v>0</v>
      </c>
      <c r="AG133" s="141">
        <f ca="1">(Financing!AG45+Financing!AG99)*AG$6</f>
        <v>0</v>
      </c>
    </row>
    <row r="134" spans="1:33" ht="17.25" customHeight="1" outlineLevel="1">
      <c r="A134" s="861"/>
      <c r="B134" s="235"/>
      <c r="C134" s="24" t="str">
        <f>"Debt 2: "&amp;Inputs!$F$176</f>
        <v>Debt 2: URB Bank</v>
      </c>
      <c r="D134" s="125"/>
      <c r="E134" s="125"/>
      <c r="F134" s="125"/>
      <c r="G134" s="125"/>
      <c r="H134" s="125"/>
      <c r="I134" s="236">
        <f t="shared" si="26"/>
        <v>60000</v>
      </c>
      <c r="J134" s="141">
        <f>(Financing!J49+Financing!J50)*J$6</f>
        <v>0</v>
      </c>
      <c r="K134" s="141">
        <f>(Financing!K49+Financing!K50)*K$6</f>
        <v>0</v>
      </c>
      <c r="L134" s="141">
        <f>(Financing!L49+Financing!L50)*L$6</f>
        <v>0</v>
      </c>
      <c r="M134" s="141">
        <f>(Financing!M49+Financing!M50)*M$6</f>
        <v>0</v>
      </c>
      <c r="N134" s="141">
        <f>(Financing!N49+Financing!N50)*N$6</f>
        <v>0</v>
      </c>
      <c r="O134" s="141">
        <f>(Financing!O49+Financing!O50)*O$6</f>
        <v>0</v>
      </c>
      <c r="P134" s="141">
        <f>(Financing!P49+Financing!P50)*P$6</f>
        <v>0</v>
      </c>
      <c r="Q134" s="141">
        <f>(Financing!Q49+Financing!Q50)*Q$6</f>
        <v>0</v>
      </c>
      <c r="R134" s="141">
        <f>(Financing!R49+Financing!R50)*R$6</f>
        <v>0</v>
      </c>
      <c r="S134" s="141">
        <f>(Financing!S49+Financing!S50)*S$6</f>
        <v>70000</v>
      </c>
      <c r="T134" s="141">
        <f>(Financing!T49+Financing!T50)*T$6</f>
        <v>0</v>
      </c>
      <c r="U134" s="141">
        <f>(Financing!U49+Financing!U50)*U$6</f>
        <v>0</v>
      </c>
      <c r="V134" s="141">
        <f>(Financing!V49+Financing!V50)*V$6</f>
        <v>0</v>
      </c>
      <c r="W134" s="141">
        <f>(Financing!W49+Financing!W50)*W$6</f>
        <v>0</v>
      </c>
      <c r="X134" s="141">
        <f>(Financing!X49+Financing!X50)*X$6</f>
        <v>0</v>
      </c>
      <c r="Y134" s="141">
        <f>(Financing!Y49+Financing!Y50)*Y$6</f>
        <v>0</v>
      </c>
      <c r="Z134" s="141">
        <f>(Financing!Z49+Financing!Z50)*Z$6</f>
        <v>0</v>
      </c>
      <c r="AA134" s="141">
        <f>(Financing!AA49+Financing!AA50)*AA$6</f>
        <v>0</v>
      </c>
      <c r="AB134" s="141">
        <f>(Financing!AB49+Financing!AB50)*AB$6</f>
        <v>0</v>
      </c>
      <c r="AC134" s="141">
        <f>(Financing!AC49+Financing!AC50)*AC$6</f>
        <v>-10000</v>
      </c>
      <c r="AD134" s="141">
        <f>(Financing!AD49+Financing!AD50)*AD$6</f>
        <v>0</v>
      </c>
      <c r="AE134" s="141">
        <f>(Financing!AE49+Financing!AE50)*AE$6</f>
        <v>0</v>
      </c>
      <c r="AF134" s="141">
        <f>(Financing!AF49+Financing!AF50)*AF$6</f>
        <v>0</v>
      </c>
      <c r="AG134" s="141">
        <f>(Financing!AG49+Financing!AG50)*AG$6</f>
        <v>0</v>
      </c>
    </row>
    <row r="135" spans="1:33" ht="17.25" customHeight="1" outlineLevel="1">
      <c r="A135" s="861"/>
      <c r="B135" s="235"/>
      <c r="C135" s="24" t="str">
        <f>"Debt 3: "&amp;Inputs!$F$181</f>
        <v>Debt 3: FounderBank</v>
      </c>
      <c r="D135" s="125"/>
      <c r="E135" s="125"/>
      <c r="F135" s="125"/>
      <c r="G135" s="125"/>
      <c r="H135" s="125"/>
      <c r="I135" s="236">
        <f t="shared" si="26"/>
        <v>100000</v>
      </c>
      <c r="J135" s="141">
        <f>(Financing!J54+Financing!J55)*J$6</f>
        <v>0</v>
      </c>
      <c r="K135" s="141">
        <f>(Financing!K54+Financing!K55)*K$6</f>
        <v>0</v>
      </c>
      <c r="L135" s="141">
        <f>(Financing!L54+Financing!L55)*L$6</f>
        <v>0</v>
      </c>
      <c r="M135" s="141">
        <f>(Financing!M54+Financing!M55)*M$6</f>
        <v>0</v>
      </c>
      <c r="N135" s="141">
        <f>(Financing!N54+Financing!N55)*N$6</f>
        <v>0</v>
      </c>
      <c r="O135" s="141">
        <f>(Financing!O54+Financing!O55)*O$6</f>
        <v>0</v>
      </c>
      <c r="P135" s="141">
        <f>(Financing!P54+Financing!P55)*P$6</f>
        <v>0</v>
      </c>
      <c r="Q135" s="141">
        <f>(Financing!Q54+Financing!Q55)*Q$6</f>
        <v>110000</v>
      </c>
      <c r="R135" s="141">
        <f>(Financing!R54+Financing!R55)*R$6</f>
        <v>0</v>
      </c>
      <c r="S135" s="141">
        <f>(Financing!S54+Financing!S55)*S$6</f>
        <v>0</v>
      </c>
      <c r="T135" s="141">
        <f>(Financing!T54+Financing!T55)*T$6</f>
        <v>0</v>
      </c>
      <c r="U135" s="141">
        <f>(Financing!U54+Financing!U55)*U$6</f>
        <v>-1000</v>
      </c>
      <c r="V135" s="141">
        <f>(Financing!V54+Financing!V55)*V$6</f>
        <v>-1000</v>
      </c>
      <c r="W135" s="141">
        <f>(Financing!W54+Financing!W55)*W$6</f>
        <v>-1000</v>
      </c>
      <c r="X135" s="141">
        <f>(Financing!X54+Financing!X55)*X$6</f>
        <v>-1000</v>
      </c>
      <c r="Y135" s="141">
        <f>(Financing!Y54+Financing!Y55)*Y$6</f>
        <v>-1000</v>
      </c>
      <c r="Z135" s="141">
        <f>(Financing!Z54+Financing!Z55)*Z$6</f>
        <v>-1000</v>
      </c>
      <c r="AA135" s="141">
        <f>(Financing!AA54+Financing!AA55)*AA$6</f>
        <v>-1000</v>
      </c>
      <c r="AB135" s="141">
        <f>(Financing!AB54+Financing!AB55)*AB$6</f>
        <v>-1000</v>
      </c>
      <c r="AC135" s="141">
        <f>(Financing!AC54+Financing!AC55)*AC$6</f>
        <v>-1000</v>
      </c>
      <c r="AD135" s="141">
        <f>(Financing!AD54+Financing!AD55)*AD$6</f>
        <v>-500</v>
      </c>
      <c r="AE135" s="141">
        <f>(Financing!AE54+Financing!AE55)*AE$6</f>
        <v>-500</v>
      </c>
      <c r="AF135" s="141">
        <f>(Financing!AF54+Financing!AF55)*AF$6</f>
        <v>0</v>
      </c>
      <c r="AG135" s="141">
        <f>(Financing!AG54+Financing!AG55)*AG$6</f>
        <v>0</v>
      </c>
    </row>
    <row r="136" spans="1:33" ht="17.25" customHeight="1" outlineLevel="1">
      <c r="A136" s="861"/>
      <c r="B136" s="235"/>
      <c r="C136" s="24" t="str">
        <f>"Debt 4: "&amp;Inputs!$F$186</f>
        <v>Debt 4: Shareholder Loan</v>
      </c>
      <c r="D136" s="125"/>
      <c r="E136" s="125"/>
      <c r="F136" s="125"/>
      <c r="G136" s="125"/>
      <c r="H136" s="125"/>
      <c r="I136" s="236">
        <f t="shared" si="26"/>
        <v>50000</v>
      </c>
      <c r="J136" s="141">
        <f>(Financing!J59+Financing!J60)*J$6</f>
        <v>0</v>
      </c>
      <c r="K136" s="141">
        <f>(Financing!K59+Financing!K60)*K$6</f>
        <v>0</v>
      </c>
      <c r="L136" s="141">
        <f>(Financing!L59+Financing!L60)*L$6</f>
        <v>0</v>
      </c>
      <c r="M136" s="141">
        <f>(Financing!M59+Financing!M60)*M$6</f>
        <v>0</v>
      </c>
      <c r="N136" s="141">
        <f>(Financing!N59+Financing!N60)*N$6</f>
        <v>0</v>
      </c>
      <c r="O136" s="141">
        <f>(Financing!O59+Financing!O60)*O$6</f>
        <v>0</v>
      </c>
      <c r="P136" s="141">
        <f>(Financing!P59+Financing!P60)*P$6</f>
        <v>0</v>
      </c>
      <c r="Q136" s="141">
        <f>(Financing!Q59+Financing!Q60)*Q$6</f>
        <v>0</v>
      </c>
      <c r="R136" s="141">
        <f>(Financing!R59+Financing!R60)*R$6</f>
        <v>0</v>
      </c>
      <c r="S136" s="141">
        <f>(Financing!S59+Financing!S60)*S$6</f>
        <v>0</v>
      </c>
      <c r="T136" s="141">
        <f>(Financing!T59+Financing!T60)*T$6</f>
        <v>0</v>
      </c>
      <c r="U136" s="141">
        <f>(Financing!U59+Financing!U60)*U$6</f>
        <v>0</v>
      </c>
      <c r="V136" s="141">
        <f>(Financing!V59+Financing!V60)*V$6</f>
        <v>0</v>
      </c>
      <c r="W136" s="141">
        <f>(Financing!W59+Financing!W60)*W$6</f>
        <v>0</v>
      </c>
      <c r="X136" s="141">
        <f>(Financing!X59+Financing!X60)*X$6</f>
        <v>0</v>
      </c>
      <c r="Y136" s="141">
        <f>(Financing!Y59+Financing!Y60)*Y$6</f>
        <v>0</v>
      </c>
      <c r="Z136" s="141">
        <f>(Financing!Z59+Financing!Z60)*Z$6</f>
        <v>0</v>
      </c>
      <c r="AA136" s="141">
        <f>(Financing!AA59+Financing!AA60)*AA$6</f>
        <v>50000</v>
      </c>
      <c r="AB136" s="141">
        <f>(Financing!AB59+Financing!AB60)*AB$6</f>
        <v>0</v>
      </c>
      <c r="AC136" s="141">
        <f>(Financing!AC59+Financing!AC60)*AC$6</f>
        <v>0</v>
      </c>
      <c r="AD136" s="141">
        <f>(Financing!AD59+Financing!AD60)*AD$6</f>
        <v>0</v>
      </c>
      <c r="AE136" s="141">
        <f>(Financing!AE59+Financing!AE60)*AE$6</f>
        <v>0</v>
      </c>
      <c r="AF136" s="141">
        <f>(Financing!AF59+Financing!AF60)*AF$6</f>
        <v>0</v>
      </c>
      <c r="AG136" s="141">
        <f>(Financing!AG59+Financing!AG60)*AG$6</f>
        <v>0</v>
      </c>
    </row>
    <row r="137" spans="1:33" ht="17.25" customHeight="1" outlineLevel="1">
      <c r="A137" s="861"/>
      <c r="B137" s="235"/>
      <c r="C137" s="116" t="s">
        <v>926</v>
      </c>
      <c r="D137" s="125"/>
      <c r="E137" s="125"/>
      <c r="F137" s="125"/>
      <c r="G137" s="125"/>
      <c r="H137" s="125"/>
      <c r="I137" s="236">
        <f t="shared" ca="1" si="26"/>
        <v>0</v>
      </c>
      <c r="J137" s="141">
        <f ca="1">(Financing!J67+Financing!J68)*J$6</f>
        <v>0</v>
      </c>
      <c r="K137" s="141">
        <f ca="1">(Financing!K67+Financing!K68)*K$6</f>
        <v>0</v>
      </c>
      <c r="L137" s="141">
        <f ca="1">(Financing!L67+Financing!L68)*L$6</f>
        <v>0</v>
      </c>
      <c r="M137" s="141">
        <f ca="1">(Financing!M67+Financing!M68)*M$6</f>
        <v>0</v>
      </c>
      <c r="N137" s="141">
        <f ca="1">(Financing!N67+Financing!N68)*N$6</f>
        <v>0</v>
      </c>
      <c r="O137" s="141">
        <f ca="1">(Financing!O67+Financing!O68)*O$6</f>
        <v>0</v>
      </c>
      <c r="P137" s="141">
        <f ca="1">(Financing!P67+Financing!P68)*P$6</f>
        <v>0</v>
      </c>
      <c r="Q137" s="141">
        <f ca="1">(Financing!Q67+Financing!Q68)*Q$6</f>
        <v>0</v>
      </c>
      <c r="R137" s="141">
        <f ca="1">(Financing!R67+Financing!R68)*R$6</f>
        <v>45155.543174629362</v>
      </c>
      <c r="S137" s="141">
        <f ca="1">(Financing!S67+Financing!S68)*S$6</f>
        <v>-45155.543174629362</v>
      </c>
      <c r="T137" s="141">
        <f ca="1">(Financing!T67+Financing!T68)*T$6</f>
        <v>0</v>
      </c>
      <c r="U137" s="141">
        <f ca="1">(Financing!U67+Financing!U68)*U$6</f>
        <v>0</v>
      </c>
      <c r="V137" s="141">
        <f ca="1">(Financing!V67+Financing!V68)*V$6</f>
        <v>0</v>
      </c>
      <c r="W137" s="141">
        <f ca="1">(Financing!W67+Financing!W68)*W$6</f>
        <v>0</v>
      </c>
      <c r="X137" s="141">
        <f ca="1">(Financing!X67+Financing!X68)*X$6</f>
        <v>60479.340360609247</v>
      </c>
      <c r="Y137" s="141">
        <f ca="1">(Financing!Y67+Financing!Y68)*Y$6</f>
        <v>-60479.340360609247</v>
      </c>
      <c r="Z137" s="141">
        <f ca="1">(Financing!Z67+Financing!Z68)*Z$6</f>
        <v>0</v>
      </c>
      <c r="AA137" s="141">
        <f ca="1">(Financing!AA67+Financing!AA68)*AA$6</f>
        <v>16477.085287929542</v>
      </c>
      <c r="AB137" s="141">
        <f ca="1">(Financing!AB67+Financing!AB68)*AB$6</f>
        <v>-16477.085287929542</v>
      </c>
      <c r="AC137" s="141">
        <f ca="1">(Financing!AC67+Financing!AC68)*AC$6</f>
        <v>0</v>
      </c>
      <c r="AD137" s="141">
        <f ca="1">(Financing!AD67+Financing!AD68)*AD$6</f>
        <v>9209.1863859756559</v>
      </c>
      <c r="AE137" s="141">
        <f ca="1">(Financing!AE67+Financing!AE68)*AE$6</f>
        <v>-9209.1863859756559</v>
      </c>
      <c r="AF137" s="141">
        <f ca="1">(Financing!AF67+Financing!AF68)*AF$6</f>
        <v>0</v>
      </c>
      <c r="AG137" s="141">
        <f ca="1">(Financing!AG67+Financing!AG68)*AG$6</f>
        <v>0</v>
      </c>
    </row>
    <row r="138" spans="1:33" ht="17.25" customHeight="1" outlineLevel="1">
      <c r="A138" s="861"/>
      <c r="B138" s="235"/>
      <c r="C138" s="133" t="s">
        <v>308</v>
      </c>
      <c r="D138" s="132"/>
      <c r="E138" s="132"/>
      <c r="F138" s="132"/>
      <c r="G138" s="132"/>
      <c r="H138" s="132"/>
      <c r="I138" s="236">
        <f t="shared" ca="1" si="26"/>
        <v>435000</v>
      </c>
      <c r="J138" s="148">
        <f t="shared" ref="J138:AG138" ca="1" si="27">SUM(J130:J137)</f>
        <v>29864.397428571428</v>
      </c>
      <c r="K138" s="148">
        <f t="shared" ca="1" si="27"/>
        <v>22614.050262160781</v>
      </c>
      <c r="L138" s="148">
        <f t="shared" ca="1" si="27"/>
        <v>177521.5523092678</v>
      </c>
      <c r="M138" s="148">
        <f t="shared" ca="1" si="27"/>
        <v>0</v>
      </c>
      <c r="N138" s="148">
        <f t="shared" ca="1" si="27"/>
        <v>0</v>
      </c>
      <c r="O138" s="148">
        <f t="shared" ca="1" si="27"/>
        <v>0</v>
      </c>
      <c r="P138" s="148">
        <f t="shared" ca="1" si="27"/>
        <v>0</v>
      </c>
      <c r="Q138" s="148">
        <f t="shared" ca="1" si="27"/>
        <v>110000</v>
      </c>
      <c r="R138" s="148">
        <f t="shared" ca="1" si="27"/>
        <v>45155.543174629362</v>
      </c>
      <c r="S138" s="148">
        <f t="shared" ca="1" si="27"/>
        <v>24844.456825370638</v>
      </c>
      <c r="T138" s="148">
        <f t="shared" ca="1" si="27"/>
        <v>0</v>
      </c>
      <c r="U138" s="148">
        <f t="shared" ca="1" si="27"/>
        <v>-1000</v>
      </c>
      <c r="V138" s="148">
        <f t="shared" ca="1" si="27"/>
        <v>-6000</v>
      </c>
      <c r="W138" s="148">
        <f t="shared" ca="1" si="27"/>
        <v>-1000</v>
      </c>
      <c r="X138" s="148">
        <f t="shared" ca="1" si="27"/>
        <v>59479.340360609247</v>
      </c>
      <c r="Y138" s="148">
        <f t="shared" ca="1" si="27"/>
        <v>-61479.340360609247</v>
      </c>
      <c r="Z138" s="148">
        <f t="shared" ca="1" si="27"/>
        <v>-1000</v>
      </c>
      <c r="AA138" s="148">
        <f t="shared" ca="1" si="27"/>
        <v>65477.085287929542</v>
      </c>
      <c r="AB138" s="148">
        <f t="shared" ca="1" si="27"/>
        <v>-17477.085287929542</v>
      </c>
      <c r="AC138" s="148">
        <f t="shared" ca="1" si="27"/>
        <v>-11000</v>
      </c>
      <c r="AD138" s="148">
        <f t="shared" ca="1" si="27"/>
        <v>8709.1863859756559</v>
      </c>
      <c r="AE138" s="148">
        <f t="shared" ca="1" si="27"/>
        <v>-9709.1863859756559</v>
      </c>
      <c r="AF138" s="148">
        <f t="shared" ca="1" si="27"/>
        <v>0</v>
      </c>
      <c r="AG138" s="148">
        <f t="shared" ca="1" si="27"/>
        <v>0</v>
      </c>
    </row>
    <row r="139" spans="1:33" ht="7.5" customHeight="1" outlineLevel="1">
      <c r="A139" s="861"/>
      <c r="B139" s="235"/>
      <c r="C139" s="235"/>
      <c r="D139" s="235"/>
      <c r="E139" s="235"/>
      <c r="F139" s="235"/>
      <c r="G139" s="235"/>
      <c r="H139" s="235"/>
      <c r="I139" s="441"/>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row>
    <row r="140" spans="1:33" s="199" customFormat="1" ht="15" customHeight="1" outlineLevel="1">
      <c r="A140" s="861"/>
      <c r="B140" s="235"/>
      <c r="C140" s="199" t="s">
        <v>545</v>
      </c>
      <c r="D140" s="125"/>
      <c r="E140" s="125"/>
      <c r="F140" s="125"/>
      <c r="G140" s="125"/>
      <c r="H140" s="125"/>
      <c r="I140" s="746"/>
      <c r="J140" s="139">
        <f t="shared" ref="J140:AG140" ca="1" si="28">ROUND(J106+J126+J138,5)</f>
        <v>0</v>
      </c>
      <c r="K140" s="139">
        <f t="shared" ca="1" si="28"/>
        <v>0</v>
      </c>
      <c r="L140" s="139">
        <f t="shared" ca="1" si="28"/>
        <v>90215.963050000006</v>
      </c>
      <c r="M140" s="139">
        <f t="shared" ca="1" si="28"/>
        <v>18319.013579999999</v>
      </c>
      <c r="N140" s="139">
        <f t="shared" ca="1" si="28"/>
        <v>-38219.834210000001</v>
      </c>
      <c r="O140" s="139">
        <f t="shared" ca="1" si="28"/>
        <v>-40640.397819999998</v>
      </c>
      <c r="P140" s="139">
        <f t="shared" ca="1" si="28"/>
        <v>48037.713559999997</v>
      </c>
      <c r="Q140" s="139">
        <f t="shared" ca="1" si="28"/>
        <v>-62127.685749999997</v>
      </c>
      <c r="R140" s="139">
        <f t="shared" ca="1" si="28"/>
        <v>-15584.772419999999</v>
      </c>
      <c r="S140" s="139">
        <f t="shared" ca="1" si="28"/>
        <v>147315.40580000001</v>
      </c>
      <c r="T140" s="139">
        <f t="shared" ca="1" si="28"/>
        <v>-67698.110360000006</v>
      </c>
      <c r="U140" s="139">
        <f t="shared" ca="1" si="28"/>
        <v>-69694.696739999999</v>
      </c>
      <c r="V140" s="139">
        <f t="shared" ca="1" si="28"/>
        <v>114258.7691</v>
      </c>
      <c r="W140" s="139">
        <f t="shared" ca="1" si="28"/>
        <v>-101421.66095</v>
      </c>
      <c r="X140" s="139">
        <f t="shared" ca="1" si="28"/>
        <v>-22759.706849999999</v>
      </c>
      <c r="Y140" s="139">
        <f t="shared" ca="1" si="28"/>
        <v>145041.36158</v>
      </c>
      <c r="Z140" s="139">
        <f t="shared" ca="1" si="28"/>
        <v>-120621.49763</v>
      </c>
      <c r="AA140" s="139">
        <f t="shared" ca="1" si="28"/>
        <v>-24419.863949999999</v>
      </c>
      <c r="AB140" s="139">
        <f t="shared" ca="1" si="28"/>
        <v>250005.55827000001</v>
      </c>
      <c r="AC140" s="139">
        <f t="shared" ca="1" si="28"/>
        <v>-154161.97732999999</v>
      </c>
      <c r="AD140" s="139">
        <f t="shared" ca="1" si="28"/>
        <v>-95843.58094</v>
      </c>
      <c r="AE140" s="139">
        <f t="shared" ca="1" si="28"/>
        <v>307345.19997000002</v>
      </c>
      <c r="AF140" s="139">
        <f t="shared" ca="1" si="28"/>
        <v>0</v>
      </c>
      <c r="AG140" s="139">
        <f t="shared" ca="1" si="28"/>
        <v>0</v>
      </c>
    </row>
    <row r="141" spans="1:33" s="199" customFormat="1" ht="7.5" customHeight="1" outlineLevel="1">
      <c r="A141" s="861"/>
      <c r="B141" s="235"/>
      <c r="C141" s="235"/>
      <c r="D141" s="235"/>
      <c r="E141" s="235"/>
      <c r="F141" s="235"/>
      <c r="G141" s="235"/>
      <c r="H141" s="235"/>
      <c r="I141" s="441"/>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row>
    <row r="142" spans="1:33" s="199" customFormat="1" ht="15" customHeight="1" outlineLevel="1">
      <c r="A142" s="861"/>
      <c r="B142" s="235"/>
      <c r="C142" s="199" t="s">
        <v>305</v>
      </c>
      <c r="D142" s="800"/>
      <c r="E142" s="800"/>
      <c r="F142" s="800"/>
      <c r="G142" s="800"/>
      <c r="H142" s="125"/>
      <c r="I142" s="236">
        <f>SUM(J142:AG142)</f>
        <v>0</v>
      </c>
      <c r="J142" s="141">
        <f>Financing!J75*J6</f>
        <v>0</v>
      </c>
      <c r="K142" s="141">
        <f>Financing!K75*K6</f>
        <v>0</v>
      </c>
      <c r="L142" s="141">
        <f>Financing!L75*L6</f>
        <v>0</v>
      </c>
      <c r="M142" s="141">
        <f>Financing!M75*M6</f>
        <v>0</v>
      </c>
      <c r="N142" s="141">
        <f>Financing!N75*N6</f>
        <v>0</v>
      </c>
      <c r="O142" s="141">
        <f>Financing!O75*O6</f>
        <v>0</v>
      </c>
      <c r="P142" s="141">
        <f>Financing!P75*P6</f>
        <v>0</v>
      </c>
      <c r="Q142" s="141">
        <f>Financing!Q75*Q6</f>
        <v>0</v>
      </c>
      <c r="R142" s="141">
        <f>Financing!R75*R6</f>
        <v>0</v>
      </c>
      <c r="S142" s="141">
        <f>Financing!S75*S6</f>
        <v>0</v>
      </c>
      <c r="T142" s="141">
        <f>Financing!T75*T6</f>
        <v>0</v>
      </c>
      <c r="U142" s="141">
        <f>Financing!U75*U6</f>
        <v>0</v>
      </c>
      <c r="V142" s="141">
        <f>Financing!V75*V6</f>
        <v>0</v>
      </c>
      <c r="W142" s="141">
        <f>Financing!W75*W6</f>
        <v>0</v>
      </c>
      <c r="X142" s="141">
        <f>Financing!X75*X6</f>
        <v>0</v>
      </c>
      <c r="Y142" s="141">
        <f>Financing!Y75*Y6</f>
        <v>0</v>
      </c>
      <c r="Z142" s="141">
        <f>Financing!Z75*Z6</f>
        <v>0</v>
      </c>
      <c r="AA142" s="141">
        <f>Financing!AA75*AA6</f>
        <v>0</v>
      </c>
      <c r="AB142" s="141">
        <f>Financing!AB75*AB6</f>
        <v>0</v>
      </c>
      <c r="AC142" s="141">
        <f>Financing!AC75*AC6</f>
        <v>0</v>
      </c>
      <c r="AD142" s="141">
        <f>Financing!AD75*AD6</f>
        <v>0</v>
      </c>
      <c r="AE142" s="141">
        <f>Financing!AE75*AE6</f>
        <v>0</v>
      </c>
      <c r="AF142" s="141">
        <f>Financing!AF75*AF6</f>
        <v>0</v>
      </c>
      <c r="AG142" s="141">
        <f>Financing!AG75*AG6</f>
        <v>0</v>
      </c>
    </row>
    <row r="143" spans="1:33" s="199" customFormat="1" ht="7.5" customHeight="1" outlineLevel="1">
      <c r="A143" s="861"/>
      <c r="B143" s="235"/>
      <c r="C143" s="235"/>
      <c r="D143" s="235"/>
      <c r="E143" s="235"/>
      <c r="F143" s="235"/>
      <c r="G143" s="235"/>
      <c r="H143" s="235"/>
      <c r="I143" s="441"/>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row>
    <row r="144" spans="1:33" ht="21.75" customHeight="1" outlineLevel="1">
      <c r="A144" s="861"/>
      <c r="B144" s="235"/>
      <c r="C144" s="274" t="s">
        <v>306</v>
      </c>
      <c r="D144" s="235"/>
      <c r="E144" s="235"/>
      <c r="F144" s="235"/>
      <c r="G144" s="235"/>
      <c r="H144" s="235"/>
      <c r="I144" s="441"/>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row>
    <row r="145" spans="1:33" ht="15" customHeight="1" outlineLevel="1">
      <c r="A145" s="861"/>
      <c r="B145" s="235"/>
      <c r="C145" s="116" t="s">
        <v>304</v>
      </c>
      <c r="D145" s="125"/>
      <c r="E145" s="125"/>
      <c r="F145" s="125"/>
      <c r="G145" s="125"/>
      <c r="H145" s="125"/>
      <c r="I145" s="236">
        <f ca="1">SUM(J145:AG145)</f>
        <v>307345.19996000006</v>
      </c>
      <c r="J145" s="147">
        <f t="shared" ref="J145:AG145" ca="1" si="29">ROUND(J140+J142,5)</f>
        <v>0</v>
      </c>
      <c r="K145" s="147">
        <f t="shared" ca="1" si="29"/>
        <v>0</v>
      </c>
      <c r="L145" s="147">
        <f t="shared" ca="1" si="29"/>
        <v>90215.963050000006</v>
      </c>
      <c r="M145" s="147">
        <f t="shared" ca="1" si="29"/>
        <v>18319.013579999999</v>
      </c>
      <c r="N145" s="147">
        <f t="shared" ca="1" si="29"/>
        <v>-38219.834210000001</v>
      </c>
      <c r="O145" s="147">
        <f t="shared" ca="1" si="29"/>
        <v>-40640.397819999998</v>
      </c>
      <c r="P145" s="147">
        <f t="shared" ca="1" si="29"/>
        <v>48037.713559999997</v>
      </c>
      <c r="Q145" s="147">
        <f t="shared" ca="1" si="29"/>
        <v>-62127.685749999997</v>
      </c>
      <c r="R145" s="147">
        <f t="shared" ca="1" si="29"/>
        <v>-15584.772419999999</v>
      </c>
      <c r="S145" s="147">
        <f t="shared" ca="1" si="29"/>
        <v>147315.40580000001</v>
      </c>
      <c r="T145" s="147">
        <f t="shared" ca="1" si="29"/>
        <v>-67698.110360000006</v>
      </c>
      <c r="U145" s="147">
        <f t="shared" ca="1" si="29"/>
        <v>-69694.696739999999</v>
      </c>
      <c r="V145" s="147">
        <f t="shared" ca="1" si="29"/>
        <v>114258.7691</v>
      </c>
      <c r="W145" s="147">
        <f t="shared" ca="1" si="29"/>
        <v>-101421.66095</v>
      </c>
      <c r="X145" s="147">
        <f t="shared" ca="1" si="29"/>
        <v>-22759.706849999999</v>
      </c>
      <c r="Y145" s="147">
        <f t="shared" ca="1" si="29"/>
        <v>145041.36158</v>
      </c>
      <c r="Z145" s="147">
        <f t="shared" ca="1" si="29"/>
        <v>-120621.49763</v>
      </c>
      <c r="AA145" s="147">
        <f t="shared" ca="1" si="29"/>
        <v>-24419.863949999999</v>
      </c>
      <c r="AB145" s="147">
        <f t="shared" ca="1" si="29"/>
        <v>250005.55827000001</v>
      </c>
      <c r="AC145" s="147">
        <f t="shared" ca="1" si="29"/>
        <v>-154161.97732999999</v>
      </c>
      <c r="AD145" s="147">
        <f t="shared" ca="1" si="29"/>
        <v>-95843.58094</v>
      </c>
      <c r="AE145" s="147">
        <f t="shared" ca="1" si="29"/>
        <v>307345.19997000002</v>
      </c>
      <c r="AF145" s="147">
        <f t="shared" ca="1" si="29"/>
        <v>0</v>
      </c>
      <c r="AG145" s="147">
        <f t="shared" ca="1" si="29"/>
        <v>0</v>
      </c>
    </row>
    <row r="146" spans="1:33" ht="15" customHeight="1" outlineLevel="1">
      <c r="A146" s="861"/>
      <c r="B146" s="235"/>
      <c r="C146" s="116" t="s">
        <v>550</v>
      </c>
      <c r="D146" s="125"/>
      <c r="E146" s="125"/>
      <c r="F146" s="125"/>
      <c r="G146" s="125"/>
      <c r="H146" s="125"/>
      <c r="I146" s="746"/>
      <c r="J146" s="253">
        <f t="shared" ref="J146:AG146" si="30">I147*J6</f>
        <v>0</v>
      </c>
      <c r="K146" s="253">
        <f t="shared" ca="1" si="30"/>
        <v>0</v>
      </c>
      <c r="L146" s="253">
        <f t="shared" ca="1" si="30"/>
        <v>0</v>
      </c>
      <c r="M146" s="253">
        <f t="shared" ca="1" si="30"/>
        <v>90215.963050000006</v>
      </c>
      <c r="N146" s="253">
        <f t="shared" ca="1" si="30"/>
        <v>108534.97663</v>
      </c>
      <c r="O146" s="253">
        <f t="shared" ca="1" si="30"/>
        <v>70315.142420000004</v>
      </c>
      <c r="P146" s="253">
        <f t="shared" ca="1" si="30"/>
        <v>29674.744600000005</v>
      </c>
      <c r="Q146" s="253">
        <f t="shared" ca="1" si="30"/>
        <v>77712.458160000009</v>
      </c>
      <c r="R146" s="253">
        <f t="shared" ca="1" si="30"/>
        <v>15584.772410000012</v>
      </c>
      <c r="S146" s="253">
        <f t="shared" ca="1" si="30"/>
        <v>0</v>
      </c>
      <c r="T146" s="253">
        <f t="shared" ca="1" si="30"/>
        <v>147315.40580000001</v>
      </c>
      <c r="U146" s="253">
        <f t="shared" ca="1" si="30"/>
        <v>79617.295440000002</v>
      </c>
      <c r="V146" s="253">
        <f t="shared" ca="1" si="30"/>
        <v>9922.5987000000023</v>
      </c>
      <c r="W146" s="253">
        <f t="shared" ca="1" si="30"/>
        <v>124181.36780000001</v>
      </c>
      <c r="X146" s="253">
        <f t="shared" ca="1" si="30"/>
        <v>22759.706850000002</v>
      </c>
      <c r="Y146" s="253">
        <f t="shared" ca="1" si="30"/>
        <v>0</v>
      </c>
      <c r="Z146" s="253">
        <f t="shared" ca="1" si="30"/>
        <v>145041.36158</v>
      </c>
      <c r="AA146" s="253">
        <f t="shared" ca="1" si="30"/>
        <v>24419.863949999999</v>
      </c>
      <c r="AB146" s="253">
        <f t="shared" ca="1" si="30"/>
        <v>0</v>
      </c>
      <c r="AC146" s="253">
        <f t="shared" ca="1" si="30"/>
        <v>250005.55827000001</v>
      </c>
      <c r="AD146" s="253">
        <f t="shared" ca="1" si="30"/>
        <v>95843.580940000014</v>
      </c>
      <c r="AE146" s="253">
        <f t="shared" ca="1" si="30"/>
        <v>0</v>
      </c>
      <c r="AF146" s="253">
        <f t="shared" ca="1" si="30"/>
        <v>0</v>
      </c>
      <c r="AG146" s="253">
        <f t="shared" si="30"/>
        <v>0</v>
      </c>
    </row>
    <row r="147" spans="1:33" ht="15" customHeight="1" outlineLevel="1" thickBot="1">
      <c r="A147" s="861"/>
      <c r="B147" s="235"/>
      <c r="C147" s="799" t="s">
        <v>551</v>
      </c>
      <c r="D147" s="125"/>
      <c r="E147" s="125"/>
      <c r="F147" s="125"/>
      <c r="G147" s="125"/>
      <c r="H147" s="125"/>
      <c r="I147" s="433">
        <f>Inputs!F269</f>
        <v>0</v>
      </c>
      <c r="J147" s="143">
        <f t="shared" ref="J147:AG147" ca="1" si="31">IF(J6=0,0,IF(ABS(J146+J145)&lt;0.001,0,J146+J145))</f>
        <v>0</v>
      </c>
      <c r="K147" s="143">
        <f t="shared" ca="1" si="31"/>
        <v>0</v>
      </c>
      <c r="L147" s="143">
        <f t="shared" ca="1" si="31"/>
        <v>90215.963050000006</v>
      </c>
      <c r="M147" s="143">
        <f t="shared" ca="1" si="31"/>
        <v>108534.97663</v>
      </c>
      <c r="N147" s="143">
        <f t="shared" ca="1" si="31"/>
        <v>70315.142420000004</v>
      </c>
      <c r="O147" s="143">
        <f t="shared" ca="1" si="31"/>
        <v>29674.744600000005</v>
      </c>
      <c r="P147" s="143">
        <f t="shared" ca="1" si="31"/>
        <v>77712.458160000009</v>
      </c>
      <c r="Q147" s="143">
        <f t="shared" ca="1" si="31"/>
        <v>15584.772410000012</v>
      </c>
      <c r="R147" s="143">
        <f t="shared" ca="1" si="31"/>
        <v>0</v>
      </c>
      <c r="S147" s="143">
        <f t="shared" ca="1" si="31"/>
        <v>147315.40580000001</v>
      </c>
      <c r="T147" s="143">
        <f t="shared" ca="1" si="31"/>
        <v>79617.295440000002</v>
      </c>
      <c r="U147" s="143">
        <f t="shared" ca="1" si="31"/>
        <v>9922.5987000000023</v>
      </c>
      <c r="V147" s="143">
        <f t="shared" ca="1" si="31"/>
        <v>124181.36780000001</v>
      </c>
      <c r="W147" s="143">
        <f t="shared" ca="1" si="31"/>
        <v>22759.706850000002</v>
      </c>
      <c r="X147" s="143">
        <f t="shared" ca="1" si="31"/>
        <v>0</v>
      </c>
      <c r="Y147" s="143">
        <f t="shared" ca="1" si="31"/>
        <v>145041.36158</v>
      </c>
      <c r="Z147" s="143">
        <f t="shared" ca="1" si="31"/>
        <v>24419.863949999999</v>
      </c>
      <c r="AA147" s="143">
        <f t="shared" ca="1" si="31"/>
        <v>0</v>
      </c>
      <c r="AB147" s="143">
        <f t="shared" ca="1" si="31"/>
        <v>250005.55827000001</v>
      </c>
      <c r="AC147" s="143">
        <f t="shared" ca="1" si="31"/>
        <v>95843.580940000014</v>
      </c>
      <c r="AD147" s="143">
        <f t="shared" ca="1" si="31"/>
        <v>0</v>
      </c>
      <c r="AE147" s="143">
        <f t="shared" ca="1" si="31"/>
        <v>307345.19997000002</v>
      </c>
      <c r="AF147" s="143">
        <f t="shared" si="31"/>
        <v>0</v>
      </c>
      <c r="AG147" s="143">
        <f t="shared" si="31"/>
        <v>0</v>
      </c>
    </row>
    <row r="148" spans="1:33" ht="15" customHeight="1" outlineLevel="1" thickTop="1">
      <c r="A148" s="861"/>
      <c r="B148" s="235"/>
      <c r="C148" s="116" t="s">
        <v>307</v>
      </c>
      <c r="D148" s="125"/>
      <c r="E148" s="125"/>
      <c r="F148" s="125"/>
      <c r="G148" s="125"/>
      <c r="H148" s="125"/>
      <c r="I148" s="668">
        <f ca="1">SUM(J148:AG148)</f>
        <v>0</v>
      </c>
      <c r="J148" s="22">
        <f t="shared" ref="J148:AG148" ca="1" si="32">IF(J147&lt;0,1,0)</f>
        <v>0</v>
      </c>
      <c r="K148" s="22">
        <f t="shared" ca="1" si="32"/>
        <v>0</v>
      </c>
      <c r="L148" s="22">
        <f t="shared" ca="1" si="32"/>
        <v>0</v>
      </c>
      <c r="M148" s="22">
        <f t="shared" ca="1" si="32"/>
        <v>0</v>
      </c>
      <c r="N148" s="22">
        <f t="shared" ca="1" si="32"/>
        <v>0</v>
      </c>
      <c r="O148" s="22">
        <f t="shared" ca="1" si="32"/>
        <v>0</v>
      </c>
      <c r="P148" s="22">
        <f t="shared" ca="1" si="32"/>
        <v>0</v>
      </c>
      <c r="Q148" s="22">
        <f t="shared" ca="1" si="32"/>
        <v>0</v>
      </c>
      <c r="R148" s="22">
        <f t="shared" ca="1" si="32"/>
        <v>0</v>
      </c>
      <c r="S148" s="22">
        <f t="shared" ca="1" si="32"/>
        <v>0</v>
      </c>
      <c r="T148" s="22">
        <f t="shared" ca="1" si="32"/>
        <v>0</v>
      </c>
      <c r="U148" s="22">
        <f t="shared" ca="1" si="32"/>
        <v>0</v>
      </c>
      <c r="V148" s="22">
        <f t="shared" ca="1" si="32"/>
        <v>0</v>
      </c>
      <c r="W148" s="22">
        <f t="shared" ca="1" si="32"/>
        <v>0</v>
      </c>
      <c r="X148" s="22">
        <f t="shared" ca="1" si="32"/>
        <v>0</v>
      </c>
      <c r="Y148" s="22">
        <f t="shared" ca="1" si="32"/>
        <v>0</v>
      </c>
      <c r="Z148" s="22">
        <f t="shared" ca="1" si="32"/>
        <v>0</v>
      </c>
      <c r="AA148" s="22">
        <f t="shared" ca="1" si="32"/>
        <v>0</v>
      </c>
      <c r="AB148" s="22">
        <f t="shared" ca="1" si="32"/>
        <v>0</v>
      </c>
      <c r="AC148" s="22">
        <f t="shared" ca="1" si="32"/>
        <v>0</v>
      </c>
      <c r="AD148" s="22">
        <f t="shared" ca="1" si="32"/>
        <v>0</v>
      </c>
      <c r="AE148" s="22">
        <f t="shared" ca="1" si="32"/>
        <v>0</v>
      </c>
      <c r="AF148" s="22">
        <f t="shared" si="32"/>
        <v>0</v>
      </c>
      <c r="AG148" s="22">
        <f t="shared" si="32"/>
        <v>0</v>
      </c>
    </row>
    <row r="149" spans="1:33" ht="15" customHeight="1" outlineLevel="1">
      <c r="A149" s="861"/>
      <c r="B149" s="235"/>
      <c r="C149" s="235"/>
      <c r="D149" s="235"/>
      <c r="E149" s="235"/>
      <c r="F149" s="235"/>
      <c r="G149" s="235"/>
      <c r="H149" s="235"/>
      <c r="I149" s="786"/>
      <c r="J149" s="235"/>
      <c r="K149" s="235"/>
      <c r="L149" s="235"/>
      <c r="M149" s="235"/>
      <c r="N149" s="235"/>
      <c r="O149" s="400"/>
      <c r="P149" s="235"/>
      <c r="Q149" s="235"/>
      <c r="R149" s="235"/>
      <c r="S149" s="235"/>
      <c r="T149" s="235"/>
      <c r="U149" s="235"/>
      <c r="V149" s="235"/>
      <c r="W149" s="235"/>
      <c r="X149" s="235"/>
      <c r="Y149" s="235"/>
      <c r="Z149" s="235"/>
      <c r="AA149" s="235"/>
      <c r="AB149" s="235"/>
      <c r="AC149" s="235"/>
      <c r="AD149" s="235"/>
      <c r="AE149" s="235"/>
      <c r="AF149" s="235"/>
      <c r="AG149" s="235"/>
    </row>
    <row r="150" spans="1:33" ht="21.75" customHeight="1" thickBot="1">
      <c r="A150" s="316"/>
      <c r="B150" s="316"/>
      <c r="C150" s="316" t="s">
        <v>314</v>
      </c>
      <c r="D150" s="323" t="str">
        <f>"(all figures in " &amp;Currency_Label &amp;")"</f>
        <v>(all figures in USD)</v>
      </c>
      <c r="E150" s="316"/>
      <c r="F150" s="316"/>
      <c r="G150" s="316"/>
      <c r="H150" s="316"/>
      <c r="I150" s="427"/>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316"/>
      <c r="AF150" s="316"/>
      <c r="AG150" s="316"/>
    </row>
    <row r="151" spans="1:33" ht="15" customHeight="1" outlineLevel="1">
      <c r="A151" s="861"/>
      <c r="B151" s="235"/>
      <c r="C151" s="235"/>
      <c r="D151" s="235"/>
      <c r="E151" s="235"/>
      <c r="F151" s="235"/>
      <c r="G151" s="235"/>
      <c r="H151" s="235"/>
      <c r="I151" s="1039" t="s">
        <v>313</v>
      </c>
      <c r="J151" s="691">
        <f t="shared" ref="J151:AG151" si="33">J$4</f>
        <v>43132</v>
      </c>
      <c r="K151" s="691">
        <f t="shared" si="33"/>
        <v>43160</v>
      </c>
      <c r="L151" s="691">
        <f t="shared" si="33"/>
        <v>43191</v>
      </c>
      <c r="M151" s="691">
        <f t="shared" si="33"/>
        <v>43221</v>
      </c>
      <c r="N151" s="691">
        <f t="shared" si="33"/>
        <v>43252</v>
      </c>
      <c r="O151" s="691">
        <f t="shared" si="33"/>
        <v>43282</v>
      </c>
      <c r="P151" s="691">
        <f t="shared" si="33"/>
        <v>43313</v>
      </c>
      <c r="Q151" s="691">
        <f t="shared" si="33"/>
        <v>43344</v>
      </c>
      <c r="R151" s="691">
        <f t="shared" si="33"/>
        <v>43374</v>
      </c>
      <c r="S151" s="691">
        <f t="shared" si="33"/>
        <v>43405</v>
      </c>
      <c r="T151" s="691">
        <f t="shared" si="33"/>
        <v>43435</v>
      </c>
      <c r="U151" s="691">
        <f t="shared" si="33"/>
        <v>43466</v>
      </c>
      <c r="V151" s="691">
        <f t="shared" si="33"/>
        <v>43497</v>
      </c>
      <c r="W151" s="691">
        <f t="shared" si="33"/>
        <v>43525</v>
      </c>
      <c r="X151" s="691">
        <f t="shared" si="33"/>
        <v>43556</v>
      </c>
      <c r="Y151" s="691">
        <f t="shared" si="33"/>
        <v>43586</v>
      </c>
      <c r="Z151" s="691">
        <f t="shared" si="33"/>
        <v>43617</v>
      </c>
      <c r="AA151" s="691">
        <f t="shared" si="33"/>
        <v>43647</v>
      </c>
      <c r="AB151" s="691">
        <f t="shared" si="33"/>
        <v>43678</v>
      </c>
      <c r="AC151" s="691">
        <f t="shared" si="33"/>
        <v>43709</v>
      </c>
      <c r="AD151" s="691">
        <f t="shared" si="33"/>
        <v>43739</v>
      </c>
      <c r="AE151" s="691">
        <f t="shared" si="33"/>
        <v>43770</v>
      </c>
      <c r="AF151" s="691">
        <f t="shared" si="33"/>
        <v>43800</v>
      </c>
      <c r="AG151" s="691">
        <f t="shared" si="33"/>
        <v>43831</v>
      </c>
    </row>
    <row r="152" spans="1:33" ht="11.25" customHeight="1" outlineLevel="1">
      <c r="A152" s="861"/>
      <c r="B152" s="282"/>
      <c r="C152" s="127"/>
      <c r="D152" s="282"/>
      <c r="E152" s="282"/>
      <c r="F152" s="282"/>
      <c r="G152" s="282"/>
      <c r="H152" s="282"/>
      <c r="I152" s="441"/>
      <c r="J152" s="319"/>
      <c r="K152" s="319"/>
      <c r="L152" s="319"/>
      <c r="M152" s="319"/>
      <c r="N152" s="319"/>
      <c r="O152" s="319"/>
      <c r="P152" s="319"/>
      <c r="Q152" s="319"/>
      <c r="R152" s="319"/>
      <c r="S152" s="319"/>
      <c r="T152" s="319"/>
      <c r="U152" s="319"/>
      <c r="V152" s="319"/>
      <c r="W152" s="319"/>
      <c r="X152" s="319"/>
      <c r="Y152" s="319"/>
      <c r="Z152" s="319"/>
      <c r="AA152" s="319"/>
      <c r="AB152" s="319"/>
      <c r="AC152" s="319"/>
      <c r="AD152" s="319"/>
      <c r="AE152" s="319"/>
      <c r="AF152" s="319"/>
      <c r="AG152" s="319"/>
    </row>
    <row r="153" spans="1:33" ht="17.25" customHeight="1" outlineLevel="1">
      <c r="A153" s="861"/>
      <c r="B153" s="235"/>
      <c r="C153" s="40" t="str">
        <f>Capex!$C$9</f>
        <v>Intangible Assets</v>
      </c>
      <c r="D153" s="125"/>
      <c r="E153" s="333"/>
      <c r="F153" s="333"/>
      <c r="G153" s="800"/>
      <c r="H153" s="333"/>
      <c r="I153" s="433">
        <f>Inputs!$F$259</f>
        <v>0</v>
      </c>
      <c r="J153" s="80">
        <f>Capex!J38</f>
        <v>0</v>
      </c>
      <c r="K153" s="80">
        <f>Capex!K38</f>
        <v>0</v>
      </c>
      <c r="L153" s="80">
        <f>Capex!L38</f>
        <v>30000</v>
      </c>
      <c r="M153" s="80">
        <f>Capex!M38</f>
        <v>29750</v>
      </c>
      <c r="N153" s="80">
        <f>Capex!N38</f>
        <v>29500</v>
      </c>
      <c r="O153" s="80">
        <f>Capex!O38</f>
        <v>29250</v>
      </c>
      <c r="P153" s="80">
        <f>Capex!P38</f>
        <v>29000</v>
      </c>
      <c r="Q153" s="80">
        <f>Capex!Q38</f>
        <v>117700</v>
      </c>
      <c r="R153" s="80">
        <f>Capex!R38</f>
        <v>116708.75</v>
      </c>
      <c r="S153" s="80">
        <f>Capex!S38</f>
        <v>115717.5</v>
      </c>
      <c r="T153" s="80">
        <f>Capex!T38</f>
        <v>114726.25</v>
      </c>
      <c r="U153" s="80">
        <f>Capex!U38</f>
        <v>113735</v>
      </c>
      <c r="V153" s="80">
        <f>Capex!V38</f>
        <v>112743.75</v>
      </c>
      <c r="W153" s="80">
        <f>Capex!W38</f>
        <v>111752.5</v>
      </c>
      <c r="X153" s="80">
        <f>Capex!X38</f>
        <v>110761.25</v>
      </c>
      <c r="Y153" s="80">
        <f>Capex!Y38</f>
        <v>109770</v>
      </c>
      <c r="Z153" s="80">
        <f>Capex!Z38</f>
        <v>108778.75</v>
      </c>
      <c r="AA153" s="80">
        <f>Capex!AA38</f>
        <v>107787.5</v>
      </c>
      <c r="AB153" s="80">
        <f>Capex!AB38</f>
        <v>106796.25</v>
      </c>
      <c r="AC153" s="80">
        <f>Capex!AC38</f>
        <v>105805</v>
      </c>
      <c r="AD153" s="80">
        <f>Capex!AD38</f>
        <v>104813.75</v>
      </c>
      <c r="AE153" s="80">
        <f>Capex!AE38</f>
        <v>103822.5</v>
      </c>
      <c r="AF153" s="80">
        <f>Capex!AF38</f>
        <v>0</v>
      </c>
      <c r="AG153" s="80">
        <f>Capex!AG38</f>
        <v>0</v>
      </c>
    </row>
    <row r="154" spans="1:33" ht="17.25" customHeight="1" outlineLevel="1">
      <c r="A154" s="861"/>
      <c r="B154" s="235"/>
      <c r="C154" s="40" t="str">
        <f>Capex!$C$40</f>
        <v>Tangible Assets</v>
      </c>
      <c r="D154" s="125"/>
      <c r="E154" s="125"/>
      <c r="F154" s="125"/>
      <c r="G154" s="800"/>
      <c r="H154" s="125"/>
      <c r="I154" s="433">
        <f>Inputs!$F$260</f>
        <v>5000</v>
      </c>
      <c r="J154" s="80">
        <f>Capex!J123</f>
        <v>14940.476190476191</v>
      </c>
      <c r="K154" s="80">
        <f>Capex!K123</f>
        <v>14761.904761904761</v>
      </c>
      <c r="L154" s="80">
        <f>Capex!L123</f>
        <v>34583.333333333336</v>
      </c>
      <c r="M154" s="80">
        <f>Capex!M123</f>
        <v>34126.984126984127</v>
      </c>
      <c r="N154" s="80">
        <f>Capex!N123</f>
        <v>33670.634920634919</v>
      </c>
      <c r="O154" s="80">
        <f>Capex!O123</f>
        <v>33214.28571428571</v>
      </c>
      <c r="P154" s="80">
        <f>Capex!P123</f>
        <v>67757.936507936509</v>
      </c>
      <c r="Q154" s="80">
        <f>Capex!Q123</f>
        <v>66845.238095238092</v>
      </c>
      <c r="R154" s="80">
        <f>Capex!R123</f>
        <v>65932.539682539675</v>
      </c>
      <c r="S154" s="80">
        <f>Capex!S123</f>
        <v>65019.841269841265</v>
      </c>
      <c r="T154" s="80">
        <f>Capex!T123</f>
        <v>64107.142857142855</v>
      </c>
      <c r="U154" s="80">
        <f>Capex!U123</f>
        <v>63194.444444444445</v>
      </c>
      <c r="V154" s="80">
        <f>Capex!V123</f>
        <v>112281.74603174602</v>
      </c>
      <c r="W154" s="80">
        <f>Capex!W123</f>
        <v>110674.60317460317</v>
      </c>
      <c r="X154" s="80">
        <f>Capex!X123</f>
        <v>109067.46031746031</v>
      </c>
      <c r="Y154" s="80">
        <f>Capex!Y123</f>
        <v>107460.31746031746</v>
      </c>
      <c r="Z154" s="80">
        <f>Capex!Z123</f>
        <v>102853.1746031746</v>
      </c>
      <c r="AA154" s="80">
        <f>Capex!AA123</f>
        <v>101305.55555555555</v>
      </c>
      <c r="AB154" s="80">
        <f>Capex!AB123</f>
        <v>99757.936507936494</v>
      </c>
      <c r="AC154" s="80">
        <f>Capex!AC123</f>
        <v>98210.317460317441</v>
      </c>
      <c r="AD154" s="80">
        <f>Capex!AD123</f>
        <v>96662.698412698388</v>
      </c>
      <c r="AE154" s="80">
        <f>Capex!AE123</f>
        <v>95115.079365079335</v>
      </c>
      <c r="AF154" s="80">
        <f>Capex!AF123</f>
        <v>0</v>
      </c>
      <c r="AG154" s="80">
        <f>Capex!AG123</f>
        <v>0</v>
      </c>
    </row>
    <row r="155" spans="1:33" ht="17.25" customHeight="1" outlineLevel="1">
      <c r="A155" s="861"/>
      <c r="B155" s="235"/>
      <c r="C155" s="40" t="str">
        <f>Capex!$C$126</f>
        <v>Financial Assets</v>
      </c>
      <c r="D155" s="125"/>
      <c r="E155" s="125"/>
      <c r="F155" s="125"/>
      <c r="G155" s="800"/>
      <c r="H155" s="125"/>
      <c r="I155" s="433">
        <f>Inputs!$F$264</f>
        <v>0</v>
      </c>
      <c r="J155" s="80">
        <f>Capex!J155</f>
        <v>0</v>
      </c>
      <c r="K155" s="80">
        <f>Capex!K155</f>
        <v>0</v>
      </c>
      <c r="L155" s="80">
        <f>Capex!L155</f>
        <v>7500</v>
      </c>
      <c r="M155" s="80">
        <f>Capex!M155</f>
        <v>7500</v>
      </c>
      <c r="N155" s="80">
        <f>Capex!N155</f>
        <v>7500</v>
      </c>
      <c r="O155" s="80">
        <f>Capex!O155</f>
        <v>7500</v>
      </c>
      <c r="P155" s="80">
        <f>Capex!P155</f>
        <v>7500</v>
      </c>
      <c r="Q155" s="80">
        <f>Capex!Q155</f>
        <v>7500</v>
      </c>
      <c r="R155" s="80">
        <f>Capex!R155</f>
        <v>7500</v>
      </c>
      <c r="S155" s="80">
        <f>Capex!S155</f>
        <v>7500</v>
      </c>
      <c r="T155" s="80">
        <f>Capex!T155</f>
        <v>7500</v>
      </c>
      <c r="U155" s="80">
        <f>Capex!U155</f>
        <v>7500</v>
      </c>
      <c r="V155" s="80">
        <f>Capex!V155</f>
        <v>7500</v>
      </c>
      <c r="W155" s="80">
        <f>Capex!W155</f>
        <v>7500</v>
      </c>
      <c r="X155" s="80">
        <f>Capex!X155</f>
        <v>7500</v>
      </c>
      <c r="Y155" s="80">
        <f>Capex!Y155</f>
        <v>19500</v>
      </c>
      <c r="Z155" s="80">
        <f>Capex!Z155</f>
        <v>19500</v>
      </c>
      <c r="AA155" s="80">
        <f>Capex!AA155</f>
        <v>19500</v>
      </c>
      <c r="AB155" s="80">
        <f>Capex!AB155</f>
        <v>19500</v>
      </c>
      <c r="AC155" s="80">
        <f>Capex!AC155</f>
        <v>19500</v>
      </c>
      <c r="AD155" s="80">
        <f>Capex!AD155</f>
        <v>19500</v>
      </c>
      <c r="AE155" s="80">
        <f>Capex!AE155</f>
        <v>19500</v>
      </c>
      <c r="AF155" s="80">
        <f>Capex!AF155</f>
        <v>0</v>
      </c>
      <c r="AG155" s="80">
        <f>Capex!AG155</f>
        <v>0</v>
      </c>
    </row>
    <row r="156" spans="1:33" ht="17.25" customHeight="1" outlineLevel="1" thickBot="1">
      <c r="A156" s="861"/>
      <c r="B156" s="235"/>
      <c r="C156" s="3" t="s">
        <v>1023</v>
      </c>
      <c r="D156" s="125"/>
      <c r="E156" s="125"/>
      <c r="F156" s="125"/>
      <c r="G156" s="800"/>
      <c r="H156" s="125"/>
      <c r="I156" s="699">
        <f t="shared" ref="I156" si="34">SUM(I153:I155)</f>
        <v>5000</v>
      </c>
      <c r="J156" s="699">
        <f t="shared" ref="J156:AG156" si="35">SUM(J153:J155)</f>
        <v>14940.476190476191</v>
      </c>
      <c r="K156" s="699">
        <f t="shared" si="35"/>
        <v>14761.904761904761</v>
      </c>
      <c r="L156" s="699">
        <f t="shared" si="35"/>
        <v>72083.333333333343</v>
      </c>
      <c r="M156" s="699">
        <f t="shared" si="35"/>
        <v>71376.984126984127</v>
      </c>
      <c r="N156" s="699">
        <f t="shared" si="35"/>
        <v>70670.634920634911</v>
      </c>
      <c r="O156" s="699">
        <f t="shared" si="35"/>
        <v>69964.28571428571</v>
      </c>
      <c r="P156" s="699">
        <f t="shared" si="35"/>
        <v>104257.93650793651</v>
      </c>
      <c r="Q156" s="699">
        <f t="shared" si="35"/>
        <v>192045.23809523811</v>
      </c>
      <c r="R156" s="699">
        <f t="shared" si="35"/>
        <v>190141.28968253967</v>
      </c>
      <c r="S156" s="699">
        <f t="shared" si="35"/>
        <v>188237.34126984127</v>
      </c>
      <c r="T156" s="699">
        <f t="shared" si="35"/>
        <v>186333.39285714284</v>
      </c>
      <c r="U156" s="699">
        <f t="shared" si="35"/>
        <v>184429.44444444444</v>
      </c>
      <c r="V156" s="699">
        <f t="shared" si="35"/>
        <v>232525.49603174604</v>
      </c>
      <c r="W156" s="699">
        <f t="shared" si="35"/>
        <v>229927.10317460317</v>
      </c>
      <c r="X156" s="699">
        <f t="shared" si="35"/>
        <v>227328.7103174603</v>
      </c>
      <c r="Y156" s="699">
        <f t="shared" si="35"/>
        <v>236730.31746031746</v>
      </c>
      <c r="Z156" s="699">
        <f t="shared" si="35"/>
        <v>231131.92460317462</v>
      </c>
      <c r="AA156" s="699">
        <f t="shared" si="35"/>
        <v>228593.05555555556</v>
      </c>
      <c r="AB156" s="699">
        <f t="shared" si="35"/>
        <v>226054.18650793651</v>
      </c>
      <c r="AC156" s="699">
        <f t="shared" si="35"/>
        <v>223515.31746031746</v>
      </c>
      <c r="AD156" s="699">
        <f t="shared" si="35"/>
        <v>220976.4484126984</v>
      </c>
      <c r="AE156" s="699">
        <f t="shared" si="35"/>
        <v>218437.57936507935</v>
      </c>
      <c r="AF156" s="699">
        <f t="shared" si="35"/>
        <v>0</v>
      </c>
      <c r="AG156" s="699">
        <f t="shared" si="35"/>
        <v>0</v>
      </c>
    </row>
    <row r="157" spans="1:33" s="632" customFormat="1" ht="17.25" customHeight="1" outlineLevel="1" thickTop="1">
      <c r="A157" s="861"/>
      <c r="B157" s="282"/>
      <c r="C157" s="127"/>
      <c r="D157" s="282"/>
      <c r="E157" s="282"/>
      <c r="F157" s="282"/>
      <c r="G157" s="861"/>
      <c r="H157" s="319"/>
      <c r="I157" s="441"/>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row>
    <row r="158" spans="1:33" s="199" customFormat="1" ht="17.25" customHeight="1" outlineLevel="1">
      <c r="A158" s="861"/>
      <c r="B158" s="235"/>
      <c r="C158" s="36" t="str">
        <f>CHOOSE(language,"Stocks","Inventory")</f>
        <v>Inventory</v>
      </c>
      <c r="D158" s="125"/>
      <c r="E158" s="800"/>
      <c r="F158" s="800"/>
      <c r="G158" s="800"/>
      <c r="H158" s="125"/>
      <c r="I158" s="433">
        <f>Inputs!$F$267</f>
        <v>2500</v>
      </c>
      <c r="J158" s="80">
        <f t="shared" ref="J158:AG158" ca="1" si="36">J207</f>
        <v>4401.7857142857147</v>
      </c>
      <c r="K158" s="80">
        <f t="shared" ca="1" si="36"/>
        <v>5524.1935483870966</v>
      </c>
      <c r="L158" s="80">
        <f t="shared" ca="1" si="36"/>
        <v>7554.1666666666661</v>
      </c>
      <c r="M158" s="80">
        <f t="shared" ca="1" si="36"/>
        <v>9179.9032258064508</v>
      </c>
      <c r="N158" s="80">
        <f t="shared" ca="1" si="36"/>
        <v>11596.300000000001</v>
      </c>
      <c r="O158" s="80">
        <f t="shared" ca="1" si="36"/>
        <v>13252.421935483871</v>
      </c>
      <c r="P158" s="80">
        <f t="shared" ca="1" si="36"/>
        <v>15547.771716129037</v>
      </c>
      <c r="Q158" s="80">
        <f t="shared" ca="1" si="36"/>
        <v>18437.406244266669</v>
      </c>
      <c r="R158" s="80">
        <f t="shared" ca="1" si="36"/>
        <v>20278.345742616777</v>
      </c>
      <c r="S158" s="80">
        <f t="shared" ca="1" si="36"/>
        <v>22871.404438065496</v>
      </c>
      <c r="T158" s="80">
        <f t="shared" ca="1" si="36"/>
        <v>24394.673959343341</v>
      </c>
      <c r="U158" s="80">
        <f t="shared" ca="1" si="36"/>
        <v>25619.903421583909</v>
      </c>
      <c r="V158" s="80">
        <f t="shared" ca="1" si="36"/>
        <v>30216.397253245192</v>
      </c>
      <c r="W158" s="80">
        <f t="shared" ca="1" si="36"/>
        <v>29349.11818804581</v>
      </c>
      <c r="X158" s="80">
        <f t="shared" ca="1" si="36"/>
        <v>32480.460309837224</v>
      </c>
      <c r="Y158" s="80">
        <f t="shared" ca="1" si="36"/>
        <v>33223.666155006824</v>
      </c>
      <c r="Z158" s="80">
        <f t="shared" ca="1" si="36"/>
        <v>36452.001434883634</v>
      </c>
      <c r="AA158" s="80">
        <f t="shared" ca="1" si="36"/>
        <v>37368.453513923698</v>
      </c>
      <c r="AB158" s="80">
        <f t="shared" ca="1" si="36"/>
        <v>39252.270463256071</v>
      </c>
      <c r="AC158" s="80">
        <f t="shared" ca="1" si="36"/>
        <v>42741.20812715152</v>
      </c>
      <c r="AD158" s="80">
        <f t="shared" ca="1" si="36"/>
        <v>43524.953848111996</v>
      </c>
      <c r="AE158" s="80">
        <f t="shared" ca="1" si="36"/>
        <v>47063.926298615683</v>
      </c>
      <c r="AF158" s="80">
        <f t="shared" ca="1" si="36"/>
        <v>0</v>
      </c>
      <c r="AG158" s="80">
        <f t="shared" ca="1" si="36"/>
        <v>0</v>
      </c>
    </row>
    <row r="159" spans="1:33" s="199" customFormat="1" ht="17.25" customHeight="1" outlineLevel="1">
      <c r="A159" s="861"/>
      <c r="B159" s="235"/>
      <c r="C159" s="333" t="s">
        <v>1039</v>
      </c>
      <c r="D159" s="125"/>
      <c r="E159" s="125"/>
      <c r="F159" s="125"/>
      <c r="G159" s="800"/>
      <c r="H159" s="125"/>
      <c r="I159" s="423"/>
      <c r="J159" s="80">
        <f>Inputs!J354</f>
        <v>0</v>
      </c>
      <c r="K159" s="80">
        <f>Inputs!K354</f>
        <v>0</v>
      </c>
      <c r="L159" s="80">
        <f>Inputs!L354</f>
        <v>0</v>
      </c>
      <c r="M159" s="80">
        <f>Inputs!M354</f>
        <v>0</v>
      </c>
      <c r="N159" s="80">
        <f>Inputs!N354</f>
        <v>0</v>
      </c>
      <c r="O159" s="80">
        <f>Inputs!O354</f>
        <v>0</v>
      </c>
      <c r="P159" s="80">
        <f>Inputs!P354</f>
        <v>0</v>
      </c>
      <c r="Q159" s="80">
        <f>Inputs!Q354</f>
        <v>0</v>
      </c>
      <c r="R159" s="80">
        <f>Inputs!R354</f>
        <v>0</v>
      </c>
      <c r="S159" s="80">
        <f>Inputs!S354</f>
        <v>0</v>
      </c>
      <c r="T159" s="80">
        <f>Inputs!T354</f>
        <v>0</v>
      </c>
      <c r="U159" s="80">
        <f>Inputs!U354</f>
        <v>0</v>
      </c>
      <c r="V159" s="80">
        <f>Inputs!V354</f>
        <v>0</v>
      </c>
      <c r="W159" s="80">
        <f>Inputs!W354</f>
        <v>2750</v>
      </c>
      <c r="X159" s="80">
        <f>Inputs!X354</f>
        <v>2750</v>
      </c>
      <c r="Y159" s="80">
        <f>Inputs!Y354</f>
        <v>2750</v>
      </c>
      <c r="Z159" s="80">
        <f>Inputs!Z354</f>
        <v>2750</v>
      </c>
      <c r="AA159" s="80">
        <f>Inputs!AA354</f>
        <v>2750</v>
      </c>
      <c r="AB159" s="80">
        <f>Inputs!AB354</f>
        <v>2750</v>
      </c>
      <c r="AC159" s="80">
        <f>Inputs!AC354</f>
        <v>2750</v>
      </c>
      <c r="AD159" s="80">
        <f>Inputs!AD354</f>
        <v>2250</v>
      </c>
      <c r="AE159" s="80">
        <f>Inputs!AE354</f>
        <v>2250</v>
      </c>
      <c r="AF159" s="80">
        <f>Inputs!AF354</f>
        <v>0</v>
      </c>
      <c r="AG159" s="80">
        <f>Inputs!AG354</f>
        <v>0</v>
      </c>
    </row>
    <row r="160" spans="1:33" ht="17.25" customHeight="1" outlineLevel="1">
      <c r="A160" s="861"/>
      <c r="B160" s="235"/>
      <c r="C160" s="36" t="str">
        <f>CHOOSE(language,"Trade Debtors","Accounts Receivables")</f>
        <v>Accounts Receivables</v>
      </c>
      <c r="D160" s="125"/>
      <c r="E160" s="125"/>
      <c r="F160" s="125"/>
      <c r="G160" s="800"/>
      <c r="H160" s="125"/>
      <c r="I160" s="433">
        <f>Inputs!$F$268</f>
        <v>5000</v>
      </c>
      <c r="J160" s="80">
        <f ca="1">'Debtors+Creditors'!J21*J6</f>
        <v>15066.566666666666</v>
      </c>
      <c r="K160" s="80">
        <f ca="1">'Debtors+Creditors'!K21*K6</f>
        <v>30330.633333333335</v>
      </c>
      <c r="L160" s="80">
        <f ca="1">'Debtors+Creditors'!L21*L6</f>
        <v>51163.450000000004</v>
      </c>
      <c r="M160" s="80">
        <f ca="1">'Debtors+Creditors'!M21*M6</f>
        <v>29400.526666666676</v>
      </c>
      <c r="N160" s="80">
        <f ca="1">'Debtors+Creditors'!N21*N6</f>
        <v>62338.073333333341</v>
      </c>
      <c r="O160" s="80">
        <f ca="1">'Debtors+Creditors'!O21*O6</f>
        <v>101670.54480000002</v>
      </c>
      <c r="P160" s="80">
        <f ca="1">'Debtors+Creditors'!P21*P6</f>
        <v>47265.709392000026</v>
      </c>
      <c r="Q160" s="80">
        <f ca="1">'Debtors+Creditors'!Q21*Q6</f>
        <v>101794.27344768003</v>
      </c>
      <c r="R160" s="80">
        <f ca="1">'Debtors+Creditors'!R21*R6</f>
        <v>163948.88819358725</v>
      </c>
      <c r="S160" s="80">
        <f ca="1">'Debtors+Creditors'!S21*S6</f>
        <v>67970.387531743501</v>
      </c>
      <c r="T160" s="80">
        <f ca="1">'Debtors+Creditors'!T21*T6</f>
        <v>143022.59053003674</v>
      </c>
      <c r="U160" s="80">
        <f ca="1">'Debtors+Creditors'!U21*U6</f>
        <v>221751.33731554105</v>
      </c>
      <c r="V160" s="80">
        <f ca="1">'Debtors+Creditors'!V21*V6</f>
        <v>84211.994843069464</v>
      </c>
      <c r="W160" s="80">
        <f ca="1">'Debtors+Creditors'!W21*W6</f>
        <v>174876.70127092634</v>
      </c>
      <c r="X160" s="80">
        <f ca="1">'Debtors+Creditors'!X21*X6</f>
        <v>272078.37152165006</v>
      </c>
      <c r="Y160" s="80">
        <f ca="1">'Debtors+Creditors'!Y21*Y6</f>
        <v>102826.05912366163</v>
      </c>
      <c r="Z160" s="80">
        <f ca="1">'Debtors+Creditors'!Z21*Z6</f>
        <v>212093.30435986409</v>
      </c>
      <c r="AA160" s="80">
        <f ca="1">'Debtors+Creditors'!AA21*AA6</f>
        <v>327927.25242187188</v>
      </c>
      <c r="AB160" s="80">
        <f ca="1">'Debtors+Creditors'!AB21*AB6</f>
        <v>121751.19782166573</v>
      </c>
      <c r="AC160" s="80">
        <f ca="1">'Debtors+Creditors'!AC21*AC6</f>
        <v>250126.75401143573</v>
      </c>
      <c r="AD160" s="80">
        <f ca="1">'Debtors+Creditors'!AD21*AD6</f>
        <v>385291.22354829405</v>
      </c>
      <c r="AE160" s="80">
        <f ca="1">'Debtors+Creditors'!AE21*AE6</f>
        <v>141512.87883048612</v>
      </c>
      <c r="AF160" s="80">
        <f ca="1">'Debtors+Creditors'!AF21*AF6</f>
        <v>0</v>
      </c>
      <c r="AG160" s="80">
        <f ca="1">'Debtors+Creditors'!AG21*AG6</f>
        <v>0</v>
      </c>
    </row>
    <row r="161" spans="1:33" ht="17.25" customHeight="1" outlineLevel="1">
      <c r="A161" s="861"/>
      <c r="B161" s="235"/>
      <c r="C161" s="40" t="str">
        <f>Name_VAT &amp;" owed to company"</f>
        <v>VAT owed to company</v>
      </c>
      <c r="D161" s="333"/>
      <c r="E161" s="333"/>
      <c r="F161" s="333"/>
      <c r="G161" s="800"/>
      <c r="H161" s="125"/>
      <c r="I161" s="423"/>
      <c r="J161" s="80">
        <f ca="1">'Debtors+Creditors'!J34*J6</f>
        <v>1743.9840000000004</v>
      </c>
      <c r="K161" s="80">
        <f ca="1">'Debtors+Creditors'!K34*K6</f>
        <v>4319.5680000000011</v>
      </c>
      <c r="L161" s="80">
        <f ca="1">'Debtors+Creditors'!L34*L6</f>
        <v>7786.1520000000019</v>
      </c>
      <c r="M161" s="80">
        <f ca="1">'Debtors+Creditors'!M34*M6</f>
        <v>4437.4176000000025</v>
      </c>
      <c r="N161" s="80">
        <f ca="1">'Debtors+Creditors'!N34*N6</f>
        <v>9840.7584000000024</v>
      </c>
      <c r="O161" s="80">
        <f ca="1">'Debtors+Creditors'!O34*O6</f>
        <v>16267.287168000003</v>
      </c>
      <c r="P161" s="80">
        <f ca="1">'Debtors+Creditors'!P34*P6</f>
        <v>7562.5135027200013</v>
      </c>
      <c r="Q161" s="80">
        <f ca="1">'Debtors+Creditors'!Q34*Q6</f>
        <v>16287.083751628805</v>
      </c>
      <c r="R161" s="80">
        <f ca="1">'Debtors+Creditors'!R34*R6</f>
        <v>26231.822110973961</v>
      </c>
      <c r="S161" s="80">
        <f ca="1">'Debtors+Creditors'!S34*S6</f>
        <v>10875.262005078956</v>
      </c>
      <c r="T161" s="80">
        <f ca="1">'Debtors+Creditors'!T34*T6</f>
        <v>22883.614484805879</v>
      </c>
      <c r="U161" s="80">
        <f ca="1">'Debtors+Creditors'!U34*U6</f>
        <v>35480.213970486569</v>
      </c>
      <c r="V161" s="80">
        <f ca="1">'Debtors+Creditors'!V34*V6</f>
        <v>13473.919174891118</v>
      </c>
      <c r="W161" s="80">
        <f ca="1">'Debtors+Creditors'!W34*W6</f>
        <v>27980.272203348217</v>
      </c>
      <c r="X161" s="80">
        <f ca="1">'Debtors+Creditors'!X34*X6</f>
        <v>43532.539443464018</v>
      </c>
      <c r="Y161" s="80">
        <f ca="1">'Debtors+Creditors'!Y34*Y6</f>
        <v>16452.169459785873</v>
      </c>
      <c r="Z161" s="80">
        <f ca="1">'Debtors+Creditors'!Z34*Z6</f>
        <v>33934.928697578274</v>
      </c>
      <c r="AA161" s="80">
        <f ca="1">'Debtors+Creditors'!AA34*AA6</f>
        <v>52468.360387499517</v>
      </c>
      <c r="AB161" s="80">
        <f ca="1">'Debtors+Creditors'!AB34*AB6</f>
        <v>19480.191651466528</v>
      </c>
      <c r="AC161" s="80">
        <f ca="1">'Debtors+Creditors'!AC34*AC6</f>
        <v>40020.28064182974</v>
      </c>
      <c r="AD161" s="80">
        <f ca="1">'Debtors+Creditors'!AD34*AD6</f>
        <v>61646.595767727078</v>
      </c>
      <c r="AE161" s="80">
        <f ca="1">'Debtors+Creditors'!AE34*AE6</f>
        <v>22642.060612877809</v>
      </c>
      <c r="AF161" s="80">
        <f ca="1">'Debtors+Creditors'!AF34*AF6</f>
        <v>0</v>
      </c>
      <c r="AG161" s="80">
        <f ca="1">'Debtors+Creditors'!AG34*AG6</f>
        <v>0</v>
      </c>
    </row>
    <row r="162" spans="1:33" ht="17.25" customHeight="1" outlineLevel="1">
      <c r="A162" s="861"/>
      <c r="B162" s="235"/>
      <c r="C162" s="40" t="s">
        <v>1040</v>
      </c>
      <c r="D162" s="125"/>
      <c r="E162" s="125"/>
      <c r="F162" s="125"/>
      <c r="G162" s="800"/>
      <c r="H162" s="125"/>
      <c r="I162" s="433">
        <f>Inputs!$F$269</f>
        <v>0</v>
      </c>
      <c r="J162" s="80">
        <f t="shared" ref="J162:AG162" ca="1" si="37">J147</f>
        <v>0</v>
      </c>
      <c r="K162" s="80">
        <f t="shared" ca="1" si="37"/>
        <v>0</v>
      </c>
      <c r="L162" s="80">
        <f t="shared" ca="1" si="37"/>
        <v>90215.963050000006</v>
      </c>
      <c r="M162" s="80">
        <f t="shared" ca="1" si="37"/>
        <v>108534.97663</v>
      </c>
      <c r="N162" s="80">
        <f t="shared" ca="1" si="37"/>
        <v>70315.142420000004</v>
      </c>
      <c r="O162" s="80">
        <f t="shared" ca="1" si="37"/>
        <v>29674.744600000005</v>
      </c>
      <c r="P162" s="80">
        <f t="shared" ca="1" si="37"/>
        <v>77712.458160000009</v>
      </c>
      <c r="Q162" s="80">
        <f t="shared" ca="1" si="37"/>
        <v>15584.772410000012</v>
      </c>
      <c r="R162" s="80">
        <f t="shared" ca="1" si="37"/>
        <v>0</v>
      </c>
      <c r="S162" s="80">
        <f t="shared" ca="1" si="37"/>
        <v>147315.40580000001</v>
      </c>
      <c r="T162" s="80">
        <f t="shared" ca="1" si="37"/>
        <v>79617.295440000002</v>
      </c>
      <c r="U162" s="80">
        <f t="shared" ca="1" si="37"/>
        <v>9922.5987000000023</v>
      </c>
      <c r="V162" s="80">
        <f t="shared" ca="1" si="37"/>
        <v>124181.36780000001</v>
      </c>
      <c r="W162" s="80">
        <f t="shared" ca="1" si="37"/>
        <v>22759.706850000002</v>
      </c>
      <c r="X162" s="80">
        <f t="shared" ca="1" si="37"/>
        <v>0</v>
      </c>
      <c r="Y162" s="80">
        <f t="shared" ca="1" si="37"/>
        <v>145041.36158</v>
      </c>
      <c r="Z162" s="80">
        <f t="shared" ca="1" si="37"/>
        <v>24419.863949999999</v>
      </c>
      <c r="AA162" s="80">
        <f t="shared" ca="1" si="37"/>
        <v>0</v>
      </c>
      <c r="AB162" s="80">
        <f t="shared" ca="1" si="37"/>
        <v>250005.55827000001</v>
      </c>
      <c r="AC162" s="80">
        <f t="shared" ca="1" si="37"/>
        <v>95843.580940000014</v>
      </c>
      <c r="AD162" s="80">
        <f t="shared" ca="1" si="37"/>
        <v>0</v>
      </c>
      <c r="AE162" s="80">
        <f t="shared" ca="1" si="37"/>
        <v>307345.19997000002</v>
      </c>
      <c r="AF162" s="80">
        <f t="shared" si="37"/>
        <v>0</v>
      </c>
      <c r="AG162" s="80">
        <f t="shared" si="37"/>
        <v>0</v>
      </c>
    </row>
    <row r="163" spans="1:33" ht="17.25" customHeight="1" outlineLevel="1" thickBot="1">
      <c r="A163" s="861"/>
      <c r="B163" s="235"/>
      <c r="C163" s="3" t="s">
        <v>322</v>
      </c>
      <c r="D163" s="125"/>
      <c r="E163" s="125"/>
      <c r="F163" s="125"/>
      <c r="G163" s="800"/>
      <c r="H163" s="125"/>
      <c r="I163" s="699">
        <f t="shared" ref="I163" si="38">SUM(I158:I162)</f>
        <v>7500</v>
      </c>
      <c r="J163" s="699">
        <f t="shared" ref="J163:AG163" ca="1" si="39">SUM(J158:J162)</f>
        <v>21212.33638095238</v>
      </c>
      <c r="K163" s="699">
        <f t="shared" ca="1" si="39"/>
        <v>40174.394881720429</v>
      </c>
      <c r="L163" s="699">
        <f t="shared" ca="1" si="39"/>
        <v>156719.73171666666</v>
      </c>
      <c r="M163" s="699">
        <f t="shared" ca="1" si="39"/>
        <v>151552.82412247313</v>
      </c>
      <c r="N163" s="699">
        <f t="shared" ca="1" si="39"/>
        <v>154090.27415333333</v>
      </c>
      <c r="O163" s="699">
        <f t="shared" ca="1" si="39"/>
        <v>160864.99850348389</v>
      </c>
      <c r="P163" s="699">
        <f t="shared" ca="1" si="39"/>
        <v>148088.45277084908</v>
      </c>
      <c r="Q163" s="699">
        <f t="shared" ca="1" si="39"/>
        <v>152103.53585357551</v>
      </c>
      <c r="R163" s="699">
        <f t="shared" ca="1" si="39"/>
        <v>210459.05604717799</v>
      </c>
      <c r="S163" s="699">
        <f t="shared" ca="1" si="39"/>
        <v>249032.45977488795</v>
      </c>
      <c r="T163" s="699">
        <f t="shared" ca="1" si="39"/>
        <v>269918.17441418598</v>
      </c>
      <c r="U163" s="699">
        <f t="shared" ca="1" si="39"/>
        <v>292774.05340761156</v>
      </c>
      <c r="V163" s="699">
        <f t="shared" ca="1" si="39"/>
        <v>252083.67907120578</v>
      </c>
      <c r="W163" s="699">
        <f t="shared" ca="1" si="39"/>
        <v>257715.79851232038</v>
      </c>
      <c r="X163" s="699">
        <f t="shared" ca="1" si="39"/>
        <v>350841.37127495132</v>
      </c>
      <c r="Y163" s="699">
        <f t="shared" ca="1" si="39"/>
        <v>300293.25631845428</v>
      </c>
      <c r="Z163" s="699">
        <f t="shared" ca="1" si="39"/>
        <v>309650.09844232595</v>
      </c>
      <c r="AA163" s="699">
        <f t="shared" ca="1" si="39"/>
        <v>420514.06632329506</v>
      </c>
      <c r="AB163" s="699">
        <f t="shared" ca="1" si="39"/>
        <v>433239.21820638835</v>
      </c>
      <c r="AC163" s="699">
        <f t="shared" ca="1" si="39"/>
        <v>431481.82372041699</v>
      </c>
      <c r="AD163" s="699">
        <f t="shared" ca="1" si="39"/>
        <v>492712.77316413313</v>
      </c>
      <c r="AE163" s="699">
        <f t="shared" ca="1" si="39"/>
        <v>520814.06571197964</v>
      </c>
      <c r="AF163" s="699">
        <f t="shared" ca="1" si="39"/>
        <v>0</v>
      </c>
      <c r="AG163" s="699">
        <f t="shared" ca="1" si="39"/>
        <v>0</v>
      </c>
    </row>
    <row r="164" spans="1:33" ht="17.25" customHeight="1" outlineLevel="1" thickTop="1">
      <c r="A164" s="861"/>
      <c r="B164" s="235"/>
      <c r="C164" s="127"/>
      <c r="D164" s="235"/>
      <c r="E164" s="235"/>
      <c r="F164" s="235"/>
      <c r="G164" s="861"/>
      <c r="H164" s="235"/>
      <c r="I164" s="441"/>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row>
    <row r="165" spans="1:33" s="632" customFormat="1" ht="17.25" customHeight="1" outlineLevel="1">
      <c r="A165" s="861"/>
      <c r="B165" s="235"/>
      <c r="C165" s="40" t="str">
        <f>C137</f>
        <v>Overdraft Facility</v>
      </c>
      <c r="D165" s="125"/>
      <c r="E165" s="125"/>
      <c r="F165" s="125"/>
      <c r="G165" s="800"/>
      <c r="H165" s="125"/>
      <c r="I165" s="433">
        <f>Inputs!$F$272</f>
        <v>0</v>
      </c>
      <c r="J165" s="80">
        <f ca="1">Financing!J69*J6</f>
        <v>0</v>
      </c>
      <c r="K165" s="80">
        <f ca="1">Financing!K69*K6</f>
        <v>0</v>
      </c>
      <c r="L165" s="80">
        <f ca="1">Financing!L69*L6</f>
        <v>0</v>
      </c>
      <c r="M165" s="80">
        <f ca="1">Financing!M69*M6</f>
        <v>0</v>
      </c>
      <c r="N165" s="80">
        <f ca="1">Financing!N69*N6</f>
        <v>0</v>
      </c>
      <c r="O165" s="80">
        <f ca="1">Financing!O69*O6</f>
        <v>0</v>
      </c>
      <c r="P165" s="80">
        <f ca="1">Financing!P69*P6</f>
        <v>0</v>
      </c>
      <c r="Q165" s="80">
        <f ca="1">Financing!Q69*Q6</f>
        <v>0</v>
      </c>
      <c r="R165" s="80">
        <f ca="1">Financing!R69*R6</f>
        <v>45155.543174629362</v>
      </c>
      <c r="S165" s="80">
        <f ca="1">Financing!S69*S6</f>
        <v>0</v>
      </c>
      <c r="T165" s="80">
        <f ca="1">Financing!T69*T6</f>
        <v>0</v>
      </c>
      <c r="U165" s="80">
        <f ca="1">Financing!U69*U6</f>
        <v>0</v>
      </c>
      <c r="V165" s="80">
        <f ca="1">Financing!V69*V6</f>
        <v>0</v>
      </c>
      <c r="W165" s="80">
        <f ca="1">Financing!W69*W6</f>
        <v>0</v>
      </c>
      <c r="X165" s="80">
        <f ca="1">Financing!X69*X6</f>
        <v>60479.340360609247</v>
      </c>
      <c r="Y165" s="80">
        <f ca="1">Financing!Y69*Y6</f>
        <v>0</v>
      </c>
      <c r="Z165" s="80">
        <f ca="1">Financing!Z69*Z6</f>
        <v>0</v>
      </c>
      <c r="AA165" s="80">
        <f ca="1">Financing!AA69*AA6</f>
        <v>16477.085287929542</v>
      </c>
      <c r="AB165" s="80">
        <f ca="1">Financing!AB69*AB6</f>
        <v>0</v>
      </c>
      <c r="AC165" s="80">
        <f ca="1">Financing!AC69*AC6</f>
        <v>0</v>
      </c>
      <c r="AD165" s="80">
        <f ca="1">Financing!AD69*AD6</f>
        <v>9209.1863859756559</v>
      </c>
      <c r="AE165" s="80">
        <f ca="1">Financing!AE69*AE6</f>
        <v>0</v>
      </c>
      <c r="AF165" s="80">
        <f ca="1">Financing!AF69*AF6</f>
        <v>0</v>
      </c>
      <c r="AG165" s="80">
        <f ca="1">Financing!AG69*AG6</f>
        <v>0</v>
      </c>
    </row>
    <row r="166" spans="1:33" s="632" customFormat="1" ht="17.25" customHeight="1" outlineLevel="1">
      <c r="A166" s="861"/>
      <c r="B166" s="235"/>
      <c r="C166" s="333" t="s">
        <v>1041</v>
      </c>
      <c r="D166" s="125"/>
      <c r="E166" s="125"/>
      <c r="F166" s="125"/>
      <c r="G166" s="800"/>
      <c r="H166" s="125"/>
      <c r="I166" s="549"/>
      <c r="J166" s="80">
        <f>Inputs!J348</f>
        <v>0</v>
      </c>
      <c r="K166" s="80">
        <f>Inputs!K348</f>
        <v>0</v>
      </c>
      <c r="L166" s="80">
        <f>Inputs!L348</f>
        <v>3500</v>
      </c>
      <c r="M166" s="80">
        <f>Inputs!M348</f>
        <v>3500</v>
      </c>
      <c r="N166" s="80">
        <f>Inputs!N348</f>
        <v>3500</v>
      </c>
      <c r="O166" s="80">
        <f>Inputs!O348</f>
        <v>3500</v>
      </c>
      <c r="P166" s="80">
        <f>Inputs!P348</f>
        <v>3500</v>
      </c>
      <c r="Q166" s="80">
        <f>Inputs!Q348</f>
        <v>3500</v>
      </c>
      <c r="R166" s="80">
        <f>Inputs!R348</f>
        <v>1500</v>
      </c>
      <c r="S166" s="80">
        <f>Inputs!S348</f>
        <v>1500</v>
      </c>
      <c r="T166" s="80">
        <f>Inputs!T348</f>
        <v>1500</v>
      </c>
      <c r="U166" s="80">
        <f>Inputs!U348</f>
        <v>1500</v>
      </c>
      <c r="V166" s="80">
        <f>Inputs!V348</f>
        <v>1500</v>
      </c>
      <c r="W166" s="80">
        <f>Inputs!W348</f>
        <v>1500</v>
      </c>
      <c r="X166" s="80">
        <f>Inputs!X348</f>
        <v>1500</v>
      </c>
      <c r="Y166" s="80">
        <f>Inputs!Y348</f>
        <v>1500</v>
      </c>
      <c r="Z166" s="80">
        <f>Inputs!Z348</f>
        <v>1500</v>
      </c>
      <c r="AA166" s="80">
        <f>Inputs!AA348</f>
        <v>1500</v>
      </c>
      <c r="AB166" s="80">
        <f>Inputs!AB348</f>
        <v>1500</v>
      </c>
      <c r="AC166" s="80">
        <f>Inputs!AC348</f>
        <v>4250</v>
      </c>
      <c r="AD166" s="80">
        <f>Inputs!AD348</f>
        <v>4250</v>
      </c>
      <c r="AE166" s="80">
        <f>Inputs!AE348</f>
        <v>4250</v>
      </c>
      <c r="AF166" s="80">
        <f>Inputs!AF348</f>
        <v>0</v>
      </c>
      <c r="AG166" s="80">
        <f>Inputs!AG348</f>
        <v>0</v>
      </c>
    </row>
    <row r="167" spans="1:33" s="632" customFormat="1" ht="17.25" customHeight="1" outlineLevel="1">
      <c r="A167" s="861"/>
      <c r="B167" s="235"/>
      <c r="C167" s="36" t="str">
        <f>CHOOSE(language,"Trade Creditors","Accounts Payables")</f>
        <v>Accounts Payables</v>
      </c>
      <c r="D167" s="125"/>
      <c r="E167" s="800"/>
      <c r="F167" s="125"/>
      <c r="G167" s="800"/>
      <c r="H167" s="125"/>
      <c r="I167" s="433">
        <f>Inputs!$F$273</f>
        <v>6000</v>
      </c>
      <c r="J167" s="80">
        <f ca="1">'Debtors+Creditors'!J95*J6</f>
        <v>9780</v>
      </c>
      <c r="K167" s="80">
        <f ca="1">'Debtors+Creditors'!K95*K6</f>
        <v>10825</v>
      </c>
      <c r="L167" s="80">
        <f ca="1">'Debtors+Creditors'!L95*L6</f>
        <v>18070.149999999998</v>
      </c>
      <c r="M167" s="80">
        <f ca="1">'Debtors+Creditors'!M95*M6</f>
        <v>16993.601499999997</v>
      </c>
      <c r="N167" s="80">
        <f ca="1">'Debtors+Creditors'!N95*N6</f>
        <v>11569.077514999999</v>
      </c>
      <c r="O167" s="80">
        <f ca="1">'Debtors+Creditors'!O95*O6</f>
        <v>11746.649890150002</v>
      </c>
      <c r="P167" s="80">
        <f ca="1">'Debtors+Creditors'!P95*P6</f>
        <v>9376.3932530515049</v>
      </c>
      <c r="Q167" s="80">
        <f ca="1">'Debtors+Creditors'!Q95*Q6</f>
        <v>8408.3851241420198</v>
      </c>
      <c r="R167" s="80">
        <f ca="1">'Debtors+Creditors'!R95*R6</f>
        <v>8492.7060314858354</v>
      </c>
      <c r="S167" s="80">
        <f ca="1">'Debtors+Creditors'!S95*S6</f>
        <v>10079.439630147192</v>
      </c>
      <c r="T167" s="80">
        <f ca="1">'Debtors+Creditors'!T95*T6</f>
        <v>10168.672826329019</v>
      </c>
      <c r="U167" s="80">
        <f ca="1">'Debtors+Creditors'!U95*U6</f>
        <v>10810.495906467879</v>
      </c>
      <c r="V167" s="80">
        <f ca="1">'Debtors+Creditors'!V95*V6</f>
        <v>10905.002671483157</v>
      </c>
      <c r="W167" s="80">
        <f ca="1">'Debtors+Creditors'!W95*W6</f>
        <v>8952.2905763866056</v>
      </c>
      <c r="X167" s="80">
        <f ca="1">'Debtors+Creditors'!X95*X6</f>
        <v>10552.460875466637</v>
      </c>
      <c r="Y167" s="80">
        <f ca="1">'Debtors+Creditors'!Y95*Y6</f>
        <v>10655.618773270111</v>
      </c>
      <c r="Z167" s="80">
        <f ca="1">'Debtors+Creditors'!Z95*Z6</f>
        <v>16561.873581613574</v>
      </c>
      <c r="AA167" s="80">
        <f ca="1">'Debtors+Creditors'!AA95*AA6</f>
        <v>17671.3388828649</v>
      </c>
      <c r="AB167" s="80">
        <f ca="1">'Debtors+Creditors'!AB95*AB6</f>
        <v>13834.132699746147</v>
      </c>
      <c r="AC167" s="80">
        <f ca="1">'Debtors+Creditors'!AC95*AC6</f>
        <v>15450.377671918312</v>
      </c>
      <c r="AD167" s="80">
        <f ca="1">'Debtors+Creditors'!AD95*AD6</f>
        <v>13720.201239619179</v>
      </c>
      <c r="AE167" s="80">
        <f ca="1">'Debtors+Creditors'!AE95*AE6</f>
        <v>11543.73583463632</v>
      </c>
      <c r="AF167" s="80">
        <f ca="1">'Debtors+Creditors'!AF95*AF6</f>
        <v>0</v>
      </c>
      <c r="AG167" s="80">
        <f ca="1">'Debtors+Creditors'!AG95*AG6</f>
        <v>0</v>
      </c>
    </row>
    <row r="168" spans="1:33" s="632" customFormat="1" ht="17.25" customHeight="1" outlineLevel="1">
      <c r="A168" s="861"/>
      <c r="B168" s="282"/>
      <c r="C168" s="36" t="s">
        <v>959</v>
      </c>
      <c r="D168" s="333"/>
      <c r="E168" s="800"/>
      <c r="F168" s="333"/>
      <c r="G168" s="800"/>
      <c r="H168" s="333"/>
      <c r="I168" s="549"/>
      <c r="J168" s="80">
        <f>'Debtors+Creditors'!J43*J6</f>
        <v>0</v>
      </c>
      <c r="K168" s="80">
        <f>'Debtors+Creditors'!K43*K6</f>
        <v>0</v>
      </c>
      <c r="L168" s="80">
        <f>'Debtors+Creditors'!L43*L6</f>
        <v>0</v>
      </c>
      <c r="M168" s="80">
        <f>'Debtors+Creditors'!M43*M6</f>
        <v>0</v>
      </c>
      <c r="N168" s="80">
        <f>'Debtors+Creditors'!N43*N6</f>
        <v>0</v>
      </c>
      <c r="O168" s="80">
        <f>'Debtors+Creditors'!O43*O6</f>
        <v>0</v>
      </c>
      <c r="P168" s="80">
        <f>'Debtors+Creditors'!P43*P6</f>
        <v>0</v>
      </c>
      <c r="Q168" s="80">
        <f>'Debtors+Creditors'!Q43*Q6</f>
        <v>0</v>
      </c>
      <c r="R168" s="80">
        <f>'Debtors+Creditors'!R43*R6</f>
        <v>0</v>
      </c>
      <c r="S168" s="80">
        <f>'Debtors+Creditors'!S43*S6</f>
        <v>0</v>
      </c>
      <c r="T168" s="80">
        <f>'Debtors+Creditors'!T43*T6</f>
        <v>0</v>
      </c>
      <c r="U168" s="80">
        <f>'Debtors+Creditors'!U43*U6</f>
        <v>0</v>
      </c>
      <c r="V168" s="80">
        <f>'Debtors+Creditors'!V43*V6</f>
        <v>0</v>
      </c>
      <c r="W168" s="80">
        <f>'Debtors+Creditors'!W43*W6</f>
        <v>0</v>
      </c>
      <c r="X168" s="80">
        <f>'Debtors+Creditors'!X43*X6</f>
        <v>0</v>
      </c>
      <c r="Y168" s="80">
        <f>'Debtors+Creditors'!Y43*Y6</f>
        <v>0</v>
      </c>
      <c r="Z168" s="80">
        <f>'Debtors+Creditors'!Z43*Z6</f>
        <v>0</v>
      </c>
      <c r="AA168" s="80">
        <f>'Debtors+Creditors'!AA43*AA6</f>
        <v>0</v>
      </c>
      <c r="AB168" s="80">
        <f>'Debtors+Creditors'!AB43*AB6</f>
        <v>0</v>
      </c>
      <c r="AC168" s="80">
        <f>'Debtors+Creditors'!AC43*AC6</f>
        <v>0</v>
      </c>
      <c r="AD168" s="80">
        <f>'Debtors+Creditors'!AD43*AD6</f>
        <v>0</v>
      </c>
      <c r="AE168" s="80">
        <f>'Debtors+Creditors'!AE43*AE6</f>
        <v>0</v>
      </c>
      <c r="AF168" s="80">
        <f>'Debtors+Creditors'!AF43*AF6</f>
        <v>0</v>
      </c>
      <c r="AG168" s="80">
        <f>'Debtors+Creditors'!AG43*AG6</f>
        <v>0</v>
      </c>
    </row>
    <row r="169" spans="1:33" s="632" customFormat="1" ht="17.25" customHeight="1" outlineLevel="1">
      <c r="A169" s="861"/>
      <c r="B169" s="282"/>
      <c r="C169" s="36" t="s">
        <v>1042</v>
      </c>
      <c r="D169" s="333"/>
      <c r="E169" s="333"/>
      <c r="F169" s="333"/>
      <c r="G169" s="800"/>
      <c r="H169" s="333"/>
      <c r="I169" s="423"/>
      <c r="J169" s="80">
        <f ca="1">'Debtors+Creditors'!J109*J6</f>
        <v>0</v>
      </c>
      <c r="K169" s="80">
        <f ca="1">'Debtors+Creditors'!K109*K6</f>
        <v>0</v>
      </c>
      <c r="L169" s="80">
        <f ca="1">'Debtors+Creditors'!L109*L6</f>
        <v>0</v>
      </c>
      <c r="M169" s="80">
        <f ca="1">'Debtors+Creditors'!M109*M6</f>
        <v>0</v>
      </c>
      <c r="N169" s="80">
        <f ca="1">'Debtors+Creditors'!N109*N6</f>
        <v>0</v>
      </c>
      <c r="O169" s="80">
        <f ca="1">'Debtors+Creditors'!O109*O6</f>
        <v>0</v>
      </c>
      <c r="P169" s="80">
        <f ca="1">'Debtors+Creditors'!P109*P6</f>
        <v>0</v>
      </c>
      <c r="Q169" s="80">
        <f ca="1">'Debtors+Creditors'!Q109*Q6</f>
        <v>0</v>
      </c>
      <c r="R169" s="80">
        <f ca="1">'Debtors+Creditors'!R109*R6</f>
        <v>0</v>
      </c>
      <c r="S169" s="80">
        <f ca="1">'Debtors+Creditors'!S109*S6</f>
        <v>0</v>
      </c>
      <c r="T169" s="80">
        <f ca="1">'Debtors+Creditors'!T109*T6</f>
        <v>0</v>
      </c>
      <c r="U169" s="80">
        <f ca="1">'Debtors+Creditors'!U109*U6</f>
        <v>0</v>
      </c>
      <c r="V169" s="80">
        <f ca="1">'Debtors+Creditors'!V109*V6</f>
        <v>0</v>
      </c>
      <c r="W169" s="80">
        <f ca="1">'Debtors+Creditors'!W109*W6</f>
        <v>0</v>
      </c>
      <c r="X169" s="80">
        <f ca="1">'Debtors+Creditors'!X109*X6</f>
        <v>0</v>
      </c>
      <c r="Y169" s="80">
        <f ca="1">'Debtors+Creditors'!Y109*Y6</f>
        <v>0</v>
      </c>
      <c r="Z169" s="80">
        <f ca="1">'Debtors+Creditors'!Z109*Z6</f>
        <v>0</v>
      </c>
      <c r="AA169" s="80">
        <f ca="1">'Debtors+Creditors'!AA109*AA6</f>
        <v>0</v>
      </c>
      <c r="AB169" s="80">
        <f ca="1">'Debtors+Creditors'!AB109*AB6</f>
        <v>0</v>
      </c>
      <c r="AC169" s="80">
        <f ca="1">'Debtors+Creditors'!AC109*AC6</f>
        <v>0</v>
      </c>
      <c r="AD169" s="80">
        <f ca="1">'Debtors+Creditors'!AD109*AD6</f>
        <v>0</v>
      </c>
      <c r="AE169" s="80">
        <f ca="1">'Debtors+Creditors'!AE109*AE6</f>
        <v>0</v>
      </c>
      <c r="AF169" s="80">
        <f ca="1">'Debtors+Creditors'!AF109*AF6</f>
        <v>0</v>
      </c>
      <c r="AG169" s="80">
        <f ca="1">'Debtors+Creditors'!AG109*AG6</f>
        <v>0</v>
      </c>
    </row>
    <row r="170" spans="1:33" s="632" customFormat="1" ht="17.25" customHeight="1" outlineLevel="1">
      <c r="A170" s="861"/>
      <c r="B170" s="282"/>
      <c r="C170" s="800" t="s">
        <v>338</v>
      </c>
      <c r="D170" s="333"/>
      <c r="E170" s="333"/>
      <c r="F170" s="333"/>
      <c r="G170" s="800"/>
      <c r="H170" s="333"/>
      <c r="I170" s="433">
        <f>Inputs!$F$274</f>
        <v>0</v>
      </c>
      <c r="J170" s="80">
        <f>Inputs!J342</f>
        <v>0</v>
      </c>
      <c r="K170" s="80">
        <f>Inputs!K342</f>
        <v>0</v>
      </c>
      <c r="L170" s="80">
        <f>Inputs!L342</f>
        <v>0</v>
      </c>
      <c r="M170" s="80">
        <f>Inputs!M342</f>
        <v>0</v>
      </c>
      <c r="N170" s="80">
        <f>Inputs!N342</f>
        <v>0</v>
      </c>
      <c r="O170" s="80">
        <f>Inputs!O342</f>
        <v>6750</v>
      </c>
      <c r="P170" s="80">
        <f>Inputs!P342</f>
        <v>6750</v>
      </c>
      <c r="Q170" s="80">
        <f>Inputs!Q342</f>
        <v>6750</v>
      </c>
      <c r="R170" s="80">
        <f>Inputs!R342</f>
        <v>6750</v>
      </c>
      <c r="S170" s="80">
        <f>Inputs!S342</f>
        <v>6750</v>
      </c>
      <c r="T170" s="80">
        <f>Inputs!T342</f>
        <v>6750</v>
      </c>
      <c r="U170" s="80">
        <f>Inputs!U342</f>
        <v>6750</v>
      </c>
      <c r="V170" s="80">
        <f>Inputs!V342</f>
        <v>6750</v>
      </c>
      <c r="W170" s="80">
        <f>Inputs!W342</f>
        <v>6750</v>
      </c>
      <c r="X170" s="80">
        <f>Inputs!X342</f>
        <v>6750</v>
      </c>
      <c r="Y170" s="80">
        <f>Inputs!Y342</f>
        <v>6750</v>
      </c>
      <c r="Z170" s="80">
        <f>Inputs!Z342</f>
        <v>5750</v>
      </c>
      <c r="AA170" s="80">
        <f>Inputs!AA342</f>
        <v>5750</v>
      </c>
      <c r="AB170" s="80">
        <f>Inputs!AB342</f>
        <v>5750</v>
      </c>
      <c r="AC170" s="80">
        <f>Inputs!AC342</f>
        <v>5750</v>
      </c>
      <c r="AD170" s="80">
        <f>Inputs!AD342</f>
        <v>5750</v>
      </c>
      <c r="AE170" s="80">
        <f>Inputs!AE342</f>
        <v>5750</v>
      </c>
      <c r="AF170" s="80">
        <f>Inputs!AF342</f>
        <v>0</v>
      </c>
      <c r="AG170" s="80">
        <f>Inputs!AG342</f>
        <v>0</v>
      </c>
    </row>
    <row r="171" spans="1:33" s="680" customFormat="1" ht="17.25" customHeight="1" outlineLevel="1">
      <c r="A171" s="861"/>
      <c r="B171" s="282"/>
      <c r="C171" s="333" t="s">
        <v>1043</v>
      </c>
      <c r="D171" s="333"/>
      <c r="E171" s="333"/>
      <c r="F171" s="333"/>
      <c r="G171" s="800"/>
      <c r="H171" s="333"/>
      <c r="I171" s="423"/>
      <c r="J171" s="80">
        <f>Capex!J175</f>
        <v>0</v>
      </c>
      <c r="K171" s="80">
        <f>Capex!K175</f>
        <v>0</v>
      </c>
      <c r="L171" s="80">
        <f>Capex!L175</f>
        <v>0</v>
      </c>
      <c r="M171" s="80">
        <f>Capex!M175</f>
        <v>0</v>
      </c>
      <c r="N171" s="80">
        <f>Capex!N175</f>
        <v>0</v>
      </c>
      <c r="O171" s="80">
        <f>Capex!O175</f>
        <v>0</v>
      </c>
      <c r="P171" s="80">
        <f>Capex!P175</f>
        <v>20000</v>
      </c>
      <c r="Q171" s="80">
        <f>Capex!Q175</f>
        <v>19000</v>
      </c>
      <c r="R171" s="80">
        <f>Capex!R175</f>
        <v>18000</v>
      </c>
      <c r="S171" s="80">
        <f>Capex!S175</f>
        <v>17000</v>
      </c>
      <c r="T171" s="80">
        <f>Capex!T175</f>
        <v>16000</v>
      </c>
      <c r="U171" s="80">
        <f>Capex!U175</f>
        <v>15000</v>
      </c>
      <c r="V171" s="80">
        <f>Capex!V175</f>
        <v>14000</v>
      </c>
      <c r="W171" s="80">
        <f>Capex!W175</f>
        <v>13000</v>
      </c>
      <c r="X171" s="80">
        <f>Capex!X175</f>
        <v>12000</v>
      </c>
      <c r="Y171" s="80">
        <f>Capex!Y175</f>
        <v>11000</v>
      </c>
      <c r="Z171" s="80">
        <f>Capex!Z175</f>
        <v>10000</v>
      </c>
      <c r="AA171" s="80">
        <f>Capex!AA175</f>
        <v>9000</v>
      </c>
      <c r="AB171" s="80">
        <f>Capex!AB175</f>
        <v>8000</v>
      </c>
      <c r="AC171" s="80">
        <f>Capex!AC175</f>
        <v>7000</v>
      </c>
      <c r="AD171" s="80">
        <f>Capex!AD175</f>
        <v>6000</v>
      </c>
      <c r="AE171" s="80">
        <f>Capex!AE175</f>
        <v>5000</v>
      </c>
      <c r="AF171" s="80">
        <f>Capex!AF175</f>
        <v>0</v>
      </c>
      <c r="AG171" s="80">
        <f>Capex!AG175</f>
        <v>0</v>
      </c>
    </row>
    <row r="172" spans="1:33" s="632" customFormat="1" ht="17.25" customHeight="1" outlineLevel="1">
      <c r="A172" s="861"/>
      <c r="B172" s="282"/>
      <c r="C172" s="40" t="str">
        <f>CHOOSE(language,"PAYE owed","Payroll withholdings owed")</f>
        <v>Payroll withholdings owed</v>
      </c>
      <c r="D172" s="333"/>
      <c r="E172" s="333"/>
      <c r="F172" s="333"/>
      <c r="G172" s="800"/>
      <c r="H172" s="333"/>
      <c r="I172" s="433">
        <f>Inputs!$F$275</f>
        <v>0</v>
      </c>
      <c r="J172" s="80">
        <f ca="1">'Debtors+Creditors'!J123</f>
        <v>1774.7555555555555</v>
      </c>
      <c r="K172" s="80">
        <f ca="1">'Debtors+Creditors'!K123</f>
        <v>2140.3111111111116</v>
      </c>
      <c r="L172" s="80">
        <f ca="1">'Debtors+Creditors'!L123</f>
        <v>2493.0888888888899</v>
      </c>
      <c r="M172" s="80">
        <f ca="1">'Debtors+Creditors'!M123</f>
        <v>2778.184444444445</v>
      </c>
      <c r="N172" s="80">
        <f ca="1">'Debtors+Creditors'!N123</f>
        <v>3087.7488888888897</v>
      </c>
      <c r="O172" s="80">
        <f ca="1">'Debtors+Creditors'!O123</f>
        <v>3990.6492444444448</v>
      </c>
      <c r="P172" s="80">
        <f ca="1">'Debtors+Creditors'!P123</f>
        <v>4300.7119475555555</v>
      </c>
      <c r="Q172" s="80">
        <f ca="1">'Debtors+Creditors'!Q123</f>
        <v>5718.9223054577787</v>
      </c>
      <c r="R172" s="80">
        <f ca="1">'Debtors+Creditors'!R123</f>
        <v>6064.9334110094223</v>
      </c>
      <c r="S172" s="80">
        <f ca="1">'Debtors+Creditors'!S123</f>
        <v>6337.5372774498001</v>
      </c>
      <c r="T172" s="80">
        <f ca="1">'Debtors+Creditors'!T123</f>
        <v>6662.6868892144585</v>
      </c>
      <c r="U172" s="80">
        <f ca="1">'Debtors+Creditors'!U123</f>
        <v>7069.0564569434755</v>
      </c>
      <c r="V172" s="80">
        <f ca="1">'Debtors+Creditors'!V123</f>
        <v>7346.3257714228821</v>
      </c>
      <c r="W172" s="80">
        <f ca="1">'Debtors+Creditors'!W123</f>
        <v>8256.6481267138624</v>
      </c>
      <c r="X172" s="80">
        <f ca="1">'Debtors+Creditors'!X123</f>
        <v>8582.7175270751486</v>
      </c>
      <c r="Y172" s="80">
        <f ca="1">'Debtors+Creditors'!Y123</f>
        <v>8869.5681566572039</v>
      </c>
      <c r="Z172" s="80">
        <f ca="1">'Debtors+Creditors'!Z123</f>
        <v>9193.5366676399717</v>
      </c>
      <c r="AA172" s="80">
        <f ca="1">'Debtors+Creditors'!AA123</f>
        <v>9524.4352070479745</v>
      </c>
      <c r="AB172" s="80">
        <f ca="1">'Debtors+Creditors'!AB123</f>
        <v>10417.360618485664</v>
      </c>
      <c r="AC172" s="80">
        <f ca="1">'Debtors+Creditors'!AC123</f>
        <v>10753.442282848875</v>
      </c>
      <c r="AD172" s="80">
        <f ca="1">'Debtors+Creditors'!AD123</f>
        <v>11098.385392655917</v>
      </c>
      <c r="AE172" s="80">
        <f ca="1">'Debtors+Creditors'!AE123</f>
        <v>12014.983221382212</v>
      </c>
      <c r="AF172" s="80">
        <f ca="1">'Debtors+Creditors'!AF123</f>
        <v>0</v>
      </c>
      <c r="AG172" s="80">
        <f ca="1">'Debtors+Creditors'!AG123</f>
        <v>0</v>
      </c>
    </row>
    <row r="173" spans="1:33" s="632" customFormat="1" ht="17.25" customHeight="1" outlineLevel="1">
      <c r="A173" s="861"/>
      <c r="B173" s="282"/>
      <c r="C173" s="40" t="str">
        <f>Name_VAT &amp;" owed by company"</f>
        <v>VAT owed by company</v>
      </c>
      <c r="D173" s="333"/>
      <c r="E173" s="333"/>
      <c r="F173" s="333"/>
      <c r="G173" s="800"/>
      <c r="H173" s="333"/>
      <c r="I173" s="423"/>
      <c r="J173" s="80">
        <f ca="1">'Debtors+Creditors'!J116*J6</f>
        <v>1356</v>
      </c>
      <c r="K173" s="80">
        <f ca="1">'Debtors+Creditors'!K116*K6</f>
        <v>2165</v>
      </c>
      <c r="L173" s="80">
        <f ca="1">'Debtors+Creditors'!L116*L6</f>
        <v>3614.0299999999997</v>
      </c>
      <c r="M173" s="80">
        <f ca="1">'Debtors+Creditors'!M116*M6</f>
        <v>3398.720299999999</v>
      </c>
      <c r="N173" s="80">
        <f ca="1">'Debtors+Creditors'!N116*N6</f>
        <v>2313.8155029999989</v>
      </c>
      <c r="O173" s="80">
        <f ca="1">'Debtors+Creditors'!O116*O6</f>
        <v>2349.3299780299994</v>
      </c>
      <c r="P173" s="80">
        <f ca="1">'Debtors+Creditors'!P116*P6</f>
        <v>1875.2786506103002</v>
      </c>
      <c r="Q173" s="80">
        <f ca="1">'Debtors+Creditors'!Q116*Q6</f>
        <v>1681.6770248284029</v>
      </c>
      <c r="R173" s="80">
        <f ca="1">'Debtors+Creditors'!R116*R6</f>
        <v>1698.5412062971661</v>
      </c>
      <c r="S173" s="80">
        <f ca="1">'Debtors+Creditors'!S116*S6</f>
        <v>2015.887926029437</v>
      </c>
      <c r="T173" s="80">
        <f ca="1">'Debtors+Creditors'!T116*T6</f>
        <v>2033.7345652658032</v>
      </c>
      <c r="U173" s="80">
        <f ca="1">'Debtors+Creditors'!U116*U6</f>
        <v>2162.0991812935754</v>
      </c>
      <c r="V173" s="80">
        <f ca="1">'Debtors+Creditors'!V116*V6</f>
        <v>2181.000534296631</v>
      </c>
      <c r="W173" s="80">
        <f ca="1">'Debtors+Creditors'!W116*W6</f>
        <v>1790.4581152773212</v>
      </c>
      <c r="X173" s="80">
        <f ca="1">'Debtors+Creditors'!X116*X6</f>
        <v>2110.4921750933272</v>
      </c>
      <c r="Y173" s="80">
        <f ca="1">'Debtors+Creditors'!Y116*Y6</f>
        <v>2131.1237546540219</v>
      </c>
      <c r="Z173" s="80">
        <f ca="1">'Debtors+Creditors'!Z116*Z6</f>
        <v>3312.3747163227144</v>
      </c>
      <c r="AA173" s="80">
        <f ca="1">'Debtors+Creditors'!AA116*AA6</f>
        <v>3534.2677765729795</v>
      </c>
      <c r="AB173" s="80">
        <f ca="1">'Debtors+Creditors'!AB116*AB6</f>
        <v>2766.8265399492288</v>
      </c>
      <c r="AC173" s="80">
        <f ca="1">'Debtors+Creditors'!AC116*AC6</f>
        <v>3090.0755343836618</v>
      </c>
      <c r="AD173" s="80">
        <f ca="1">'Debtors+Creditors'!AD116*AD6</f>
        <v>2744.0402479238351</v>
      </c>
      <c r="AE173" s="80">
        <f ca="1">'Debtors+Creditors'!AE116*AE6</f>
        <v>2308.7471669272636</v>
      </c>
      <c r="AF173" s="80">
        <f ca="1">'Debtors+Creditors'!AF116*AF6</f>
        <v>0</v>
      </c>
      <c r="AG173" s="80">
        <f ca="1">'Debtors+Creditors'!AG116*AG6</f>
        <v>0</v>
      </c>
    </row>
    <row r="174" spans="1:33" s="632" customFormat="1" ht="17.25" customHeight="1" outlineLevel="1">
      <c r="A174" s="861"/>
      <c r="B174" s="235"/>
      <c r="C174" s="40" t="str">
        <f>CHOOSE(language,"Taxes on profit owed","Taxes on income owed")</f>
        <v>Taxes on income owed</v>
      </c>
      <c r="D174" s="125"/>
      <c r="E174" s="333"/>
      <c r="F174" s="333"/>
      <c r="G174" s="800"/>
      <c r="H174" s="125"/>
      <c r="I174" s="423"/>
      <c r="J174" s="80">
        <f ca="1">Taxes!J71</f>
        <v>-1250</v>
      </c>
      <c r="K174" s="80">
        <f ca="1">Taxes!K71</f>
        <v>-1250</v>
      </c>
      <c r="L174" s="80">
        <f ca="1">Taxes!L71</f>
        <v>-1250</v>
      </c>
      <c r="M174" s="80">
        <f ca="1">Taxes!M71</f>
        <v>-2500</v>
      </c>
      <c r="N174" s="80">
        <f ca="1">Taxes!N71</f>
        <v>-2500</v>
      </c>
      <c r="O174" s="80">
        <f ca="1">Taxes!O71</f>
        <v>-2500</v>
      </c>
      <c r="P174" s="80">
        <f ca="1">Taxes!P71</f>
        <v>-3750</v>
      </c>
      <c r="Q174" s="80">
        <f ca="1">Taxes!Q71</f>
        <v>-3750</v>
      </c>
      <c r="R174" s="80">
        <f ca="1">Taxes!R71</f>
        <v>-3750</v>
      </c>
      <c r="S174" s="80">
        <f ca="1">Taxes!S71</f>
        <v>-5000</v>
      </c>
      <c r="T174" s="80">
        <f ca="1">Taxes!T71</f>
        <v>-1493.3099060781501</v>
      </c>
      <c r="U174" s="80">
        <f ca="1">Taxes!U71</f>
        <v>2013.3801878436998</v>
      </c>
      <c r="V174" s="80">
        <f ca="1">Taxes!V71</f>
        <v>520.07028176554923</v>
      </c>
      <c r="W174" s="80">
        <f ca="1">Taxes!W71</f>
        <v>9026.7603756873996</v>
      </c>
      <c r="X174" s="80">
        <f ca="1">Taxes!X71</f>
        <v>12533.45046960925</v>
      </c>
      <c r="Y174" s="80">
        <f ca="1">Taxes!Y71</f>
        <v>11040.1405635311</v>
      </c>
      <c r="Z174" s="80">
        <f ca="1">Taxes!Z71</f>
        <v>14546.830657452951</v>
      </c>
      <c r="AA174" s="80">
        <f ca="1">Taxes!AA71</f>
        <v>18053.520751374799</v>
      </c>
      <c r="AB174" s="80">
        <f ca="1">Taxes!AB71</f>
        <v>16560.210845296649</v>
      </c>
      <c r="AC174" s="80">
        <f ca="1">Taxes!AC71</f>
        <v>20066.9009392185</v>
      </c>
      <c r="AD174" s="80">
        <f ca="1">Taxes!AD71</f>
        <v>23573.59103314035</v>
      </c>
      <c r="AE174" s="80">
        <f ca="1">Taxes!AE71</f>
        <v>22080.281127062201</v>
      </c>
      <c r="AF174" s="80">
        <f ca="1">Taxes!AF71</f>
        <v>0</v>
      </c>
      <c r="AG174" s="80">
        <f ca="1">Taxes!AG71</f>
        <v>0</v>
      </c>
    </row>
    <row r="175" spans="1:33" s="632" customFormat="1" ht="17.25" customHeight="1" outlineLevel="1">
      <c r="A175" s="861"/>
      <c r="B175" s="235"/>
      <c r="C175" s="40" t="str">
        <f>Name_VAT&amp;" owed to tax authority"</f>
        <v>VAT owed to tax authority</v>
      </c>
      <c r="D175" s="258"/>
      <c r="E175" s="125"/>
      <c r="F175" s="125"/>
      <c r="G175" s="800"/>
      <c r="H175" s="125"/>
      <c r="I175" s="423"/>
      <c r="J175" s="80">
        <f ca="1">Taxes!J30*J6</f>
        <v>-1740.957714285714</v>
      </c>
      <c r="K175" s="80">
        <f ca="1">Taxes!K30*K6</f>
        <v>587.54274654377969</v>
      </c>
      <c r="L175" s="80">
        <f ca="1">Taxes!L30*L6</f>
        <v>-6555.1549523809508</v>
      </c>
      <c r="M175" s="80">
        <f ca="1">Taxes!M30*M6</f>
        <v>-4834.4717418433156</v>
      </c>
      <c r="N175" s="80">
        <f ca="1">Taxes!N30*N6</f>
        <v>2888.6273131290322</v>
      </c>
      <c r="O175" s="80">
        <f ca="1">Taxes!O30*O6</f>
        <v>7107.973332421614</v>
      </c>
      <c r="P175" s="80">
        <f ca="1">Taxes!P30*P6</f>
        <v>8265.0759367380888</v>
      </c>
      <c r="Q175" s="80">
        <f ca="1">Taxes!Q30*Q6</f>
        <v>-11450.49335038372</v>
      </c>
      <c r="R175" s="80">
        <f ca="1">Taxes!R30*R6</f>
        <v>-3824.9867687877413</v>
      </c>
      <c r="S175" s="80">
        <f ca="1">Taxes!S30*S6</f>
        <v>3703.5295864169129</v>
      </c>
      <c r="T175" s="80">
        <f ca="1">Taxes!T30*T6</f>
        <v>9560.4973600182693</v>
      </c>
      <c r="U175" s="80">
        <f ca="1">Taxes!U30*U6</f>
        <v>19285.803448792809</v>
      </c>
      <c r="V175" s="80">
        <f ca="1">Taxes!V30*V6</f>
        <v>25928.859475302808</v>
      </c>
      <c r="W175" s="80">
        <f ca="1">Taxes!W30*W6</f>
        <v>12024.830287060082</v>
      </c>
      <c r="X175" s="80">
        <f ca="1">Taxes!X30*X6</f>
        <v>24197.232276721854</v>
      </c>
      <c r="Y175" s="80">
        <f ca="1">Taxes!Y30*Y6</f>
        <v>36493.716385533546</v>
      </c>
      <c r="Z175" s="80">
        <f ca="1">Taxes!Z30*Z6</f>
        <v>12742.650804905265</v>
      </c>
      <c r="AA175" s="80">
        <f ca="1">Taxes!AA30*AA6</f>
        <v>27806.225954587873</v>
      </c>
      <c r="AB175" s="80">
        <f ca="1">Taxes!AB30*AB6</f>
        <v>42309.583659788113</v>
      </c>
      <c r="AC175" s="80">
        <f ca="1">Taxes!AC30*AC6</f>
        <v>16164.019464018704</v>
      </c>
      <c r="AD175" s="80">
        <f ca="1">Taxes!AD30*AD6</f>
        <v>34202.562624825921</v>
      </c>
      <c r="AE175" s="80">
        <f ca="1">Taxes!AE30*AE6</f>
        <v>51482.773215328045</v>
      </c>
      <c r="AF175" s="80">
        <f ca="1">Taxes!AF30*AF6</f>
        <v>0</v>
      </c>
      <c r="AG175" s="80">
        <f ca="1">Taxes!AG30*AG6</f>
        <v>0</v>
      </c>
    </row>
    <row r="176" spans="1:33" s="632" customFormat="1" ht="17.25" customHeight="1" outlineLevel="1" thickBot="1">
      <c r="A176" s="861"/>
      <c r="B176" s="235"/>
      <c r="C176" s="3" t="s">
        <v>323</v>
      </c>
      <c r="D176" s="333"/>
      <c r="E176" s="333"/>
      <c r="F176" s="333"/>
      <c r="G176" s="333"/>
      <c r="H176" s="333"/>
      <c r="I176" s="699">
        <f t="shared" ref="I176" si="40">SUM(I165:I175)</f>
        <v>6000</v>
      </c>
      <c r="J176" s="699">
        <f t="shared" ref="J176:AG176" ca="1" si="41">SUM(J165:J175)</f>
        <v>9919.7978412698412</v>
      </c>
      <c r="K176" s="699">
        <f t="shared" ca="1" si="41"/>
        <v>14467.853857654893</v>
      </c>
      <c r="L176" s="699">
        <f t="shared" ca="1" si="41"/>
        <v>19872.113936507936</v>
      </c>
      <c r="M176" s="699">
        <f t="shared" ca="1" si="41"/>
        <v>19336.034502601127</v>
      </c>
      <c r="N176" s="699">
        <f t="shared" ca="1" si="41"/>
        <v>20859.269220017919</v>
      </c>
      <c r="O176" s="699">
        <f t="shared" ca="1" si="41"/>
        <v>32944.602445046061</v>
      </c>
      <c r="P176" s="699">
        <f t="shared" ca="1" si="41"/>
        <v>50317.459787955442</v>
      </c>
      <c r="Q176" s="699">
        <f t="shared" ca="1" si="41"/>
        <v>29858.491104044482</v>
      </c>
      <c r="R176" s="699">
        <f t="shared" ca="1" si="41"/>
        <v>80086.737054634039</v>
      </c>
      <c r="S176" s="699">
        <f t="shared" ca="1" si="41"/>
        <v>42386.394420043347</v>
      </c>
      <c r="T176" s="699">
        <f t="shared" ca="1" si="41"/>
        <v>51182.281734749398</v>
      </c>
      <c r="U176" s="699">
        <f t="shared" ca="1" si="41"/>
        <v>64590.835181341434</v>
      </c>
      <c r="V176" s="699">
        <f t="shared" ca="1" si="41"/>
        <v>69131.258734271018</v>
      </c>
      <c r="W176" s="699">
        <f t="shared" ca="1" si="41"/>
        <v>61300.987481125281</v>
      </c>
      <c r="X176" s="699">
        <f t="shared" ca="1" si="41"/>
        <v>138705.69368457547</v>
      </c>
      <c r="Y176" s="699">
        <f t="shared" ca="1" si="41"/>
        <v>88440.167633645993</v>
      </c>
      <c r="Z176" s="699">
        <f t="shared" ca="1" si="41"/>
        <v>73607.266427934475</v>
      </c>
      <c r="AA176" s="699">
        <f t="shared" ca="1" si="41"/>
        <v>109316.87386037808</v>
      </c>
      <c r="AB176" s="699">
        <f t="shared" ca="1" si="41"/>
        <v>101138.11436326581</v>
      </c>
      <c r="AC176" s="699">
        <f t="shared" ca="1" si="41"/>
        <v>82524.815892388055</v>
      </c>
      <c r="AD176" s="699">
        <f t="shared" ca="1" si="41"/>
        <v>110547.96692414086</v>
      </c>
      <c r="AE176" s="699">
        <f t="shared" ca="1" si="41"/>
        <v>114430.52056533605</v>
      </c>
      <c r="AF176" s="699">
        <f t="shared" ca="1" si="41"/>
        <v>0</v>
      </c>
      <c r="AG176" s="699">
        <f t="shared" ca="1" si="41"/>
        <v>0</v>
      </c>
    </row>
    <row r="177" spans="1:33" s="632" customFormat="1" ht="17.25" customHeight="1" outlineLevel="1" thickTop="1">
      <c r="A177" s="861"/>
      <c r="B177" s="282"/>
      <c r="C177" s="127"/>
      <c r="D177" s="282"/>
      <c r="E177" s="282"/>
      <c r="F177" s="282"/>
      <c r="G177" s="282"/>
      <c r="H177" s="282"/>
      <c r="I177" s="441"/>
      <c r="J177" s="319"/>
      <c r="K177" s="319"/>
      <c r="L177" s="319"/>
      <c r="M177" s="319"/>
      <c r="N177" s="319"/>
      <c r="O177" s="319"/>
      <c r="P177" s="319"/>
      <c r="Q177" s="319"/>
      <c r="R177" s="319"/>
      <c r="S177" s="319"/>
      <c r="T177" s="319"/>
      <c r="U177" s="319"/>
      <c r="V177" s="319"/>
      <c r="W177" s="319"/>
      <c r="X177" s="319"/>
      <c r="Y177" s="319"/>
      <c r="Z177" s="319"/>
      <c r="AA177" s="319"/>
      <c r="AB177" s="319"/>
      <c r="AC177" s="319"/>
      <c r="AD177" s="319"/>
      <c r="AE177" s="319"/>
      <c r="AF177" s="319"/>
      <c r="AG177" s="319"/>
    </row>
    <row r="178" spans="1:33" s="632" customFormat="1" ht="17.25" customHeight="1" outlineLevel="1">
      <c r="A178" s="861"/>
      <c r="B178" s="282"/>
      <c r="C178" s="3" t="s">
        <v>325</v>
      </c>
      <c r="D178" s="333"/>
      <c r="E178" s="333"/>
      <c r="F178" s="333"/>
      <c r="G178" s="333"/>
      <c r="H178" s="333"/>
      <c r="I178" s="423">
        <f t="shared" ref="I178" si="42">I163-I176</f>
        <v>1500</v>
      </c>
      <c r="J178" s="80">
        <f t="shared" ref="J178:AG178" ca="1" si="43">J163-J176</f>
        <v>11292.538539682539</v>
      </c>
      <c r="K178" s="80">
        <f t="shared" ca="1" si="43"/>
        <v>25706.541024065536</v>
      </c>
      <c r="L178" s="80">
        <f t="shared" ca="1" si="43"/>
        <v>136847.61778015873</v>
      </c>
      <c r="M178" s="80">
        <f t="shared" ca="1" si="43"/>
        <v>132216.789619872</v>
      </c>
      <c r="N178" s="80">
        <f t="shared" ca="1" si="43"/>
        <v>133231.00493331542</v>
      </c>
      <c r="O178" s="80">
        <f t="shared" ca="1" si="43"/>
        <v>127920.39605843782</v>
      </c>
      <c r="P178" s="80">
        <f t="shared" ca="1" si="43"/>
        <v>97770.992982893629</v>
      </c>
      <c r="Q178" s="80">
        <f t="shared" ca="1" si="43"/>
        <v>122245.04474953102</v>
      </c>
      <c r="R178" s="80">
        <f t="shared" ca="1" si="43"/>
        <v>130372.31899254395</v>
      </c>
      <c r="S178" s="80">
        <f t="shared" ca="1" si="43"/>
        <v>206646.06535484461</v>
      </c>
      <c r="T178" s="80">
        <f t="shared" ca="1" si="43"/>
        <v>218735.8926794366</v>
      </c>
      <c r="U178" s="80">
        <f t="shared" ca="1" si="43"/>
        <v>228183.21822627011</v>
      </c>
      <c r="V178" s="80">
        <f t="shared" ca="1" si="43"/>
        <v>182952.42033693477</v>
      </c>
      <c r="W178" s="80">
        <f t="shared" ca="1" si="43"/>
        <v>196414.8110311951</v>
      </c>
      <c r="X178" s="80">
        <f t="shared" ca="1" si="43"/>
        <v>212135.67759037585</v>
      </c>
      <c r="Y178" s="80">
        <f t="shared" ca="1" si="43"/>
        <v>211853.08868480829</v>
      </c>
      <c r="Z178" s="80">
        <f t="shared" ca="1" si="43"/>
        <v>236042.83201439149</v>
      </c>
      <c r="AA178" s="80">
        <f t="shared" ca="1" si="43"/>
        <v>311197.19246291695</v>
      </c>
      <c r="AB178" s="80">
        <f t="shared" ca="1" si="43"/>
        <v>332101.10384312255</v>
      </c>
      <c r="AC178" s="80">
        <f t="shared" ca="1" si="43"/>
        <v>348957.00782802893</v>
      </c>
      <c r="AD178" s="80">
        <f t="shared" ca="1" si="43"/>
        <v>382164.80623999226</v>
      </c>
      <c r="AE178" s="80">
        <f t="shared" ca="1" si="43"/>
        <v>406383.54514664359</v>
      </c>
      <c r="AF178" s="80">
        <f t="shared" ca="1" si="43"/>
        <v>0</v>
      </c>
      <c r="AG178" s="80">
        <f t="shared" ca="1" si="43"/>
        <v>0</v>
      </c>
    </row>
    <row r="179" spans="1:33" s="632" customFormat="1" ht="17.25" customHeight="1" outlineLevel="1">
      <c r="A179" s="861"/>
      <c r="B179" s="282"/>
      <c r="C179" s="3" t="s">
        <v>324</v>
      </c>
      <c r="D179" s="333"/>
      <c r="E179" s="333"/>
      <c r="F179" s="333"/>
      <c r="G179" s="333"/>
      <c r="H179" s="333"/>
      <c r="I179" s="425">
        <f t="shared" ref="I179" si="44">I156+I163-I176</f>
        <v>6500</v>
      </c>
      <c r="J179" s="425">
        <f t="shared" ref="J179:AG179" ca="1" si="45">J156+J163-J176</f>
        <v>26233.014730158728</v>
      </c>
      <c r="K179" s="425">
        <f t="shared" ca="1" si="45"/>
        <v>40468.445785970296</v>
      </c>
      <c r="L179" s="425">
        <f t="shared" ca="1" si="45"/>
        <v>208930.95111349208</v>
      </c>
      <c r="M179" s="425">
        <f t="shared" ca="1" si="45"/>
        <v>203593.77374685614</v>
      </c>
      <c r="N179" s="425">
        <f t="shared" ca="1" si="45"/>
        <v>203901.63985395033</v>
      </c>
      <c r="O179" s="425">
        <f t="shared" ca="1" si="45"/>
        <v>197884.68177272353</v>
      </c>
      <c r="P179" s="425">
        <f t="shared" ca="1" si="45"/>
        <v>202028.92949083014</v>
      </c>
      <c r="Q179" s="425">
        <f t="shared" ca="1" si="45"/>
        <v>314290.28284476913</v>
      </c>
      <c r="R179" s="425">
        <f t="shared" ca="1" si="45"/>
        <v>320513.60867508361</v>
      </c>
      <c r="S179" s="425">
        <f t="shared" ca="1" si="45"/>
        <v>394883.40662468586</v>
      </c>
      <c r="T179" s="425">
        <f t="shared" ca="1" si="45"/>
        <v>405069.28553657944</v>
      </c>
      <c r="U179" s="425">
        <f t="shared" ca="1" si="45"/>
        <v>412612.66267071455</v>
      </c>
      <c r="V179" s="425">
        <f t="shared" ca="1" si="45"/>
        <v>415477.91636868077</v>
      </c>
      <c r="W179" s="425">
        <f t="shared" ca="1" si="45"/>
        <v>426341.9142057983</v>
      </c>
      <c r="X179" s="425">
        <f t="shared" ca="1" si="45"/>
        <v>439464.38790783612</v>
      </c>
      <c r="Y179" s="425">
        <f t="shared" ca="1" si="45"/>
        <v>448583.4061451258</v>
      </c>
      <c r="Z179" s="425">
        <f t="shared" ca="1" si="45"/>
        <v>467174.75661756605</v>
      </c>
      <c r="AA179" s="425">
        <f t="shared" ca="1" si="45"/>
        <v>539790.24801847257</v>
      </c>
      <c r="AB179" s="425">
        <f t="shared" ca="1" si="45"/>
        <v>558155.29035105905</v>
      </c>
      <c r="AC179" s="425">
        <f t="shared" ca="1" si="45"/>
        <v>572472.32528834627</v>
      </c>
      <c r="AD179" s="425">
        <f t="shared" ca="1" si="45"/>
        <v>603141.25465269072</v>
      </c>
      <c r="AE179" s="425">
        <f t="shared" ca="1" si="45"/>
        <v>624821.12451172294</v>
      </c>
      <c r="AF179" s="425">
        <f t="shared" ca="1" si="45"/>
        <v>0</v>
      </c>
      <c r="AG179" s="425">
        <f t="shared" ca="1" si="45"/>
        <v>0</v>
      </c>
    </row>
    <row r="180" spans="1:33" s="632" customFormat="1" ht="17.25" customHeight="1" outlineLevel="1">
      <c r="A180" s="861"/>
      <c r="B180" s="282"/>
      <c r="C180" s="127"/>
      <c r="D180" s="282" t="s">
        <v>349</v>
      </c>
      <c r="E180" s="282"/>
      <c r="F180" s="282"/>
      <c r="G180" s="282"/>
      <c r="H180" s="513"/>
      <c r="I180" s="441"/>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row>
    <row r="181" spans="1:33" s="632" customFormat="1" ht="17.25" customHeight="1" outlineLevel="1">
      <c r="A181" s="861"/>
      <c r="B181" s="235"/>
      <c r="C181" s="40" t="str">
        <f>C132</f>
        <v>Debt Facilities (at model start)</v>
      </c>
      <c r="D181" s="668">
        <f>IF(MIN(J181:AG181)&lt;0,1,0)</f>
        <v>0</v>
      </c>
      <c r="E181" s="125"/>
      <c r="F181" s="125"/>
      <c r="G181" s="125"/>
      <c r="H181" s="179"/>
      <c r="I181" s="433">
        <f>Inputs!$F$278</f>
        <v>10000</v>
      </c>
      <c r="J181" s="80">
        <f>Financing!J147*J6</f>
        <v>10000</v>
      </c>
      <c r="K181" s="80">
        <f>Financing!K147*K6</f>
        <v>10000</v>
      </c>
      <c r="L181" s="80">
        <f>Financing!L147*L6</f>
        <v>10000</v>
      </c>
      <c r="M181" s="80">
        <f>Financing!M147*M6</f>
        <v>10000</v>
      </c>
      <c r="N181" s="80">
        <f>Financing!N147*N6</f>
        <v>10000</v>
      </c>
      <c r="O181" s="80">
        <f>Financing!O147*O6</f>
        <v>10000</v>
      </c>
      <c r="P181" s="80">
        <f>Financing!P147*P6</f>
        <v>10000</v>
      </c>
      <c r="Q181" s="80">
        <f>Financing!Q147*Q6</f>
        <v>10000</v>
      </c>
      <c r="R181" s="80">
        <f>Financing!R147*R6</f>
        <v>10000</v>
      </c>
      <c r="S181" s="80">
        <f>Financing!S147*S6</f>
        <v>10000</v>
      </c>
      <c r="T181" s="80">
        <f>Financing!T147*T6</f>
        <v>10000</v>
      </c>
      <c r="U181" s="80">
        <f>Financing!U147*U6</f>
        <v>10000</v>
      </c>
      <c r="V181" s="80">
        <f>Financing!V147*V6</f>
        <v>5000</v>
      </c>
      <c r="W181" s="80">
        <f>Financing!W147*W6</f>
        <v>5000</v>
      </c>
      <c r="X181" s="80">
        <f>Financing!X147*X6</f>
        <v>5000</v>
      </c>
      <c r="Y181" s="80">
        <f>Financing!Y147*Y6</f>
        <v>5000</v>
      </c>
      <c r="Z181" s="80">
        <f>Financing!Z147*Z6</f>
        <v>5000</v>
      </c>
      <c r="AA181" s="80">
        <f>Financing!AA147*AA6</f>
        <v>5000</v>
      </c>
      <c r="AB181" s="80">
        <f>Financing!AB147*AB6</f>
        <v>5000</v>
      </c>
      <c r="AC181" s="80">
        <f>Financing!AC147*AC6</f>
        <v>5000</v>
      </c>
      <c r="AD181" s="80">
        <f>Financing!AD147*AD6</f>
        <v>5000</v>
      </c>
      <c r="AE181" s="80">
        <f>Financing!AE147*AE6</f>
        <v>5000</v>
      </c>
      <c r="AF181" s="80">
        <f>Financing!AF147*AF6</f>
        <v>0</v>
      </c>
      <c r="AG181" s="80">
        <f>Financing!AG147*AG6</f>
        <v>0</v>
      </c>
    </row>
    <row r="182" spans="1:33" s="632" customFormat="1" ht="17.25" customHeight="1" outlineLevel="1">
      <c r="A182" s="861"/>
      <c r="B182" s="235"/>
      <c r="C182" s="40" t="str">
        <f>C133</f>
        <v>Debt 1: EasyCredit</v>
      </c>
      <c r="D182" s="668">
        <f ca="1">IF(MIN(J182:AG182)&lt;0,1,0)</f>
        <v>0</v>
      </c>
      <c r="E182" s="125"/>
      <c r="F182" s="125"/>
      <c r="G182" s="125"/>
      <c r="H182" s="179"/>
      <c r="I182" s="423"/>
      <c r="J182" s="80">
        <f ca="1">Financing!J100*J6</f>
        <v>0</v>
      </c>
      <c r="K182" s="80">
        <f ca="1">Financing!K100*K6</f>
        <v>0</v>
      </c>
      <c r="L182" s="80">
        <f ca="1">Financing!L100*L6</f>
        <v>0</v>
      </c>
      <c r="M182" s="80">
        <f ca="1">Financing!M100*M6</f>
        <v>0</v>
      </c>
      <c r="N182" s="80">
        <f ca="1">Financing!N100*N6</f>
        <v>0</v>
      </c>
      <c r="O182" s="80">
        <f ca="1">Financing!O100*O6</f>
        <v>0</v>
      </c>
      <c r="P182" s="80">
        <f ca="1">Financing!P100*P6</f>
        <v>0</v>
      </c>
      <c r="Q182" s="80">
        <f ca="1">Financing!Q100*Q6</f>
        <v>0</v>
      </c>
      <c r="R182" s="80">
        <f ca="1">Financing!R100*R6</f>
        <v>0</v>
      </c>
      <c r="S182" s="80">
        <f ca="1">Financing!S100*S6</f>
        <v>0</v>
      </c>
      <c r="T182" s="80">
        <f ca="1">Financing!T100*T6</f>
        <v>0</v>
      </c>
      <c r="U182" s="80">
        <f ca="1">Financing!U100*U6</f>
        <v>0</v>
      </c>
      <c r="V182" s="80">
        <f ca="1">Financing!V100*V6</f>
        <v>0</v>
      </c>
      <c r="W182" s="80">
        <f ca="1">Financing!W100*W6</f>
        <v>0</v>
      </c>
      <c r="X182" s="80">
        <f ca="1">Financing!X100*X6</f>
        <v>0</v>
      </c>
      <c r="Y182" s="80">
        <f ca="1">Financing!Y100*Y6</f>
        <v>0</v>
      </c>
      <c r="Z182" s="80">
        <f ca="1">Financing!Z100*Z6</f>
        <v>0</v>
      </c>
      <c r="AA182" s="80">
        <f ca="1">Financing!AA100*AA6</f>
        <v>0</v>
      </c>
      <c r="AB182" s="80">
        <f ca="1">Financing!AB100*AB6</f>
        <v>0</v>
      </c>
      <c r="AC182" s="80">
        <f ca="1">Financing!AC100*AC6</f>
        <v>0</v>
      </c>
      <c r="AD182" s="80">
        <f ca="1">Financing!AD100*AD6</f>
        <v>0</v>
      </c>
      <c r="AE182" s="80">
        <f ca="1">Financing!AE100*AE6</f>
        <v>0</v>
      </c>
      <c r="AF182" s="80">
        <f ca="1">Financing!AF100*AF6</f>
        <v>0</v>
      </c>
      <c r="AG182" s="80">
        <f ca="1">Financing!AG100*AG6</f>
        <v>0</v>
      </c>
    </row>
    <row r="183" spans="1:33" s="632" customFormat="1" ht="17.25" customHeight="1" outlineLevel="1">
      <c r="A183" s="861"/>
      <c r="B183" s="235"/>
      <c r="C183" s="40" t="str">
        <f>C134</f>
        <v>Debt 2: URB Bank</v>
      </c>
      <c r="D183" s="668">
        <f>IF(MIN(J183:AG183)&lt;0,1,0)</f>
        <v>0</v>
      </c>
      <c r="E183" s="125"/>
      <c r="F183" s="80"/>
      <c r="G183" s="125"/>
      <c r="H183" s="179"/>
      <c r="I183" s="423"/>
      <c r="J183" s="80">
        <f>Financing!J118*J6</f>
        <v>0</v>
      </c>
      <c r="K183" s="80">
        <f>Financing!K118*K6</f>
        <v>0</v>
      </c>
      <c r="L183" s="80">
        <f>Financing!L118*L6</f>
        <v>0</v>
      </c>
      <c r="M183" s="80">
        <f>Financing!M118*M6</f>
        <v>0</v>
      </c>
      <c r="N183" s="80">
        <f>Financing!N118*N6</f>
        <v>0</v>
      </c>
      <c r="O183" s="80">
        <f>Financing!O118*O6</f>
        <v>0</v>
      </c>
      <c r="P183" s="80">
        <f>Financing!P118*P6</f>
        <v>0</v>
      </c>
      <c r="Q183" s="80">
        <f>Financing!Q118*Q6</f>
        <v>0</v>
      </c>
      <c r="R183" s="80">
        <f>Financing!R118*R6</f>
        <v>0</v>
      </c>
      <c r="S183" s="80">
        <f>Financing!S118*S6</f>
        <v>70000</v>
      </c>
      <c r="T183" s="80">
        <f>Financing!T118*T6</f>
        <v>70000</v>
      </c>
      <c r="U183" s="80">
        <f>Financing!U118*U6</f>
        <v>70000</v>
      </c>
      <c r="V183" s="80">
        <f>Financing!V118*V6</f>
        <v>70000</v>
      </c>
      <c r="W183" s="80">
        <f>Financing!W118*W6</f>
        <v>70000</v>
      </c>
      <c r="X183" s="80">
        <f>Financing!X118*X6</f>
        <v>70000</v>
      </c>
      <c r="Y183" s="80">
        <f>Financing!Y118*Y6</f>
        <v>70000</v>
      </c>
      <c r="Z183" s="80">
        <f>Financing!Z118*Z6</f>
        <v>70000</v>
      </c>
      <c r="AA183" s="80">
        <f>Financing!AA118*AA6</f>
        <v>70000</v>
      </c>
      <c r="AB183" s="80">
        <f>Financing!AB118*AB6</f>
        <v>70000</v>
      </c>
      <c r="AC183" s="80">
        <f>Financing!AC118*AC6</f>
        <v>60000</v>
      </c>
      <c r="AD183" s="80">
        <f>Financing!AD118*AD6</f>
        <v>60000</v>
      </c>
      <c r="AE183" s="80">
        <f>Financing!AE118*AE6</f>
        <v>60000</v>
      </c>
      <c r="AF183" s="80">
        <f>Financing!AF118*AF6</f>
        <v>0</v>
      </c>
      <c r="AG183" s="80">
        <f>Financing!AG118*AG6</f>
        <v>0</v>
      </c>
    </row>
    <row r="184" spans="1:33" s="632" customFormat="1" ht="17.25" customHeight="1" outlineLevel="1">
      <c r="A184" s="861"/>
      <c r="B184" s="235"/>
      <c r="C184" s="40" t="str">
        <f>C135</f>
        <v>Debt 3: FounderBank</v>
      </c>
      <c r="D184" s="668">
        <f>IF(MIN(J184:AG184)&lt;0,1,0)</f>
        <v>0</v>
      </c>
      <c r="E184" s="125"/>
      <c r="F184" s="125"/>
      <c r="G184" s="125"/>
      <c r="H184" s="179"/>
      <c r="I184" s="423"/>
      <c r="J184" s="80">
        <f>Financing!J128*J6</f>
        <v>0</v>
      </c>
      <c r="K184" s="80">
        <f>Financing!K128*K6</f>
        <v>0</v>
      </c>
      <c r="L184" s="80">
        <f>Financing!L128*L6</f>
        <v>0</v>
      </c>
      <c r="M184" s="80">
        <f>Financing!M128*M6</f>
        <v>0</v>
      </c>
      <c r="N184" s="80">
        <f>Financing!N128*N6</f>
        <v>0</v>
      </c>
      <c r="O184" s="80">
        <f>Financing!O128*O6</f>
        <v>0</v>
      </c>
      <c r="P184" s="80">
        <f>Financing!P128*P6</f>
        <v>0</v>
      </c>
      <c r="Q184" s="80">
        <f>Financing!Q128*Q6</f>
        <v>110000</v>
      </c>
      <c r="R184" s="80">
        <f>Financing!R128*R6</f>
        <v>110000</v>
      </c>
      <c r="S184" s="80">
        <f>Financing!S128*S6</f>
        <v>110000</v>
      </c>
      <c r="T184" s="80">
        <f>Financing!T128*T6</f>
        <v>110000</v>
      </c>
      <c r="U184" s="80">
        <f>Financing!U128*U6</f>
        <v>109000</v>
      </c>
      <c r="V184" s="80">
        <f>Financing!V128*V6</f>
        <v>108000</v>
      </c>
      <c r="W184" s="80">
        <f>Financing!W128*W6</f>
        <v>107000</v>
      </c>
      <c r="X184" s="80">
        <f>Financing!X128*X6</f>
        <v>106000</v>
      </c>
      <c r="Y184" s="80">
        <f>Financing!Y128*Y6</f>
        <v>105000</v>
      </c>
      <c r="Z184" s="80">
        <f>Financing!Z128*Z6</f>
        <v>104000</v>
      </c>
      <c r="AA184" s="80">
        <f>Financing!AA128*AA6</f>
        <v>103000</v>
      </c>
      <c r="AB184" s="80">
        <f>Financing!AB128*AB6</f>
        <v>102000</v>
      </c>
      <c r="AC184" s="80">
        <f>Financing!AC128*AC6</f>
        <v>101000</v>
      </c>
      <c r="AD184" s="80">
        <f>Financing!AD128*AD6</f>
        <v>100500</v>
      </c>
      <c r="AE184" s="80">
        <f>Financing!AE128*AE6</f>
        <v>100000</v>
      </c>
      <c r="AF184" s="80">
        <f>Financing!AF128*AF6</f>
        <v>0</v>
      </c>
      <c r="AG184" s="80">
        <f>Financing!AG128*AG6</f>
        <v>0</v>
      </c>
    </row>
    <row r="185" spans="1:33" s="632" customFormat="1" ht="17.25" customHeight="1" outlineLevel="1">
      <c r="A185" s="861"/>
      <c r="B185" s="235"/>
      <c r="C185" s="40" t="str">
        <f>C136</f>
        <v>Debt 4: Shareholder Loan</v>
      </c>
      <c r="D185" s="668">
        <f>IF(MIN(J185:AG185)&lt;0,1,0)</f>
        <v>0</v>
      </c>
      <c r="E185" s="125"/>
      <c r="F185" s="125"/>
      <c r="G185" s="125"/>
      <c r="H185" s="179"/>
      <c r="I185" s="423"/>
      <c r="J185" s="80">
        <f>Financing!J138*J6</f>
        <v>0</v>
      </c>
      <c r="K185" s="80">
        <f>Financing!K138*K6</f>
        <v>0</v>
      </c>
      <c r="L185" s="80">
        <f>Financing!L138*L6</f>
        <v>0</v>
      </c>
      <c r="M185" s="80">
        <f>Financing!M138*M6</f>
        <v>0</v>
      </c>
      <c r="N185" s="80">
        <f>Financing!N138*N6</f>
        <v>0</v>
      </c>
      <c r="O185" s="80">
        <f>Financing!O138*O6</f>
        <v>0</v>
      </c>
      <c r="P185" s="80">
        <f>Financing!P138*P6</f>
        <v>0</v>
      </c>
      <c r="Q185" s="80">
        <f>Financing!Q138*Q6</f>
        <v>0</v>
      </c>
      <c r="R185" s="80">
        <f>Financing!R138*R6</f>
        <v>0</v>
      </c>
      <c r="S185" s="80">
        <f>Financing!S138*S6</f>
        <v>0</v>
      </c>
      <c r="T185" s="80">
        <f>Financing!T138*T6</f>
        <v>0</v>
      </c>
      <c r="U185" s="80">
        <f>Financing!U138*U6</f>
        <v>0</v>
      </c>
      <c r="V185" s="80">
        <f>Financing!V138*V6</f>
        <v>0</v>
      </c>
      <c r="W185" s="80">
        <f>Financing!W138*W6</f>
        <v>0</v>
      </c>
      <c r="X185" s="80">
        <f>Financing!X138*X6</f>
        <v>0</v>
      </c>
      <c r="Y185" s="80">
        <f>Financing!Y138*Y6</f>
        <v>0</v>
      </c>
      <c r="Z185" s="80">
        <f>Financing!Z138*Z6</f>
        <v>0</v>
      </c>
      <c r="AA185" s="80">
        <f>Financing!AA138*AA6</f>
        <v>50000</v>
      </c>
      <c r="AB185" s="80">
        <f>Financing!AB138*AB6</f>
        <v>50000</v>
      </c>
      <c r="AC185" s="80">
        <f>Financing!AC138*AC6</f>
        <v>50000</v>
      </c>
      <c r="AD185" s="80">
        <f>Financing!AD138*AD6</f>
        <v>50000</v>
      </c>
      <c r="AE185" s="80">
        <f>Financing!AE138*AE6</f>
        <v>50000</v>
      </c>
      <c r="AF185" s="80">
        <f>Financing!AF138*AF6</f>
        <v>0</v>
      </c>
      <c r="AG185" s="80">
        <f>Financing!AG138*AG6</f>
        <v>0</v>
      </c>
    </row>
    <row r="186" spans="1:33" s="632" customFormat="1" ht="17.25" customHeight="1" outlineLevel="1" thickBot="1">
      <c r="A186" s="861"/>
      <c r="B186" s="235"/>
      <c r="C186" s="3" t="s">
        <v>321</v>
      </c>
      <c r="D186" s="333"/>
      <c r="E186" s="333"/>
      <c r="F186" s="333"/>
      <c r="G186" s="333"/>
      <c r="H186" s="333"/>
      <c r="I186" s="699">
        <f t="shared" ref="I186" si="46">SUM(I181:I185)</f>
        <v>10000</v>
      </c>
      <c r="J186" s="699">
        <f t="shared" ref="J186:AG186" ca="1" si="47">SUM(J181:J185)</f>
        <v>10000</v>
      </c>
      <c r="K186" s="699">
        <f t="shared" ca="1" si="47"/>
        <v>10000</v>
      </c>
      <c r="L186" s="699">
        <f t="shared" ca="1" si="47"/>
        <v>10000</v>
      </c>
      <c r="M186" s="699">
        <f t="shared" ca="1" si="47"/>
        <v>10000</v>
      </c>
      <c r="N186" s="699">
        <f t="shared" ca="1" si="47"/>
        <v>10000</v>
      </c>
      <c r="O186" s="699">
        <f t="shared" ca="1" si="47"/>
        <v>10000</v>
      </c>
      <c r="P186" s="699">
        <f t="shared" ca="1" si="47"/>
        <v>10000</v>
      </c>
      <c r="Q186" s="699">
        <f t="shared" ca="1" si="47"/>
        <v>120000</v>
      </c>
      <c r="R186" s="699">
        <f t="shared" ca="1" si="47"/>
        <v>120000</v>
      </c>
      <c r="S186" s="699">
        <f t="shared" ca="1" si="47"/>
        <v>190000</v>
      </c>
      <c r="T186" s="699">
        <f t="shared" ca="1" si="47"/>
        <v>190000</v>
      </c>
      <c r="U186" s="699">
        <f t="shared" ca="1" si="47"/>
        <v>189000</v>
      </c>
      <c r="V186" s="699">
        <f t="shared" ca="1" si="47"/>
        <v>183000</v>
      </c>
      <c r="W186" s="699">
        <f t="shared" ca="1" si="47"/>
        <v>182000</v>
      </c>
      <c r="X186" s="699">
        <f t="shared" ca="1" si="47"/>
        <v>181000</v>
      </c>
      <c r="Y186" s="699">
        <f t="shared" ca="1" si="47"/>
        <v>180000</v>
      </c>
      <c r="Z186" s="699">
        <f t="shared" ca="1" si="47"/>
        <v>179000</v>
      </c>
      <c r="AA186" s="699">
        <f t="shared" ca="1" si="47"/>
        <v>228000</v>
      </c>
      <c r="AB186" s="699">
        <f t="shared" ca="1" si="47"/>
        <v>227000</v>
      </c>
      <c r="AC186" s="699">
        <f t="shared" ca="1" si="47"/>
        <v>216000</v>
      </c>
      <c r="AD186" s="699">
        <f t="shared" ca="1" si="47"/>
        <v>215500</v>
      </c>
      <c r="AE186" s="699">
        <f t="shared" ca="1" si="47"/>
        <v>215000</v>
      </c>
      <c r="AF186" s="699">
        <f t="shared" ca="1" si="47"/>
        <v>0</v>
      </c>
      <c r="AG186" s="699">
        <f t="shared" ca="1" si="47"/>
        <v>0</v>
      </c>
    </row>
    <row r="187" spans="1:33" s="632" customFormat="1" ht="17.25" customHeight="1" outlineLevel="1" thickTop="1">
      <c r="A187" s="861"/>
      <c r="B187" s="282"/>
      <c r="C187" s="127"/>
      <c r="D187" s="282"/>
      <c r="E187" s="282"/>
      <c r="F187" s="282"/>
      <c r="G187" s="282"/>
      <c r="H187" s="282"/>
      <c r="I187" s="441"/>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row>
    <row r="188" spans="1:33" s="632" customFormat="1" ht="17.25" customHeight="1" outlineLevel="1" thickBot="1">
      <c r="A188" s="861"/>
      <c r="B188" s="282"/>
      <c r="C188" s="3" t="s">
        <v>320</v>
      </c>
      <c r="D188" s="333"/>
      <c r="E188" s="333"/>
      <c r="F188" s="333"/>
      <c r="G188" s="333"/>
      <c r="H188" s="333"/>
      <c r="I188" s="700">
        <f t="shared" ref="I188" si="48">I179-I186</f>
        <v>-3500</v>
      </c>
      <c r="J188" s="700">
        <f t="shared" ref="J188:AG188" ca="1" si="49">J179-J186</f>
        <v>16233.014730158728</v>
      </c>
      <c r="K188" s="700">
        <f t="shared" ca="1" si="49"/>
        <v>30468.445785970296</v>
      </c>
      <c r="L188" s="700">
        <f t="shared" ca="1" si="49"/>
        <v>198930.95111349208</v>
      </c>
      <c r="M188" s="700">
        <f t="shared" ca="1" si="49"/>
        <v>193593.77374685614</v>
      </c>
      <c r="N188" s="700">
        <f t="shared" ca="1" si="49"/>
        <v>193901.63985395033</v>
      </c>
      <c r="O188" s="700">
        <f t="shared" ca="1" si="49"/>
        <v>187884.68177272353</v>
      </c>
      <c r="P188" s="700">
        <f t="shared" ca="1" si="49"/>
        <v>192028.92949083014</v>
      </c>
      <c r="Q188" s="700">
        <f t="shared" ca="1" si="49"/>
        <v>194290.28284476913</v>
      </c>
      <c r="R188" s="700">
        <f t="shared" ca="1" si="49"/>
        <v>200513.60867508361</v>
      </c>
      <c r="S188" s="700">
        <f t="shared" ca="1" si="49"/>
        <v>204883.40662468586</v>
      </c>
      <c r="T188" s="700">
        <f t="shared" ca="1" si="49"/>
        <v>215069.28553657944</v>
      </c>
      <c r="U188" s="700">
        <f t="shared" ca="1" si="49"/>
        <v>223612.66267071455</v>
      </c>
      <c r="V188" s="700">
        <f t="shared" ca="1" si="49"/>
        <v>232477.91636868077</v>
      </c>
      <c r="W188" s="700">
        <f t="shared" ca="1" si="49"/>
        <v>244341.9142057983</v>
      </c>
      <c r="X188" s="700">
        <f t="shared" ca="1" si="49"/>
        <v>258464.38790783612</v>
      </c>
      <c r="Y188" s="700">
        <f t="shared" ca="1" si="49"/>
        <v>268583.4061451258</v>
      </c>
      <c r="Z188" s="700">
        <f t="shared" ca="1" si="49"/>
        <v>288174.75661756605</v>
      </c>
      <c r="AA188" s="700">
        <f t="shared" ca="1" si="49"/>
        <v>311790.24801847257</v>
      </c>
      <c r="AB188" s="700">
        <f t="shared" ca="1" si="49"/>
        <v>331155.29035105905</v>
      </c>
      <c r="AC188" s="700">
        <f t="shared" ca="1" si="49"/>
        <v>356472.32528834627</v>
      </c>
      <c r="AD188" s="700">
        <f t="shared" ca="1" si="49"/>
        <v>387641.25465269072</v>
      </c>
      <c r="AE188" s="700">
        <f t="shared" ca="1" si="49"/>
        <v>409821.12451172294</v>
      </c>
      <c r="AF188" s="700">
        <f t="shared" ca="1" si="49"/>
        <v>0</v>
      </c>
      <c r="AG188" s="700">
        <f t="shared" ca="1" si="49"/>
        <v>0</v>
      </c>
    </row>
    <row r="189" spans="1:33" s="632" customFormat="1" ht="17.25" customHeight="1" outlineLevel="1" thickTop="1">
      <c r="A189" s="861"/>
      <c r="B189" s="282"/>
      <c r="C189" s="127"/>
      <c r="D189" s="282"/>
      <c r="E189" s="282"/>
      <c r="F189" s="282"/>
      <c r="G189" s="282"/>
      <c r="H189" s="282"/>
      <c r="I189" s="441"/>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row>
    <row r="190" spans="1:33" ht="17.25" customHeight="1" outlineLevel="1">
      <c r="A190" s="861"/>
      <c r="B190" s="282"/>
      <c r="C190" s="40" t="str">
        <f>C130</f>
        <v>Share Capital</v>
      </c>
      <c r="D190" s="800"/>
      <c r="E190" s="800"/>
      <c r="F190" s="800"/>
      <c r="G190" s="800"/>
      <c r="H190" s="125"/>
      <c r="I190" s="433">
        <f>Inputs!$F$283</f>
        <v>20000</v>
      </c>
      <c r="J190" s="80">
        <f ca="1">Financing!J84</f>
        <v>49864.397428571428</v>
      </c>
      <c r="K190" s="80">
        <f ca="1">Financing!K84</f>
        <v>72478.44769073221</v>
      </c>
      <c r="L190" s="80">
        <f ca="1">Financing!L84</f>
        <v>250000</v>
      </c>
      <c r="M190" s="80">
        <f ca="1">Financing!M84</f>
        <v>250000</v>
      </c>
      <c r="N190" s="80">
        <f ca="1">Financing!N84</f>
        <v>250000</v>
      </c>
      <c r="O190" s="80">
        <f ca="1">Financing!O84</f>
        <v>250000</v>
      </c>
      <c r="P190" s="80">
        <f ca="1">Financing!P84</f>
        <v>250000</v>
      </c>
      <c r="Q190" s="80">
        <f ca="1">Financing!Q84</f>
        <v>250000</v>
      </c>
      <c r="R190" s="80">
        <f ca="1">Financing!R84</f>
        <v>250000</v>
      </c>
      <c r="S190" s="80">
        <f ca="1">Financing!S84</f>
        <v>250000</v>
      </c>
      <c r="T190" s="80">
        <f ca="1">Financing!T84</f>
        <v>250000</v>
      </c>
      <c r="U190" s="80">
        <f ca="1">Financing!U84</f>
        <v>250000</v>
      </c>
      <c r="V190" s="80">
        <f ca="1">Financing!V84</f>
        <v>250000</v>
      </c>
      <c r="W190" s="80">
        <f ca="1">Financing!W84</f>
        <v>250000</v>
      </c>
      <c r="X190" s="80">
        <f ca="1">Financing!X84</f>
        <v>250000</v>
      </c>
      <c r="Y190" s="80">
        <f ca="1">Financing!Y84</f>
        <v>250000</v>
      </c>
      <c r="Z190" s="80">
        <f ca="1">Financing!Z84</f>
        <v>250000</v>
      </c>
      <c r="AA190" s="80">
        <f ca="1">Financing!AA84</f>
        <v>250000</v>
      </c>
      <c r="AB190" s="80">
        <f ca="1">Financing!AB84</f>
        <v>250000</v>
      </c>
      <c r="AC190" s="80">
        <f ca="1">Financing!AC84</f>
        <v>250000</v>
      </c>
      <c r="AD190" s="80">
        <f ca="1">Financing!AD84</f>
        <v>250000</v>
      </c>
      <c r="AE190" s="80">
        <f ca="1">Financing!AE84</f>
        <v>250000</v>
      </c>
      <c r="AF190" s="80">
        <f ca="1">Financing!AF84</f>
        <v>0</v>
      </c>
      <c r="AG190" s="80">
        <f ca="1">Financing!AG84</f>
        <v>0</v>
      </c>
    </row>
    <row r="191" spans="1:33" ht="17.25" customHeight="1" outlineLevel="1">
      <c r="A191" s="861"/>
      <c r="B191" s="235"/>
      <c r="C191" s="116" t="s">
        <v>326</v>
      </c>
      <c r="D191" s="800"/>
      <c r="E191" s="800"/>
      <c r="F191" s="800"/>
      <c r="G191" s="800"/>
      <c r="H191" s="125"/>
      <c r="I191" s="433">
        <f>Inputs!$F$284</f>
        <v>-23500</v>
      </c>
      <c r="J191" s="80">
        <f t="shared" ref="J191:AG191" ca="1" si="50">J96</f>
        <v>-33631.382698412701</v>
      </c>
      <c r="K191" s="80">
        <f t="shared" ca="1" si="50"/>
        <v>-42010.001904761913</v>
      </c>
      <c r="L191" s="80">
        <f t="shared" ca="1" si="50"/>
        <v>-51069.048888888894</v>
      </c>
      <c r="M191" s="80">
        <f t="shared" ca="1" si="50"/>
        <v>-56406.226252539687</v>
      </c>
      <c r="N191" s="80">
        <f t="shared" ca="1" si="50"/>
        <v>-56098.360141989535</v>
      </c>
      <c r="O191" s="80">
        <f t="shared" ca="1" si="50"/>
        <v>-62115.318219903114</v>
      </c>
      <c r="P191" s="80">
        <f t="shared" ca="1" si="50"/>
        <v>-57971.070499150163</v>
      </c>
      <c r="Q191" s="80">
        <f t="shared" ca="1" si="50"/>
        <v>-55709.71714932235</v>
      </c>
      <c r="R191" s="80">
        <f t="shared" ca="1" si="50"/>
        <v>-49486.391324916469</v>
      </c>
      <c r="S191" s="80">
        <f t="shared" ca="1" si="50"/>
        <v>-45116.593373115204</v>
      </c>
      <c r="T191" s="80">
        <f t="shared" ca="1" si="50"/>
        <v>-34930.714466192832</v>
      </c>
      <c r="U191" s="80">
        <f t="shared" ca="1" si="50"/>
        <v>-26387.337330908558</v>
      </c>
      <c r="V191" s="80">
        <f t="shared" ca="1" si="50"/>
        <v>-17522.083632955699</v>
      </c>
      <c r="W191" s="80">
        <f t="shared" ca="1" si="50"/>
        <v>-5658.0857944958207</v>
      </c>
      <c r="X191" s="80">
        <f t="shared" ca="1" si="50"/>
        <v>8464.3879078359369</v>
      </c>
      <c r="Y191" s="80">
        <f t="shared" ca="1" si="50"/>
        <v>18583.406145735342</v>
      </c>
      <c r="Z191" s="80">
        <f t="shared" ca="1" si="50"/>
        <v>38174.756620732907</v>
      </c>
      <c r="AA191" s="80">
        <f t="shared" ca="1" si="50"/>
        <v>61790.248018472295</v>
      </c>
      <c r="AB191" s="80">
        <f t="shared" ca="1" si="50"/>
        <v>81155.29034969183</v>
      </c>
      <c r="AC191" s="80">
        <f t="shared" ca="1" si="50"/>
        <v>106472.3252837945</v>
      </c>
      <c r="AD191" s="80">
        <f t="shared" ca="1" si="50"/>
        <v>137641.25465269035</v>
      </c>
      <c r="AE191" s="80">
        <f t="shared" ca="1" si="50"/>
        <v>159821.12450824879</v>
      </c>
      <c r="AF191" s="80">
        <f t="shared" ca="1" si="50"/>
        <v>0</v>
      </c>
      <c r="AG191" s="80">
        <f t="shared" ca="1" si="50"/>
        <v>0</v>
      </c>
    </row>
    <row r="192" spans="1:33" ht="17.25" customHeight="1" outlineLevel="1" thickBot="1">
      <c r="A192" s="861"/>
      <c r="B192" s="235"/>
      <c r="C192" s="3" t="s">
        <v>327</v>
      </c>
      <c r="D192" s="333"/>
      <c r="E192" s="333"/>
      <c r="F192" s="333"/>
      <c r="G192" s="333"/>
      <c r="H192" s="333"/>
      <c r="I192" s="700">
        <f t="shared" ref="I192" si="51">SUM(I190:I191)</f>
        <v>-3500</v>
      </c>
      <c r="J192" s="700">
        <f t="shared" ref="J192:AG192" ca="1" si="52">SUM(J190:J191)</f>
        <v>16233.014730158728</v>
      </c>
      <c r="K192" s="700">
        <f t="shared" ca="1" si="52"/>
        <v>30468.445785970296</v>
      </c>
      <c r="L192" s="700">
        <f t="shared" ca="1" si="52"/>
        <v>198930.95111111109</v>
      </c>
      <c r="M192" s="700">
        <f t="shared" ca="1" si="52"/>
        <v>193593.77374746031</v>
      </c>
      <c r="N192" s="700">
        <f t="shared" ca="1" si="52"/>
        <v>193901.63985801046</v>
      </c>
      <c r="O192" s="700">
        <f t="shared" ca="1" si="52"/>
        <v>187884.6817800969</v>
      </c>
      <c r="P192" s="700">
        <f t="shared" ca="1" si="52"/>
        <v>192028.92950084983</v>
      </c>
      <c r="Q192" s="700">
        <f t="shared" ca="1" si="52"/>
        <v>194290.28285067764</v>
      </c>
      <c r="R192" s="700">
        <f t="shared" ca="1" si="52"/>
        <v>200513.60867508352</v>
      </c>
      <c r="S192" s="700">
        <f t="shared" ca="1" si="52"/>
        <v>204883.4066268848</v>
      </c>
      <c r="T192" s="700">
        <f t="shared" ca="1" si="52"/>
        <v>215069.28553380718</v>
      </c>
      <c r="U192" s="700">
        <f t="shared" ca="1" si="52"/>
        <v>223612.66266909143</v>
      </c>
      <c r="V192" s="700">
        <f t="shared" ca="1" si="52"/>
        <v>232477.91636704429</v>
      </c>
      <c r="W192" s="700">
        <f t="shared" ca="1" si="52"/>
        <v>244341.91420550417</v>
      </c>
      <c r="X192" s="700">
        <f t="shared" ca="1" si="52"/>
        <v>258464.38790783595</v>
      </c>
      <c r="Y192" s="700">
        <f t="shared" ca="1" si="52"/>
        <v>268583.40614573535</v>
      </c>
      <c r="Z192" s="700">
        <f t="shared" ca="1" si="52"/>
        <v>288174.75662073289</v>
      </c>
      <c r="AA192" s="700">
        <f t="shared" ca="1" si="52"/>
        <v>311790.24801847228</v>
      </c>
      <c r="AB192" s="700">
        <f t="shared" ca="1" si="52"/>
        <v>331155.29034969182</v>
      </c>
      <c r="AC192" s="700">
        <f t="shared" ca="1" si="52"/>
        <v>356472.32528379449</v>
      </c>
      <c r="AD192" s="700">
        <f t="shared" ca="1" si="52"/>
        <v>387641.25465269038</v>
      </c>
      <c r="AE192" s="700">
        <f t="shared" ca="1" si="52"/>
        <v>409821.12450824876</v>
      </c>
      <c r="AF192" s="700">
        <f t="shared" ca="1" si="52"/>
        <v>0</v>
      </c>
      <c r="AG192" s="700">
        <f t="shared" ca="1" si="52"/>
        <v>0</v>
      </c>
    </row>
    <row r="193" spans="1:33" ht="17.25" customHeight="1" outlineLevel="1" thickTop="1">
      <c r="A193" s="861"/>
      <c r="B193" s="235"/>
      <c r="C193" s="282"/>
      <c r="D193" s="235"/>
      <c r="E193" s="235"/>
      <c r="F193" s="235"/>
      <c r="G193" s="235"/>
      <c r="H193" s="774" t="s">
        <v>562</v>
      </c>
      <c r="I193" s="668">
        <f>I188-I192</f>
        <v>0</v>
      </c>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row>
    <row r="194" spans="1:33" ht="17.25" customHeight="1" outlineLevel="1">
      <c r="A194" s="861"/>
      <c r="B194" s="235"/>
      <c r="C194" s="40" t="s">
        <v>328</v>
      </c>
      <c r="D194" s="125"/>
      <c r="E194" s="125"/>
      <c r="F194" s="125"/>
      <c r="G194" s="253"/>
      <c r="H194" s="125"/>
      <c r="I194" s="668">
        <f ca="1">SUM(J194:AG194)</f>
        <v>0</v>
      </c>
      <c r="J194" s="138">
        <f t="shared" ref="J194:AG194" ca="1" si="53">ROUND(J188-J192,1)*J6</f>
        <v>0</v>
      </c>
      <c r="K194" s="253">
        <f t="shared" ca="1" si="53"/>
        <v>0</v>
      </c>
      <c r="L194" s="253">
        <f t="shared" ca="1" si="53"/>
        <v>0</v>
      </c>
      <c r="M194" s="253">
        <f t="shared" ca="1" si="53"/>
        <v>0</v>
      </c>
      <c r="N194" s="253">
        <f t="shared" ca="1" si="53"/>
        <v>0</v>
      </c>
      <c r="O194" s="253">
        <f t="shared" ca="1" si="53"/>
        <v>0</v>
      </c>
      <c r="P194" s="253">
        <f t="shared" ca="1" si="53"/>
        <v>0</v>
      </c>
      <c r="Q194" s="253">
        <f t="shared" ca="1" si="53"/>
        <v>0</v>
      </c>
      <c r="R194" s="253">
        <f t="shared" ca="1" si="53"/>
        <v>0</v>
      </c>
      <c r="S194" s="253">
        <f t="shared" ca="1" si="53"/>
        <v>0</v>
      </c>
      <c r="T194" s="253">
        <f t="shared" ca="1" si="53"/>
        <v>0</v>
      </c>
      <c r="U194" s="253">
        <f t="shared" ca="1" si="53"/>
        <v>0</v>
      </c>
      <c r="V194" s="253">
        <f t="shared" ca="1" si="53"/>
        <v>0</v>
      </c>
      <c r="W194" s="253">
        <f t="shared" ca="1" si="53"/>
        <v>0</v>
      </c>
      <c r="X194" s="253">
        <f t="shared" ca="1" si="53"/>
        <v>0</v>
      </c>
      <c r="Y194" s="253">
        <f t="shared" ca="1" si="53"/>
        <v>0</v>
      </c>
      <c r="Z194" s="253">
        <f t="shared" ca="1" si="53"/>
        <v>0</v>
      </c>
      <c r="AA194" s="253">
        <f t="shared" ca="1" si="53"/>
        <v>0</v>
      </c>
      <c r="AB194" s="253">
        <f t="shared" ca="1" si="53"/>
        <v>0</v>
      </c>
      <c r="AC194" s="253">
        <f t="shared" ca="1" si="53"/>
        <v>0</v>
      </c>
      <c r="AD194" s="253">
        <f t="shared" ca="1" si="53"/>
        <v>0</v>
      </c>
      <c r="AE194" s="253">
        <f t="shared" ca="1" si="53"/>
        <v>0</v>
      </c>
      <c r="AF194" s="253">
        <f t="shared" ca="1" si="53"/>
        <v>0</v>
      </c>
      <c r="AG194" s="253">
        <f t="shared" ca="1" si="53"/>
        <v>0</v>
      </c>
    </row>
    <row r="195" spans="1:33" ht="17.25" customHeight="1" outlineLevel="1">
      <c r="A195" s="861"/>
      <c r="B195" s="235"/>
      <c r="C195" s="40" t="s">
        <v>329</v>
      </c>
      <c r="D195" s="125"/>
      <c r="E195" s="125"/>
      <c r="F195" s="125"/>
      <c r="G195" s="125"/>
      <c r="H195" s="125"/>
      <c r="I195" s="668">
        <f ca="1">SUM(J195:AG195)</f>
        <v>0</v>
      </c>
      <c r="J195" s="83"/>
      <c r="K195" s="85">
        <f t="shared" ref="K195:AG195" ca="1" si="54">K194-J194</f>
        <v>0</v>
      </c>
      <c r="L195" s="85">
        <f t="shared" ca="1" si="54"/>
        <v>0</v>
      </c>
      <c r="M195" s="85">
        <f t="shared" ca="1" si="54"/>
        <v>0</v>
      </c>
      <c r="N195" s="85">
        <f t="shared" ca="1" si="54"/>
        <v>0</v>
      </c>
      <c r="O195" s="85">
        <f t="shared" ca="1" si="54"/>
        <v>0</v>
      </c>
      <c r="P195" s="85">
        <f t="shared" ca="1" si="54"/>
        <v>0</v>
      </c>
      <c r="Q195" s="85">
        <f t="shared" ca="1" si="54"/>
        <v>0</v>
      </c>
      <c r="R195" s="85">
        <f t="shared" ca="1" si="54"/>
        <v>0</v>
      </c>
      <c r="S195" s="85">
        <f t="shared" ca="1" si="54"/>
        <v>0</v>
      </c>
      <c r="T195" s="85">
        <f t="shared" ca="1" si="54"/>
        <v>0</v>
      </c>
      <c r="U195" s="85">
        <f t="shared" ca="1" si="54"/>
        <v>0</v>
      </c>
      <c r="V195" s="85">
        <f t="shared" ca="1" si="54"/>
        <v>0</v>
      </c>
      <c r="W195" s="85">
        <f t="shared" ca="1" si="54"/>
        <v>0</v>
      </c>
      <c r="X195" s="85">
        <f t="shared" ca="1" si="54"/>
        <v>0</v>
      </c>
      <c r="Y195" s="85">
        <f t="shared" ca="1" si="54"/>
        <v>0</v>
      </c>
      <c r="Z195" s="85">
        <f t="shared" ca="1" si="54"/>
        <v>0</v>
      </c>
      <c r="AA195" s="85">
        <f t="shared" ca="1" si="54"/>
        <v>0</v>
      </c>
      <c r="AB195" s="85">
        <f t="shared" ca="1" si="54"/>
        <v>0</v>
      </c>
      <c r="AC195" s="85">
        <f t="shared" ca="1" si="54"/>
        <v>0</v>
      </c>
      <c r="AD195" s="85">
        <f t="shared" ca="1" si="54"/>
        <v>0</v>
      </c>
      <c r="AE195" s="85">
        <f t="shared" ca="1" si="54"/>
        <v>0</v>
      </c>
      <c r="AF195" s="85">
        <f t="shared" ca="1" si="54"/>
        <v>0</v>
      </c>
      <c r="AG195" s="85">
        <f t="shared" ca="1" si="54"/>
        <v>0</v>
      </c>
    </row>
    <row r="196" spans="1:33" s="632" customFormat="1" ht="17.25" customHeight="1" outlineLevel="1">
      <c r="A196" s="282"/>
      <c r="B196" s="282"/>
      <c r="C196" s="282"/>
      <c r="D196" s="282"/>
      <c r="E196" s="282"/>
      <c r="F196" s="282"/>
      <c r="G196" s="282"/>
      <c r="H196" s="282"/>
      <c r="I196" s="786"/>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row>
    <row r="197" spans="1:33" ht="18" customHeight="1">
      <c r="A197" s="235"/>
      <c r="B197" s="235"/>
      <c r="C197" s="861"/>
      <c r="D197" s="861"/>
      <c r="E197" s="861"/>
      <c r="F197" s="861"/>
      <c r="G197" s="861"/>
      <c r="H197" s="235"/>
      <c r="I197" s="786"/>
      <c r="J197" s="235"/>
      <c r="K197" s="235"/>
      <c r="L197" s="235"/>
      <c r="M197" s="235"/>
      <c r="N197" s="235"/>
      <c r="O197" s="235"/>
      <c r="P197" s="235"/>
      <c r="Q197" s="235"/>
      <c r="R197" s="235"/>
      <c r="S197" s="235"/>
      <c r="T197" s="235"/>
      <c r="U197" s="235"/>
      <c r="V197" s="235"/>
      <c r="W197" s="235"/>
      <c r="X197" s="235"/>
      <c r="Y197" s="235"/>
      <c r="Z197" s="235"/>
      <c r="AA197" s="235"/>
      <c r="AB197" s="235"/>
      <c r="AC197" s="235"/>
      <c r="AD197" s="235"/>
      <c r="AE197" s="235"/>
      <c r="AF197" s="235"/>
      <c r="AG197" s="235"/>
    </row>
    <row r="198" spans="1:33" ht="29.25" customHeight="1" thickBot="1">
      <c r="A198" s="316"/>
      <c r="B198" s="316"/>
      <c r="C198" s="316" t="s">
        <v>978</v>
      </c>
      <c r="D198" s="316"/>
      <c r="E198" s="316"/>
      <c r="F198" s="316"/>
      <c r="G198" s="316"/>
      <c r="H198" s="316"/>
      <c r="I198" s="427"/>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316"/>
      <c r="AF198" s="316"/>
      <c r="AG198" s="316"/>
    </row>
    <row r="199" spans="1:33" ht="24" customHeight="1" outlineLevel="1">
      <c r="A199" s="861"/>
      <c r="B199" s="861"/>
      <c r="C199" s="274" t="s">
        <v>986</v>
      </c>
      <c r="D199" s="861"/>
      <c r="E199" s="861"/>
      <c r="F199" s="861"/>
      <c r="G199" s="861"/>
      <c r="H199" s="861"/>
      <c r="I199" s="786"/>
      <c r="J199" s="861"/>
      <c r="K199" s="861"/>
      <c r="L199" s="861"/>
      <c r="M199" s="861"/>
      <c r="N199" s="861"/>
      <c r="O199" s="861"/>
      <c r="P199" s="235"/>
      <c r="Q199" s="235"/>
      <c r="R199" s="235"/>
      <c r="S199" s="235"/>
      <c r="T199" s="235"/>
      <c r="U199" s="235"/>
      <c r="V199" s="235"/>
      <c r="W199" s="235"/>
      <c r="X199" s="235"/>
      <c r="Y199" s="235"/>
      <c r="Z199" s="235"/>
      <c r="AA199" s="235"/>
      <c r="AB199" s="235"/>
      <c r="AC199" s="235"/>
      <c r="AD199" s="235"/>
      <c r="AE199" s="235"/>
      <c r="AF199" s="235"/>
      <c r="AG199" s="235"/>
    </row>
    <row r="200" spans="1:33" ht="18" customHeight="1" outlineLevel="1">
      <c r="A200" s="235"/>
      <c r="B200" s="282"/>
      <c r="C200" s="317" t="str">
        <f>"Inventory planning can be easily switched on/off on sheet inputs in row " &amp;ROW(Inputs!$C$232)</f>
        <v>Inventory planning can be easily switched on/off on sheet inputs in row 232</v>
      </c>
      <c r="D200" s="861"/>
      <c r="E200" s="1029"/>
      <c r="F200" s="774" t="s">
        <v>217</v>
      </c>
      <c r="G200" s="679">
        <f>an_aus_lager</f>
        <v>1</v>
      </c>
      <c r="H200" s="861"/>
      <c r="I200" s="786"/>
      <c r="J200" s="1031"/>
      <c r="K200" s="861"/>
      <c r="L200" s="861"/>
      <c r="M200" s="235"/>
      <c r="N200" s="235"/>
      <c r="O200" s="235"/>
      <c r="P200" s="235"/>
      <c r="Q200" s="235"/>
      <c r="R200" s="235"/>
      <c r="S200" s="235"/>
      <c r="T200" s="235"/>
      <c r="U200" s="235"/>
      <c r="V200" s="235"/>
      <c r="W200" s="235"/>
      <c r="X200" s="235"/>
      <c r="Y200" s="235"/>
      <c r="Z200" s="235"/>
      <c r="AA200" s="235"/>
      <c r="AB200" s="235"/>
      <c r="AC200" s="235"/>
      <c r="AD200" s="235"/>
      <c r="AE200" s="235"/>
      <c r="AF200" s="235"/>
      <c r="AG200" s="235"/>
    </row>
    <row r="201" spans="1:33" s="235" customFormat="1" ht="18" customHeight="1" outlineLevel="1">
      <c r="B201" s="282"/>
      <c r="C201" s="86" t="s">
        <v>976</v>
      </c>
      <c r="D201" s="8" t="str">
        <f>Currency_Label</f>
        <v>USD</v>
      </c>
      <c r="F201" s="861"/>
      <c r="G201" s="127"/>
      <c r="H201" s="127"/>
      <c r="I201" s="236">
        <f ca="1">SUM(J201:AG201)</f>
        <v>1673720.1275924016</v>
      </c>
      <c r="J201" s="129">
        <f t="shared" ref="J201:AG201" ca="1" si="55">J16*$G200</f>
        <v>12325</v>
      </c>
      <c r="K201" s="129">
        <f t="shared" ca="1" si="55"/>
        <v>17125</v>
      </c>
      <c r="L201" s="129">
        <f t="shared" ca="1" si="55"/>
        <v>22662.5</v>
      </c>
      <c r="M201" s="129">
        <f t="shared" ca="1" si="55"/>
        <v>28457.7</v>
      </c>
      <c r="N201" s="129">
        <f t="shared" ca="1" si="55"/>
        <v>34788.9</v>
      </c>
      <c r="O201" s="129">
        <f t="shared" ca="1" si="55"/>
        <v>41082.508000000002</v>
      </c>
      <c r="P201" s="129">
        <f t="shared" ca="1" si="55"/>
        <v>48198.092320000011</v>
      </c>
      <c r="Q201" s="129">
        <f t="shared" ca="1" si="55"/>
        <v>55312.218732800007</v>
      </c>
      <c r="R201" s="129">
        <f t="shared" ca="1" si="55"/>
        <v>62862.871802112008</v>
      </c>
      <c r="S201" s="129">
        <f t="shared" ca="1" si="55"/>
        <v>68614.213314196488</v>
      </c>
      <c r="T201" s="129">
        <f t="shared" ca="1" si="55"/>
        <v>75623.489273964355</v>
      </c>
      <c r="U201" s="129">
        <f t="shared" ca="1" si="55"/>
        <v>79421.700606910119</v>
      </c>
      <c r="V201" s="129">
        <f t="shared" ca="1" si="55"/>
        <v>84605.912309086532</v>
      </c>
      <c r="W201" s="129">
        <f t="shared" ca="1" si="55"/>
        <v>90982.266382942005</v>
      </c>
      <c r="X201" s="129">
        <f t="shared" ca="1" si="55"/>
        <v>97441.380929511681</v>
      </c>
      <c r="Y201" s="129">
        <f t="shared" ca="1" si="55"/>
        <v>102993.36508052115</v>
      </c>
      <c r="Z201" s="129">
        <f t="shared" ca="1" si="55"/>
        <v>109356.00430465091</v>
      </c>
      <c r="AA201" s="129">
        <f t="shared" ca="1" si="55"/>
        <v>115842.20589316347</v>
      </c>
      <c r="AB201" s="129">
        <f t="shared" ca="1" si="55"/>
        <v>121682.03843609382</v>
      </c>
      <c r="AC201" s="129">
        <f t="shared" ca="1" si="55"/>
        <v>128223.62438145457</v>
      </c>
      <c r="AD201" s="129">
        <f t="shared" ca="1" si="55"/>
        <v>134927.35692914721</v>
      </c>
      <c r="AE201" s="129">
        <f t="shared" ca="1" si="55"/>
        <v>141191.77889584703</v>
      </c>
      <c r="AF201" s="129">
        <f t="shared" ca="1" si="55"/>
        <v>0</v>
      </c>
      <c r="AG201" s="129">
        <f t="shared" ca="1" si="55"/>
        <v>0</v>
      </c>
    </row>
    <row r="202" spans="1:33" s="235" customFormat="1" ht="18" customHeight="1" outlineLevel="1">
      <c r="A202" s="861"/>
      <c r="B202" s="861"/>
      <c r="C202" s="878" t="s">
        <v>977</v>
      </c>
      <c r="D202" s="8" t="str">
        <f>Currency_Label</f>
        <v>USD</v>
      </c>
      <c r="E202" s="861"/>
      <c r="F202" s="861"/>
      <c r="G202" s="1030">
        <f>Inputs!F233</f>
        <v>10</v>
      </c>
      <c r="H202" s="127"/>
      <c r="I202" s="678"/>
      <c r="J202" s="230">
        <f t="shared" ref="J202:AG202" ca="1" si="56">J201/J$7*$G202*$G$200</f>
        <v>4401.7857142857147</v>
      </c>
      <c r="K202" s="230">
        <f t="shared" ca="1" si="56"/>
        <v>5524.1935483870966</v>
      </c>
      <c r="L202" s="230">
        <f t="shared" ca="1" si="56"/>
        <v>7554.1666666666661</v>
      </c>
      <c r="M202" s="230">
        <f t="shared" ca="1" si="56"/>
        <v>9179.9032258064508</v>
      </c>
      <c r="N202" s="230">
        <f t="shared" ca="1" si="56"/>
        <v>11596.300000000001</v>
      </c>
      <c r="O202" s="230">
        <f t="shared" ca="1" si="56"/>
        <v>13252.421935483871</v>
      </c>
      <c r="P202" s="230">
        <f t="shared" ca="1" si="56"/>
        <v>15547.771716129037</v>
      </c>
      <c r="Q202" s="230">
        <f t="shared" ca="1" si="56"/>
        <v>18437.406244266669</v>
      </c>
      <c r="R202" s="230">
        <f t="shared" ca="1" si="56"/>
        <v>20278.345742616777</v>
      </c>
      <c r="S202" s="230">
        <f t="shared" ca="1" si="56"/>
        <v>22871.404438065496</v>
      </c>
      <c r="T202" s="230">
        <f t="shared" ca="1" si="56"/>
        <v>24394.673959343341</v>
      </c>
      <c r="U202" s="230">
        <f t="shared" ca="1" si="56"/>
        <v>25619.903421583909</v>
      </c>
      <c r="V202" s="230">
        <f t="shared" ca="1" si="56"/>
        <v>30216.397253245192</v>
      </c>
      <c r="W202" s="230">
        <f t="shared" ca="1" si="56"/>
        <v>29349.11818804581</v>
      </c>
      <c r="X202" s="230">
        <f t="shared" ca="1" si="56"/>
        <v>32480.460309837224</v>
      </c>
      <c r="Y202" s="230">
        <f t="shared" ca="1" si="56"/>
        <v>33223.666155006824</v>
      </c>
      <c r="Z202" s="230">
        <f t="shared" ca="1" si="56"/>
        <v>36452.001434883634</v>
      </c>
      <c r="AA202" s="230">
        <f t="shared" ca="1" si="56"/>
        <v>37368.453513923698</v>
      </c>
      <c r="AB202" s="230">
        <f t="shared" ca="1" si="56"/>
        <v>39252.270463256071</v>
      </c>
      <c r="AC202" s="230">
        <f t="shared" ca="1" si="56"/>
        <v>42741.20812715152</v>
      </c>
      <c r="AD202" s="230">
        <f t="shared" ca="1" si="56"/>
        <v>43524.953848111996</v>
      </c>
      <c r="AE202" s="230">
        <f t="shared" ca="1" si="56"/>
        <v>47063.926298615683</v>
      </c>
      <c r="AF202" s="230">
        <f t="shared" ca="1" si="56"/>
        <v>0</v>
      </c>
      <c r="AG202" s="230">
        <f t="shared" ca="1" si="56"/>
        <v>0</v>
      </c>
    </row>
    <row r="203" spans="1:33" s="235" customFormat="1" ht="18" customHeight="1" outlineLevel="1">
      <c r="A203" s="861"/>
      <c r="B203" s="861"/>
      <c r="C203" s="48" t="s">
        <v>215</v>
      </c>
      <c r="D203" s="8" t="str">
        <f>Currency_Label</f>
        <v>USD</v>
      </c>
      <c r="E203" s="861"/>
      <c r="F203" s="774" t="s">
        <v>979</v>
      </c>
      <c r="G203" s="1032">
        <f>Inputs!F234</f>
        <v>0.8</v>
      </c>
      <c r="H203" s="861" t="s">
        <v>980</v>
      </c>
      <c r="I203" s="786"/>
      <c r="J203" s="80">
        <f t="shared" ref="J203:AG203" ca="1" si="57">IF(J202-I202&gt;0,MIN(J202-I202,MAX(J202-J205,-J201*$G203)),MAX(J202-J205,-J201*$G203))</f>
        <v>1901.7857142857147</v>
      </c>
      <c r="K203" s="80">
        <f t="shared" ca="1" si="57"/>
        <v>1122.4078341013819</v>
      </c>
      <c r="L203" s="80">
        <f t="shared" ca="1" si="57"/>
        <v>2029.9731182795695</v>
      </c>
      <c r="M203" s="80">
        <f t="shared" ca="1" si="57"/>
        <v>1625.7365591397847</v>
      </c>
      <c r="N203" s="80">
        <f t="shared" ca="1" si="57"/>
        <v>2416.3967741935503</v>
      </c>
      <c r="O203" s="80">
        <f t="shared" ca="1" si="57"/>
        <v>1656.1219354838704</v>
      </c>
      <c r="P203" s="80">
        <f t="shared" ca="1" si="57"/>
        <v>2295.3497806451651</v>
      </c>
      <c r="Q203" s="80">
        <f t="shared" ca="1" si="57"/>
        <v>2889.6345281376325</v>
      </c>
      <c r="R203" s="80">
        <f t="shared" ca="1" si="57"/>
        <v>1840.9394983501079</v>
      </c>
      <c r="S203" s="80">
        <f t="shared" ca="1" si="57"/>
        <v>2593.0586954487189</v>
      </c>
      <c r="T203" s="80">
        <f t="shared" ca="1" si="57"/>
        <v>1523.2695212778453</v>
      </c>
      <c r="U203" s="80">
        <f t="shared" ca="1" si="57"/>
        <v>1225.229462240568</v>
      </c>
      <c r="V203" s="80">
        <f t="shared" ca="1" si="57"/>
        <v>4596.4938316612825</v>
      </c>
      <c r="W203" s="80">
        <f t="shared" ca="1" si="57"/>
        <v>-867.27906519938188</v>
      </c>
      <c r="X203" s="80">
        <f t="shared" ca="1" si="57"/>
        <v>3131.3421217914147</v>
      </c>
      <c r="Y203" s="80">
        <f t="shared" ca="1" si="57"/>
        <v>743.20584516959934</v>
      </c>
      <c r="Z203" s="80">
        <f t="shared" ca="1" si="57"/>
        <v>3228.3352798768101</v>
      </c>
      <c r="AA203" s="80">
        <f t="shared" ca="1" si="57"/>
        <v>916.45207904006384</v>
      </c>
      <c r="AB203" s="80">
        <f t="shared" ca="1" si="57"/>
        <v>1883.816949332373</v>
      </c>
      <c r="AC203" s="80">
        <f t="shared" ca="1" si="57"/>
        <v>3488.9376638954491</v>
      </c>
      <c r="AD203" s="80">
        <f t="shared" ca="1" si="57"/>
        <v>783.74572096047632</v>
      </c>
      <c r="AE203" s="80">
        <f t="shared" ca="1" si="57"/>
        <v>3538.9724505036866</v>
      </c>
      <c r="AF203" s="80">
        <f t="shared" ca="1" si="57"/>
        <v>0</v>
      </c>
      <c r="AG203" s="80">
        <f t="shared" ca="1" si="57"/>
        <v>0</v>
      </c>
    </row>
    <row r="204" spans="1:33" s="235" customFormat="1" ht="24" customHeight="1" outlineLevel="1">
      <c r="B204" s="282"/>
      <c r="C204" s="1033" t="s">
        <v>988</v>
      </c>
      <c r="D204" s="861"/>
      <c r="E204" s="861"/>
      <c r="F204" s="861"/>
      <c r="G204" s="861"/>
      <c r="H204" s="861"/>
      <c r="I204" s="786"/>
      <c r="J204" s="861"/>
      <c r="K204" s="319"/>
      <c r="L204" s="861"/>
      <c r="M204" s="861"/>
      <c r="N204" s="861"/>
      <c r="O204" s="861"/>
      <c r="P204" s="861"/>
      <c r="Q204" s="861"/>
      <c r="R204" s="861"/>
      <c r="S204" s="861"/>
      <c r="T204" s="861"/>
      <c r="U204" s="861"/>
      <c r="V204" s="861"/>
      <c r="W204" s="861"/>
      <c r="X204" s="861"/>
      <c r="Y204" s="861"/>
      <c r="Z204" s="861"/>
      <c r="AA204" s="861"/>
      <c r="AB204" s="861"/>
      <c r="AC204" s="861"/>
      <c r="AD204" s="861"/>
      <c r="AE204" s="861"/>
      <c r="AF204" s="861"/>
      <c r="AG204" s="861"/>
    </row>
    <row r="205" spans="1:33" s="235" customFormat="1" ht="18" customHeight="1" outlineLevel="1">
      <c r="B205" s="282"/>
      <c r="C205" s="878" t="s">
        <v>140</v>
      </c>
      <c r="D205" s="8" t="str">
        <f>Currency_Label</f>
        <v>USD</v>
      </c>
      <c r="E205" s="861"/>
      <c r="F205" s="861"/>
      <c r="G205" s="861"/>
      <c r="H205" s="861"/>
      <c r="I205" s="786"/>
      <c r="J205" s="253">
        <f t="shared" ref="J205:AG205" si="58">I207*J$6</f>
        <v>2500</v>
      </c>
      <c r="K205" s="253">
        <f t="shared" ca="1" si="58"/>
        <v>4401.7857142857147</v>
      </c>
      <c r="L205" s="253">
        <f t="shared" ca="1" si="58"/>
        <v>5524.1935483870966</v>
      </c>
      <c r="M205" s="253">
        <f t="shared" ca="1" si="58"/>
        <v>7554.1666666666661</v>
      </c>
      <c r="N205" s="253">
        <f t="shared" ca="1" si="58"/>
        <v>9179.9032258064508</v>
      </c>
      <c r="O205" s="253">
        <f t="shared" ca="1" si="58"/>
        <v>11596.300000000001</v>
      </c>
      <c r="P205" s="253">
        <f t="shared" ca="1" si="58"/>
        <v>13252.421935483871</v>
      </c>
      <c r="Q205" s="253">
        <f t="shared" ca="1" si="58"/>
        <v>15547.771716129037</v>
      </c>
      <c r="R205" s="253">
        <f t="shared" ca="1" si="58"/>
        <v>18437.406244266669</v>
      </c>
      <c r="S205" s="253">
        <f t="shared" ca="1" si="58"/>
        <v>20278.345742616777</v>
      </c>
      <c r="T205" s="253">
        <f t="shared" ca="1" si="58"/>
        <v>22871.404438065496</v>
      </c>
      <c r="U205" s="253">
        <f t="shared" ca="1" si="58"/>
        <v>24394.673959343341</v>
      </c>
      <c r="V205" s="253">
        <f t="shared" ca="1" si="58"/>
        <v>25619.903421583909</v>
      </c>
      <c r="W205" s="253">
        <f t="shared" ca="1" si="58"/>
        <v>30216.397253245192</v>
      </c>
      <c r="X205" s="253">
        <f t="shared" ca="1" si="58"/>
        <v>29349.11818804581</v>
      </c>
      <c r="Y205" s="253">
        <f t="shared" ca="1" si="58"/>
        <v>32480.460309837224</v>
      </c>
      <c r="Z205" s="253">
        <f t="shared" ca="1" si="58"/>
        <v>33223.666155006824</v>
      </c>
      <c r="AA205" s="253">
        <f t="shared" ca="1" si="58"/>
        <v>36452.001434883634</v>
      </c>
      <c r="AB205" s="253">
        <f t="shared" ca="1" si="58"/>
        <v>37368.453513923698</v>
      </c>
      <c r="AC205" s="253">
        <f t="shared" ca="1" si="58"/>
        <v>39252.270463256071</v>
      </c>
      <c r="AD205" s="253">
        <f t="shared" ca="1" si="58"/>
        <v>42741.20812715152</v>
      </c>
      <c r="AE205" s="253">
        <f t="shared" ca="1" si="58"/>
        <v>43524.953848111996</v>
      </c>
      <c r="AF205" s="253">
        <f t="shared" ca="1" si="58"/>
        <v>0</v>
      </c>
      <c r="AG205" s="253">
        <f t="shared" ca="1" si="58"/>
        <v>0</v>
      </c>
    </row>
    <row r="206" spans="1:33" s="235" customFormat="1" ht="18" customHeight="1" outlineLevel="1">
      <c r="B206" s="282"/>
      <c r="C206" s="40" t="s">
        <v>216</v>
      </c>
      <c r="D206" s="8" t="str">
        <f>Currency_Label</f>
        <v>USD</v>
      </c>
      <c r="E206" s="861"/>
      <c r="F206" s="861"/>
      <c r="G206" s="861"/>
      <c r="H206" s="861"/>
      <c r="I206" s="236">
        <f ca="1">SUM(J206:AG206)</f>
        <v>44563.926298615683</v>
      </c>
      <c r="J206" s="80">
        <f t="shared" ref="J206:AG206" ca="1" si="59">J203</f>
        <v>1901.7857142857147</v>
      </c>
      <c r="K206" s="80">
        <f t="shared" ca="1" si="59"/>
        <v>1122.4078341013819</v>
      </c>
      <c r="L206" s="80">
        <f t="shared" ca="1" si="59"/>
        <v>2029.9731182795695</v>
      </c>
      <c r="M206" s="80">
        <f t="shared" ca="1" si="59"/>
        <v>1625.7365591397847</v>
      </c>
      <c r="N206" s="80">
        <f t="shared" ca="1" si="59"/>
        <v>2416.3967741935503</v>
      </c>
      <c r="O206" s="80">
        <f t="shared" ca="1" si="59"/>
        <v>1656.1219354838704</v>
      </c>
      <c r="P206" s="80">
        <f t="shared" ca="1" si="59"/>
        <v>2295.3497806451651</v>
      </c>
      <c r="Q206" s="80">
        <f t="shared" ca="1" si="59"/>
        <v>2889.6345281376325</v>
      </c>
      <c r="R206" s="80">
        <f t="shared" ca="1" si="59"/>
        <v>1840.9394983501079</v>
      </c>
      <c r="S206" s="80">
        <f t="shared" ca="1" si="59"/>
        <v>2593.0586954487189</v>
      </c>
      <c r="T206" s="80">
        <f t="shared" ca="1" si="59"/>
        <v>1523.2695212778453</v>
      </c>
      <c r="U206" s="80">
        <f t="shared" ca="1" si="59"/>
        <v>1225.229462240568</v>
      </c>
      <c r="V206" s="80">
        <f t="shared" ca="1" si="59"/>
        <v>4596.4938316612825</v>
      </c>
      <c r="W206" s="80">
        <f t="shared" ca="1" si="59"/>
        <v>-867.27906519938188</v>
      </c>
      <c r="X206" s="80">
        <f t="shared" ca="1" si="59"/>
        <v>3131.3421217914147</v>
      </c>
      <c r="Y206" s="80">
        <f t="shared" ca="1" si="59"/>
        <v>743.20584516959934</v>
      </c>
      <c r="Z206" s="80">
        <f t="shared" ca="1" si="59"/>
        <v>3228.3352798768101</v>
      </c>
      <c r="AA206" s="80">
        <f t="shared" ca="1" si="59"/>
        <v>916.45207904006384</v>
      </c>
      <c r="AB206" s="80">
        <f t="shared" ca="1" si="59"/>
        <v>1883.816949332373</v>
      </c>
      <c r="AC206" s="80">
        <f t="shared" ca="1" si="59"/>
        <v>3488.9376638954491</v>
      </c>
      <c r="AD206" s="80">
        <f t="shared" ca="1" si="59"/>
        <v>783.74572096047632</v>
      </c>
      <c r="AE206" s="80">
        <f t="shared" ca="1" si="59"/>
        <v>3538.9724505036866</v>
      </c>
      <c r="AF206" s="80">
        <f t="shared" ca="1" si="59"/>
        <v>0</v>
      </c>
      <c r="AG206" s="80">
        <f t="shared" ca="1" si="59"/>
        <v>0</v>
      </c>
    </row>
    <row r="207" spans="1:33" s="235" customFormat="1" ht="18" customHeight="1" outlineLevel="1" thickBot="1">
      <c r="B207" s="282"/>
      <c r="C207" s="878" t="s">
        <v>141</v>
      </c>
      <c r="D207" s="8" t="str">
        <f>Currency_Label</f>
        <v>USD</v>
      </c>
      <c r="E207" s="861"/>
      <c r="F207" s="861"/>
      <c r="G207" s="861"/>
      <c r="H207" s="861"/>
      <c r="I207" s="433">
        <f>Inputs!F267</f>
        <v>2500</v>
      </c>
      <c r="J207" s="672">
        <f t="shared" ref="J207:AG207" ca="1" si="60">SUM(J205:J206)</f>
        <v>4401.7857142857147</v>
      </c>
      <c r="K207" s="672">
        <f t="shared" ca="1" si="60"/>
        <v>5524.1935483870966</v>
      </c>
      <c r="L207" s="672">
        <f t="shared" ca="1" si="60"/>
        <v>7554.1666666666661</v>
      </c>
      <c r="M207" s="672">
        <f t="shared" ca="1" si="60"/>
        <v>9179.9032258064508</v>
      </c>
      <c r="N207" s="672">
        <f t="shared" ca="1" si="60"/>
        <v>11596.300000000001</v>
      </c>
      <c r="O207" s="672">
        <f t="shared" ca="1" si="60"/>
        <v>13252.421935483871</v>
      </c>
      <c r="P207" s="672">
        <f t="shared" ca="1" si="60"/>
        <v>15547.771716129037</v>
      </c>
      <c r="Q207" s="672">
        <f t="shared" ca="1" si="60"/>
        <v>18437.406244266669</v>
      </c>
      <c r="R207" s="672">
        <f t="shared" ca="1" si="60"/>
        <v>20278.345742616777</v>
      </c>
      <c r="S207" s="672">
        <f t="shared" ca="1" si="60"/>
        <v>22871.404438065496</v>
      </c>
      <c r="T207" s="672">
        <f t="shared" ca="1" si="60"/>
        <v>24394.673959343341</v>
      </c>
      <c r="U207" s="672">
        <f t="shared" ca="1" si="60"/>
        <v>25619.903421583909</v>
      </c>
      <c r="V207" s="672">
        <f t="shared" ca="1" si="60"/>
        <v>30216.397253245192</v>
      </c>
      <c r="W207" s="672">
        <f t="shared" ca="1" si="60"/>
        <v>29349.11818804581</v>
      </c>
      <c r="X207" s="672">
        <f t="shared" ca="1" si="60"/>
        <v>32480.460309837224</v>
      </c>
      <c r="Y207" s="672">
        <f t="shared" ca="1" si="60"/>
        <v>33223.666155006824</v>
      </c>
      <c r="Z207" s="672">
        <f t="shared" ca="1" si="60"/>
        <v>36452.001434883634</v>
      </c>
      <c r="AA207" s="672">
        <f t="shared" ca="1" si="60"/>
        <v>37368.453513923698</v>
      </c>
      <c r="AB207" s="672">
        <f t="shared" ca="1" si="60"/>
        <v>39252.270463256071</v>
      </c>
      <c r="AC207" s="672">
        <f t="shared" ca="1" si="60"/>
        <v>42741.20812715152</v>
      </c>
      <c r="AD207" s="672">
        <f t="shared" ca="1" si="60"/>
        <v>43524.953848111996</v>
      </c>
      <c r="AE207" s="672">
        <f t="shared" ca="1" si="60"/>
        <v>47063.926298615683</v>
      </c>
      <c r="AF207" s="672">
        <f t="shared" ca="1" si="60"/>
        <v>0</v>
      </c>
      <c r="AG207" s="672">
        <f t="shared" ca="1" si="60"/>
        <v>0</v>
      </c>
    </row>
    <row r="208" spans="1:33" s="235" customFormat="1" ht="18" customHeight="1" outlineLevel="1" thickTop="1">
      <c r="B208" s="282"/>
      <c r="C208" s="861"/>
      <c r="D208" s="861"/>
      <c r="E208" s="861"/>
      <c r="F208" s="861"/>
      <c r="G208" s="861"/>
      <c r="I208" s="786"/>
      <c r="J208" s="319"/>
      <c r="L208" s="861"/>
      <c r="M208" s="861"/>
      <c r="N208" s="861"/>
      <c r="O208" s="861"/>
      <c r="P208" s="861"/>
      <c r="Q208" s="861"/>
      <c r="R208" s="861"/>
      <c r="S208" s="861"/>
      <c r="T208" s="861"/>
      <c r="U208" s="861"/>
      <c r="V208" s="861"/>
      <c r="W208" s="861"/>
      <c r="X208" s="861"/>
      <c r="Y208" s="861"/>
      <c r="Z208" s="861"/>
      <c r="AA208" s="861"/>
      <c r="AB208" s="861"/>
      <c r="AC208" s="861"/>
      <c r="AD208" s="861"/>
      <c r="AE208" s="861"/>
      <c r="AF208" s="861"/>
      <c r="AG208" s="861"/>
    </row>
    <row r="209" spans="2:33" s="235" customFormat="1" ht="18" customHeight="1" outlineLevel="1">
      <c r="B209" s="282"/>
      <c r="C209" s="274" t="str">
        <f>Name_VAT &amp;" on inventory increases"</f>
        <v>VAT on inventory increases</v>
      </c>
      <c r="D209" s="861"/>
      <c r="E209" s="861"/>
      <c r="F209" s="861"/>
      <c r="G209" s="517"/>
      <c r="H209" s="861"/>
      <c r="I209" s="786"/>
      <c r="J209" s="861"/>
      <c r="K209" s="861"/>
      <c r="L209" s="861"/>
      <c r="M209" s="861"/>
      <c r="N209" s="861"/>
      <c r="O209" s="861"/>
      <c r="P209" s="861"/>
      <c r="Q209" s="861"/>
      <c r="R209" s="861"/>
      <c r="S209" s="861"/>
      <c r="T209" s="861"/>
      <c r="U209" s="861"/>
      <c r="V209" s="861"/>
      <c r="W209" s="861"/>
      <c r="X209" s="861"/>
      <c r="Y209" s="861"/>
      <c r="Z209" s="861"/>
      <c r="AA209" s="861"/>
      <c r="AB209" s="861"/>
      <c r="AC209" s="861"/>
      <c r="AD209" s="861"/>
      <c r="AE209" s="861"/>
      <c r="AF209" s="861"/>
      <c r="AG209" s="861"/>
    </row>
    <row r="210" spans="2:33" s="235" customFormat="1" ht="18" customHeight="1" outlineLevel="1">
      <c r="B210" s="282"/>
      <c r="C210" s="24" t="s">
        <v>989</v>
      </c>
      <c r="D210" s="398" t="str">
        <f>Currency_Label</f>
        <v>USD</v>
      </c>
      <c r="E210" s="861" t="s">
        <v>213</v>
      </c>
      <c r="F210" s="861"/>
      <c r="G210" s="517" t="str">
        <f>Name_VAT &amp; " Rate"</f>
        <v>VAT Rate</v>
      </c>
      <c r="H210" s="861"/>
      <c r="I210" s="236">
        <f ca="1">SUM(J210:AG210)</f>
        <v>45431.205363815061</v>
      </c>
      <c r="J210" s="674">
        <f t="shared" ref="J210:AG210" ca="1" si="61">MAX(0,J206)</f>
        <v>1901.7857142857147</v>
      </c>
      <c r="K210" s="674">
        <f t="shared" ca="1" si="61"/>
        <v>1122.4078341013819</v>
      </c>
      <c r="L210" s="674">
        <f t="shared" ca="1" si="61"/>
        <v>2029.9731182795695</v>
      </c>
      <c r="M210" s="674">
        <f t="shared" ca="1" si="61"/>
        <v>1625.7365591397847</v>
      </c>
      <c r="N210" s="674">
        <f t="shared" ca="1" si="61"/>
        <v>2416.3967741935503</v>
      </c>
      <c r="O210" s="674">
        <f t="shared" ca="1" si="61"/>
        <v>1656.1219354838704</v>
      </c>
      <c r="P210" s="674">
        <f t="shared" ca="1" si="61"/>
        <v>2295.3497806451651</v>
      </c>
      <c r="Q210" s="674">
        <f t="shared" ca="1" si="61"/>
        <v>2889.6345281376325</v>
      </c>
      <c r="R210" s="674">
        <f t="shared" ca="1" si="61"/>
        <v>1840.9394983501079</v>
      </c>
      <c r="S210" s="674">
        <f t="shared" ca="1" si="61"/>
        <v>2593.0586954487189</v>
      </c>
      <c r="T210" s="674">
        <f t="shared" ca="1" si="61"/>
        <v>1523.2695212778453</v>
      </c>
      <c r="U210" s="674">
        <f t="shared" ca="1" si="61"/>
        <v>1225.229462240568</v>
      </c>
      <c r="V210" s="674">
        <f t="shared" ca="1" si="61"/>
        <v>4596.4938316612825</v>
      </c>
      <c r="W210" s="674">
        <f t="shared" ca="1" si="61"/>
        <v>0</v>
      </c>
      <c r="X210" s="674">
        <f t="shared" ca="1" si="61"/>
        <v>3131.3421217914147</v>
      </c>
      <c r="Y210" s="674">
        <f t="shared" ca="1" si="61"/>
        <v>743.20584516959934</v>
      </c>
      <c r="Z210" s="674">
        <f t="shared" ca="1" si="61"/>
        <v>3228.3352798768101</v>
      </c>
      <c r="AA210" s="674">
        <f t="shared" ca="1" si="61"/>
        <v>916.45207904006384</v>
      </c>
      <c r="AB210" s="674">
        <f t="shared" ca="1" si="61"/>
        <v>1883.816949332373</v>
      </c>
      <c r="AC210" s="674">
        <f t="shared" ca="1" si="61"/>
        <v>3488.9376638954491</v>
      </c>
      <c r="AD210" s="674">
        <f t="shared" ca="1" si="61"/>
        <v>783.74572096047632</v>
      </c>
      <c r="AE210" s="674">
        <f t="shared" ca="1" si="61"/>
        <v>3538.9724505036866</v>
      </c>
      <c r="AF210" s="674">
        <f t="shared" ca="1" si="61"/>
        <v>0</v>
      </c>
      <c r="AG210" s="674">
        <f t="shared" ca="1" si="61"/>
        <v>0</v>
      </c>
    </row>
    <row r="211" spans="2:33" s="235" customFormat="1" ht="18" customHeight="1" outlineLevel="1">
      <c r="B211" s="282"/>
      <c r="C211" s="24" t="str">
        <f>Name_VAT &amp;" on stocks purchases"</f>
        <v>VAT on stocks purchases</v>
      </c>
      <c r="D211" s="8" t="str">
        <f t="shared" ref="D211" si="62">Currency_Label</f>
        <v>USD</v>
      </c>
      <c r="E211" s="84">
        <f>Inputs!F219</f>
        <v>0.8</v>
      </c>
      <c r="F211" s="800"/>
      <c r="G211" s="84">
        <f>Inputs!I219</f>
        <v>0.2</v>
      </c>
      <c r="H211" s="800"/>
      <c r="I211" s="236">
        <f ca="1">SUM(J211:AG211)</f>
        <v>7268.9928582104103</v>
      </c>
      <c r="J211" s="690">
        <f t="shared" ref="J211:AG211" ca="1" si="63">$E211*$G211*J210</f>
        <v>304.28571428571439</v>
      </c>
      <c r="K211" s="690">
        <f t="shared" ca="1" si="63"/>
        <v>179.58525345622115</v>
      </c>
      <c r="L211" s="690">
        <f t="shared" ca="1" si="63"/>
        <v>324.7956989247312</v>
      </c>
      <c r="M211" s="690">
        <f t="shared" ca="1" si="63"/>
        <v>260.1178494623656</v>
      </c>
      <c r="N211" s="690">
        <f t="shared" ca="1" si="63"/>
        <v>386.62348387096813</v>
      </c>
      <c r="O211" s="690">
        <f t="shared" ca="1" si="63"/>
        <v>264.97950967741934</v>
      </c>
      <c r="P211" s="690">
        <f t="shared" ca="1" si="63"/>
        <v>367.25596490322647</v>
      </c>
      <c r="Q211" s="690">
        <f t="shared" ca="1" si="63"/>
        <v>462.34152450202129</v>
      </c>
      <c r="R211" s="690">
        <f t="shared" ca="1" si="63"/>
        <v>294.55031973601734</v>
      </c>
      <c r="S211" s="690">
        <f t="shared" ca="1" si="63"/>
        <v>414.88939127179509</v>
      </c>
      <c r="T211" s="690">
        <f t="shared" ca="1" si="63"/>
        <v>243.72312340445529</v>
      </c>
      <c r="U211" s="690">
        <f t="shared" ca="1" si="63"/>
        <v>196.03671395849091</v>
      </c>
      <c r="V211" s="690">
        <f t="shared" ca="1" si="63"/>
        <v>735.43901306580528</v>
      </c>
      <c r="W211" s="690">
        <f t="shared" ca="1" si="63"/>
        <v>0</v>
      </c>
      <c r="X211" s="690">
        <f t="shared" ca="1" si="63"/>
        <v>501.01473948662647</v>
      </c>
      <c r="Y211" s="690">
        <f t="shared" ca="1" si="63"/>
        <v>118.91293522713592</v>
      </c>
      <c r="Z211" s="690">
        <f t="shared" ca="1" si="63"/>
        <v>516.53364478028971</v>
      </c>
      <c r="AA211" s="690">
        <f t="shared" ca="1" si="63"/>
        <v>146.63233264641025</v>
      </c>
      <c r="AB211" s="690">
        <f t="shared" ca="1" si="63"/>
        <v>301.41071189317972</v>
      </c>
      <c r="AC211" s="690">
        <f t="shared" ca="1" si="63"/>
        <v>558.23002622327192</v>
      </c>
      <c r="AD211" s="690">
        <f t="shared" ca="1" si="63"/>
        <v>125.39931535367623</v>
      </c>
      <c r="AE211" s="690">
        <f t="shared" ca="1" si="63"/>
        <v>566.23559208058998</v>
      </c>
      <c r="AF211" s="690">
        <f t="shared" ca="1" si="63"/>
        <v>0</v>
      </c>
      <c r="AG211" s="690">
        <f t="shared" ca="1" si="63"/>
        <v>0</v>
      </c>
    </row>
    <row r="212" spans="2:33" s="235" customFormat="1" ht="18" customHeight="1" outlineLevel="1">
      <c r="B212" s="282"/>
      <c r="C212" s="282"/>
      <c r="D212" s="282"/>
      <c r="E212" s="282"/>
      <c r="F212" s="282"/>
      <c r="I212" s="786"/>
      <c r="M212" s="861"/>
      <c r="N212" s="861"/>
      <c r="O212" s="861"/>
      <c r="P212" s="861"/>
      <c r="Q212" s="861"/>
      <c r="R212" s="861"/>
      <c r="S212" s="861"/>
      <c r="T212" s="861"/>
      <c r="U212" s="861"/>
      <c r="V212" s="861"/>
      <c r="W212" s="861"/>
      <c r="X212" s="861"/>
      <c r="Y212" s="861"/>
      <c r="Z212" s="861"/>
      <c r="AA212" s="861"/>
      <c r="AB212" s="861"/>
      <c r="AC212" s="861"/>
      <c r="AD212" s="861"/>
      <c r="AE212" s="861"/>
      <c r="AF212" s="861"/>
      <c r="AG212" s="861"/>
    </row>
    <row r="213" spans="2:33" s="235" customFormat="1" ht="18" customHeight="1">
      <c r="B213" s="282"/>
      <c r="C213" s="282"/>
      <c r="D213" s="282"/>
      <c r="E213" s="282"/>
      <c r="F213" s="282"/>
      <c r="I213" s="786"/>
    </row>
    <row r="214" spans="2:33" s="235" customFormat="1" ht="18" customHeight="1">
      <c r="B214" s="282"/>
      <c r="C214" s="282"/>
      <c r="D214" s="282"/>
      <c r="E214" s="282"/>
      <c r="F214" s="282"/>
      <c r="I214" s="786"/>
    </row>
    <row r="215" spans="2:33" s="235" customFormat="1" ht="18" customHeight="1">
      <c r="B215" s="282"/>
      <c r="C215" s="282"/>
      <c r="D215" s="282"/>
      <c r="E215" s="282"/>
      <c r="F215" s="282"/>
      <c r="I215" s="786"/>
    </row>
    <row r="216" spans="2:33" s="235" customFormat="1" ht="18" customHeight="1">
      <c r="B216" s="282"/>
      <c r="C216" s="282"/>
      <c r="D216" s="282"/>
      <c r="E216" s="282"/>
      <c r="F216" s="282"/>
      <c r="I216" s="786"/>
    </row>
    <row r="217" spans="2:33" s="861" customFormat="1" ht="18" customHeight="1">
      <c r="I217" s="786"/>
    </row>
    <row r="218" spans="2:33" s="861" customFormat="1" ht="18" customHeight="1">
      <c r="I218" s="786"/>
    </row>
    <row r="219" spans="2:33" s="861" customFormat="1" ht="18" customHeight="1">
      <c r="I219" s="786"/>
    </row>
    <row r="220" spans="2:33" s="861" customFormat="1" ht="18" customHeight="1">
      <c r="I220" s="786"/>
    </row>
    <row r="221" spans="2:33" s="861" customFormat="1" ht="18" customHeight="1">
      <c r="I221" s="786"/>
    </row>
    <row r="222" spans="2:33" s="861" customFormat="1" ht="18" customHeight="1">
      <c r="I222" s="786"/>
    </row>
    <row r="223" spans="2:33" s="861" customFormat="1" ht="18" customHeight="1">
      <c r="I223" s="786"/>
    </row>
    <row r="224" spans="2:33" s="861" customFormat="1" ht="18" customHeight="1">
      <c r="I224" s="786"/>
    </row>
    <row r="225" spans="9:9" s="861" customFormat="1" ht="18" customHeight="1">
      <c r="I225" s="786"/>
    </row>
    <row r="226" spans="9:9" s="861" customFormat="1" ht="18" customHeight="1">
      <c r="I226" s="786"/>
    </row>
    <row r="227" spans="9:9" s="861" customFormat="1" ht="18" customHeight="1">
      <c r="I227" s="786"/>
    </row>
    <row r="228" spans="9:9" s="861" customFormat="1" ht="18" customHeight="1">
      <c r="I228" s="786"/>
    </row>
    <row r="229" spans="9:9" s="861" customFormat="1" ht="18" customHeight="1">
      <c r="I229" s="786"/>
    </row>
    <row r="230" spans="9:9" s="861" customFormat="1" ht="18" customHeight="1">
      <c r="I230" s="786"/>
    </row>
    <row r="231" spans="9:9" s="861" customFormat="1" ht="18" customHeight="1">
      <c r="I231" s="786"/>
    </row>
    <row r="232" spans="9:9" s="861" customFormat="1" ht="18" customHeight="1">
      <c r="I232" s="786"/>
    </row>
    <row r="233" spans="9:9" s="861" customFormat="1" ht="18" customHeight="1">
      <c r="I233" s="786"/>
    </row>
    <row r="234" spans="9:9" s="861" customFormat="1" ht="18" customHeight="1">
      <c r="I234" s="786"/>
    </row>
    <row r="235" spans="9:9" s="861" customFormat="1" ht="18" customHeight="1">
      <c r="I235" s="786"/>
    </row>
    <row r="236" spans="9:9" s="861" customFormat="1" ht="18" customHeight="1">
      <c r="I236" s="786"/>
    </row>
    <row r="237" spans="9:9" s="861" customFormat="1" ht="18" customHeight="1">
      <c r="I237" s="786"/>
    </row>
    <row r="238" spans="9:9" s="861" customFormat="1" ht="18" customHeight="1">
      <c r="I238" s="786"/>
    </row>
    <row r="239" spans="9:9" s="861" customFormat="1" ht="18" customHeight="1">
      <c r="I239" s="786"/>
    </row>
    <row r="240" spans="9:9" s="861" customFormat="1" ht="18" customHeight="1">
      <c r="I240" s="786"/>
    </row>
    <row r="241" spans="2:9" s="861" customFormat="1" ht="18" customHeight="1">
      <c r="I241" s="786"/>
    </row>
    <row r="242" spans="2:9" s="861" customFormat="1" ht="18" customHeight="1">
      <c r="I242" s="786"/>
    </row>
    <row r="243" spans="2:9" s="861" customFormat="1" ht="18" customHeight="1">
      <c r="I243" s="786"/>
    </row>
    <row r="244" spans="2:9" s="861" customFormat="1" ht="18" customHeight="1">
      <c r="I244" s="786"/>
    </row>
    <row r="245" spans="2:9" s="235" customFormat="1" ht="18" customHeight="1">
      <c r="B245" s="282"/>
      <c r="C245" s="282"/>
      <c r="D245" s="282"/>
      <c r="E245" s="282"/>
      <c r="F245" s="282"/>
      <c r="I245" s="786"/>
    </row>
    <row r="246" spans="2:9" s="235" customFormat="1" ht="18" customHeight="1">
      <c r="B246" s="282"/>
      <c r="C246" s="282"/>
      <c r="D246" s="282"/>
      <c r="E246" s="282"/>
      <c r="F246" s="282"/>
      <c r="I246" s="786"/>
    </row>
    <row r="247" spans="2:9" s="235" customFormat="1" ht="18" customHeight="1">
      <c r="B247" s="282"/>
      <c r="C247" s="282"/>
      <c r="D247" s="282"/>
      <c r="E247" s="282"/>
      <c r="F247" s="282"/>
    </row>
    <row r="248" spans="2:9" s="235" customFormat="1" ht="18" customHeight="1">
      <c r="B248" s="282"/>
      <c r="C248" s="282"/>
      <c r="D248" s="282"/>
      <c r="E248" s="282"/>
      <c r="F248" s="282"/>
    </row>
    <row r="249" spans="2:9" s="235" customFormat="1" ht="18" customHeight="1">
      <c r="B249" s="282"/>
      <c r="C249" s="282"/>
      <c r="D249" s="282"/>
      <c r="E249" s="282"/>
      <c r="F249" s="282"/>
    </row>
    <row r="250" spans="2:9" s="235" customFormat="1" ht="18" customHeight="1">
      <c r="B250" s="282"/>
      <c r="C250" s="282"/>
      <c r="D250" s="282"/>
      <c r="E250" s="282"/>
      <c r="F250" s="282"/>
    </row>
    <row r="251" spans="2:9" s="235" customFormat="1" ht="18" customHeight="1">
      <c r="B251" s="282"/>
      <c r="C251" s="282"/>
      <c r="D251" s="282"/>
      <c r="E251" s="282"/>
      <c r="F251" s="282"/>
    </row>
    <row r="252" spans="2:9" s="235" customFormat="1" ht="18" customHeight="1"/>
    <row r="253" spans="2:9" s="235" customFormat="1" ht="18" customHeight="1"/>
    <row r="254" spans="2:9" s="235" customFormat="1" ht="18" customHeight="1"/>
    <row r="255" spans="2:9" s="235" customFormat="1" ht="18" customHeight="1"/>
    <row r="256" spans="2:9" s="235" customFormat="1" ht="18" customHeight="1"/>
    <row r="257" s="235" customFormat="1"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sheetData>
  <sheetProtection password="F66A" sheet="1"/>
  <conditionalFormatting sqref="J148:AG148">
    <cfRule type="cellIs" dxfId="59" priority="55" stopIfTrue="1" operator="equal">
      <formula>1</formula>
    </cfRule>
  </conditionalFormatting>
  <conditionalFormatting sqref="H182">
    <cfRule type="cellIs" dxfId="58" priority="51" operator="notEqual">
      <formula>0</formula>
    </cfRule>
  </conditionalFormatting>
  <conditionalFormatting sqref="H183">
    <cfRule type="cellIs" dxfId="57" priority="50" operator="notEqual">
      <formula>0</formula>
    </cfRule>
  </conditionalFormatting>
  <conditionalFormatting sqref="H184">
    <cfRule type="cellIs" dxfId="56" priority="49" operator="notEqual">
      <formula>0</formula>
    </cfRule>
  </conditionalFormatting>
  <conditionalFormatting sqref="H185">
    <cfRule type="cellIs" dxfId="55" priority="48" operator="notEqual">
      <formula>0</formula>
    </cfRule>
  </conditionalFormatting>
  <conditionalFormatting sqref="H181">
    <cfRule type="cellIs" dxfId="54" priority="42" operator="notEqual">
      <formula>0</formula>
    </cfRule>
  </conditionalFormatting>
  <conditionalFormatting sqref="D3">
    <cfRule type="cellIs" dxfId="53" priority="30" operator="notEqual">
      <formula>0</formula>
    </cfRule>
  </conditionalFormatting>
  <conditionalFormatting sqref="I194">
    <cfRule type="cellIs" dxfId="52" priority="17" operator="notEqual">
      <formula>0</formula>
    </cfRule>
  </conditionalFormatting>
  <conditionalFormatting sqref="I195">
    <cfRule type="cellIs" dxfId="51" priority="16" operator="notEqual">
      <formula>0</formula>
    </cfRule>
  </conditionalFormatting>
  <conditionalFormatting sqref="I148">
    <cfRule type="cellIs" dxfId="50" priority="15" operator="notEqual">
      <formula>0</formula>
    </cfRule>
  </conditionalFormatting>
  <conditionalFormatting sqref="D181:D185">
    <cfRule type="cellIs" dxfId="49" priority="9" operator="notEqual">
      <formula>0</formula>
    </cfRule>
  </conditionalFormatting>
  <conditionalFormatting sqref="I193">
    <cfRule type="cellIs" dxfId="48" priority="8" operator="notEqual">
      <formula>0</formula>
    </cfRule>
  </conditionalFormatting>
  <conditionalFormatting sqref="G202">
    <cfRule type="expression" dxfId="47" priority="7" stopIfTrue="1">
      <formula>$G$200=0</formula>
    </cfRule>
  </conditionalFormatting>
  <conditionalFormatting sqref="G203">
    <cfRule type="expression" dxfId="46" priority="6" stopIfTrue="1">
      <formula>$G$200=0</formula>
    </cfRule>
  </conditionalFormatting>
  <conditionalFormatting sqref="K6:L6 R6:AG6">
    <cfRule type="cellIs" dxfId="45" priority="5" stopIfTrue="1" operator="equal">
      <formula>1</formula>
    </cfRule>
  </conditionalFormatting>
  <conditionalFormatting sqref="J4 K4:AG5">
    <cfRule type="expression" dxfId="44" priority="4" stopIfTrue="1">
      <formula>J$6=1</formula>
    </cfRule>
  </conditionalFormatting>
  <conditionalFormatting sqref="M6:Q6">
    <cfRule type="cellIs" dxfId="43" priority="3" stopIfTrue="1" operator="equal">
      <formula>1</formula>
    </cfRule>
  </conditionalFormatting>
  <conditionalFormatting sqref="J5">
    <cfRule type="expression" dxfId="42" priority="2" stopIfTrue="1">
      <formula>J$6=1</formula>
    </cfRule>
  </conditionalFormatting>
  <conditionalFormatting sqref="J6:AG6">
    <cfRule type="cellIs" dxfId="41" priority="1" stopIfTrue="1" operator="equal">
      <formula>1</formula>
    </cfRule>
  </conditionalFormatting>
  <dataValidations disablePrompts="1" count="1">
    <dataValidation type="decimal" allowBlank="1" showInputMessage="1" showErrorMessage="1" errorTitle="Error" error="Maximum = 100%" sqref="G203">
      <formula1>0</formula1>
      <formula2>1</formula2>
    </dataValidation>
  </dataValidations>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M58"/>
  <sheetViews>
    <sheetView showGridLines="0" showRowColHeaders="0" zoomScale="70" zoomScaleNormal="70" workbookViewId="0"/>
  </sheetViews>
  <sheetFormatPr baseColWidth="10" defaultColWidth="0" defaultRowHeight="12.75" customHeight="1" zeroHeight="1"/>
  <cols>
    <col min="1" max="1" width="4.5703125" style="878" customWidth="1"/>
    <col min="2" max="2" width="64.28515625" style="878" customWidth="1"/>
    <col min="3" max="3" width="8.7109375" style="878" customWidth="1"/>
    <col min="4" max="4" width="64.28515625" style="878" customWidth="1"/>
    <col min="5" max="5" width="8.7109375" style="878" customWidth="1"/>
    <col min="6" max="6" width="64.28515625" style="878" customWidth="1"/>
    <col min="7" max="7" width="4.5703125" style="878" customWidth="1"/>
    <col min="8" max="13" width="0" style="878" hidden="1" customWidth="1"/>
    <col min="14" max="16384" width="11.42578125" style="878" hidden="1"/>
  </cols>
  <sheetData>
    <row r="1" spans="1:7" ht="15.75" customHeight="1">
      <c r="A1" s="1105"/>
      <c r="B1" s="1105"/>
      <c r="C1" s="1105"/>
      <c r="D1" s="1105"/>
      <c r="E1" s="1105"/>
      <c r="F1" s="1105"/>
      <c r="G1" s="1105"/>
    </row>
    <row r="2" spans="1:7">
      <c r="A2" s="1105"/>
      <c r="B2" s="61"/>
      <c r="C2" s="61"/>
      <c r="D2" s="61"/>
      <c r="E2" s="61"/>
      <c r="F2" s="61"/>
      <c r="G2" s="1106"/>
    </row>
    <row r="3" spans="1:7">
      <c r="A3" s="1105"/>
      <c r="B3" s="61"/>
      <c r="G3" s="1106"/>
    </row>
    <row r="4" spans="1:7">
      <c r="A4" s="1105"/>
      <c r="B4" s="61"/>
      <c r="G4" s="1106"/>
    </row>
    <row r="5" spans="1:7">
      <c r="A5" s="1105"/>
      <c r="B5" s="61"/>
      <c r="G5" s="1106"/>
    </row>
    <row r="6" spans="1:7">
      <c r="A6" s="1105"/>
      <c r="B6" s="61"/>
      <c r="G6" s="1106"/>
    </row>
    <row r="7" spans="1:7" ht="26.25">
      <c r="A7" s="1105"/>
      <c r="B7" s="1107" t="s">
        <v>936</v>
      </c>
      <c r="C7" s="1108"/>
      <c r="D7" s="1108"/>
      <c r="G7" s="1106"/>
    </row>
    <row r="8" spans="1:7" ht="18">
      <c r="A8" s="1105"/>
      <c r="B8" s="61"/>
      <c r="C8" s="1108"/>
      <c r="D8"/>
      <c r="G8" s="1106"/>
    </row>
    <row r="9" spans="1:7" ht="26.25">
      <c r="A9" s="1105"/>
      <c r="B9" s="1109" t="s">
        <v>1077</v>
      </c>
      <c r="C9" s="1108"/>
      <c r="D9" s="1108"/>
      <c r="G9" s="1106"/>
    </row>
    <row r="10" spans="1:7" ht="26.25">
      <c r="A10" s="1105"/>
      <c r="B10" s="1109" t="s">
        <v>1078</v>
      </c>
      <c r="C10" s="1108"/>
      <c r="D10" s="1108"/>
      <c r="G10" s="1106"/>
    </row>
    <row r="11" spans="1:7" ht="26.25">
      <c r="A11" s="1105"/>
      <c r="B11" s="1109" t="s">
        <v>1079</v>
      </c>
      <c r="C11" s="1108"/>
      <c r="D11" s="1108"/>
      <c r="G11" s="1106"/>
    </row>
    <row r="12" spans="1:7" ht="18">
      <c r="A12" s="1105"/>
      <c r="B12" s="61"/>
      <c r="C12" s="1108"/>
      <c r="D12" s="1108"/>
      <c r="G12" s="1106"/>
    </row>
    <row r="13" spans="1:7" ht="18">
      <c r="A13" s="1105"/>
      <c r="B13" s="61"/>
      <c r="C13" s="1108"/>
      <c r="D13" s="1108"/>
      <c r="G13" s="1106"/>
    </row>
    <row r="14" spans="1:7" ht="18">
      <c r="A14" s="1105"/>
      <c r="B14" s="61"/>
      <c r="C14" s="1108"/>
      <c r="D14" s="1108"/>
      <c r="G14" s="1106"/>
    </row>
    <row r="15" spans="1:7" ht="18">
      <c r="A15" s="1105"/>
      <c r="B15" s="61"/>
      <c r="C15" s="1108"/>
      <c r="D15" s="1108"/>
      <c r="G15" s="1106"/>
    </row>
    <row r="16" spans="1:7" ht="18">
      <c r="A16" s="1105"/>
      <c r="B16" s="61"/>
      <c r="C16" s="1108"/>
      <c r="D16" s="1108"/>
      <c r="G16" s="1106"/>
    </row>
    <row r="17" spans="1:7" ht="18">
      <c r="A17" s="1105"/>
      <c r="B17" s="61"/>
      <c r="C17" s="1108"/>
      <c r="D17" s="1108"/>
      <c r="G17" s="1106"/>
    </row>
    <row r="18" spans="1:7" ht="18">
      <c r="A18" s="1105"/>
      <c r="B18" s="61"/>
      <c r="C18" s="1108"/>
      <c r="D18" s="1108"/>
      <c r="G18" s="1106"/>
    </row>
    <row r="19" spans="1:7" ht="18">
      <c r="A19" s="1105"/>
      <c r="B19" s="61"/>
      <c r="C19" s="1108"/>
      <c r="D19" s="1108"/>
      <c r="G19" s="1106"/>
    </row>
    <row r="20" spans="1:7" ht="11.25" customHeight="1">
      <c r="A20" s="1105"/>
      <c r="B20" s="1105"/>
      <c r="C20" s="1105"/>
      <c r="D20" s="1105"/>
      <c r="E20" s="1105"/>
      <c r="F20" s="1105"/>
      <c r="G20" s="1105"/>
    </row>
    <row r="21" spans="1:7" ht="11.25" customHeight="1">
      <c r="A21" s="1105"/>
      <c r="B21" s="1105"/>
      <c r="C21" s="1105"/>
      <c r="D21" s="1105"/>
      <c r="E21" s="1105"/>
      <c r="F21" s="1105"/>
      <c r="G21" s="1105"/>
    </row>
    <row r="22" spans="1:7" ht="11.25" customHeight="1" thickBot="1">
      <c r="A22" s="1105"/>
      <c r="B22" s="1105"/>
      <c r="C22" s="1105"/>
      <c r="D22" s="1105"/>
      <c r="E22" s="1105"/>
      <c r="F22" s="1105"/>
      <c r="G22" s="1105"/>
    </row>
    <row r="23" spans="1:7" ht="45" customHeight="1" thickTop="1" thickBot="1">
      <c r="A23" s="1105"/>
      <c r="B23" s="1110" t="s">
        <v>1117</v>
      </c>
      <c r="C23" s="1111"/>
      <c r="D23" s="1111"/>
      <c r="E23" s="1111"/>
      <c r="F23" s="1112"/>
      <c r="G23" s="1106"/>
    </row>
    <row r="24" spans="1:7" ht="14.25" thickTop="1" thickBot="1">
      <c r="A24" s="1105"/>
      <c r="B24" s="1105"/>
      <c r="C24" s="1105"/>
      <c r="D24" s="1105"/>
      <c r="E24" s="1105"/>
      <c r="F24" s="1105"/>
      <c r="G24" s="1105"/>
    </row>
    <row r="25" spans="1:7" ht="45" customHeight="1" thickTop="1">
      <c r="A25" s="1105"/>
      <c r="B25" s="1113" t="s">
        <v>1080</v>
      </c>
      <c r="C25" s="1114"/>
      <c r="D25" s="1115" t="s">
        <v>1081</v>
      </c>
      <c r="E25" s="1116"/>
      <c r="F25" s="1117" t="s">
        <v>1082</v>
      </c>
      <c r="G25" s="1106"/>
    </row>
    <row r="26" spans="1:7" ht="45" customHeight="1">
      <c r="A26" s="1105"/>
      <c r="B26" s="1118" t="s">
        <v>1083</v>
      </c>
      <c r="C26" s="1119"/>
      <c r="D26" s="1120" t="s">
        <v>1084</v>
      </c>
      <c r="E26" s="1121"/>
      <c r="F26" s="1122" t="s">
        <v>1085</v>
      </c>
      <c r="G26" s="1106"/>
    </row>
    <row r="27" spans="1:7" ht="45" customHeight="1">
      <c r="A27" s="1105"/>
      <c r="B27" s="1137" t="s">
        <v>1086</v>
      </c>
      <c r="C27" s="1123"/>
      <c r="D27" s="1124" t="s">
        <v>1087</v>
      </c>
      <c r="E27" s="1125"/>
      <c r="F27" s="1126" t="s">
        <v>1088</v>
      </c>
      <c r="G27" s="1106"/>
    </row>
    <row r="28" spans="1:7" ht="45" customHeight="1">
      <c r="A28" s="1105"/>
      <c r="B28" s="1118" t="s">
        <v>1089</v>
      </c>
      <c r="C28" s="1128"/>
      <c r="D28" s="1120" t="s">
        <v>1090</v>
      </c>
      <c r="E28" s="1129"/>
      <c r="F28" s="1122" t="s">
        <v>1091</v>
      </c>
      <c r="G28" s="1106"/>
    </row>
    <row r="29" spans="1:7" ht="45" customHeight="1">
      <c r="A29" s="1105"/>
      <c r="B29" s="1118" t="s">
        <v>1120</v>
      </c>
      <c r="C29" s="1128"/>
      <c r="D29" s="1120" t="s">
        <v>1118</v>
      </c>
      <c r="E29" s="1129"/>
      <c r="F29" s="1122" t="s">
        <v>1119</v>
      </c>
      <c r="G29" s="1106"/>
    </row>
    <row r="30" spans="1:7" ht="45" customHeight="1">
      <c r="A30" s="1105"/>
      <c r="B30" s="1137" t="s">
        <v>1092</v>
      </c>
      <c r="C30" s="1123"/>
      <c r="D30" s="1124" t="s">
        <v>1093</v>
      </c>
      <c r="E30" s="1125"/>
      <c r="F30" s="1126" t="s">
        <v>1094</v>
      </c>
      <c r="G30" s="1106"/>
    </row>
    <row r="31" spans="1:7" ht="45" customHeight="1">
      <c r="A31" s="1105"/>
      <c r="B31" s="1118" t="s">
        <v>1095</v>
      </c>
      <c r="C31" s="1128"/>
      <c r="D31" s="1120" t="s">
        <v>1096</v>
      </c>
      <c r="E31" s="1129"/>
      <c r="F31" s="1122" t="s">
        <v>1097</v>
      </c>
      <c r="G31" s="1106"/>
    </row>
    <row r="32" spans="1:7" ht="45" customHeight="1">
      <c r="A32" s="1105"/>
      <c r="B32" s="1137" t="s">
        <v>1098</v>
      </c>
      <c r="C32" s="1123"/>
      <c r="D32" s="1124" t="s">
        <v>1099</v>
      </c>
      <c r="E32" s="1125"/>
      <c r="F32" s="1126" t="s">
        <v>1100</v>
      </c>
      <c r="G32" s="1106"/>
    </row>
    <row r="33" spans="1:7" ht="18.75" customHeight="1" thickBot="1">
      <c r="A33" s="1105"/>
      <c r="B33" s="1127"/>
      <c r="C33" s="1128"/>
      <c r="D33" s="1130"/>
      <c r="E33" s="1129"/>
      <c r="F33" s="1131"/>
      <c r="G33" s="1106"/>
    </row>
    <row r="34" spans="1:7" ht="45" customHeight="1" thickTop="1">
      <c r="A34" s="1105"/>
      <c r="B34" s="1132" t="s">
        <v>1101</v>
      </c>
      <c r="C34" s="1133"/>
      <c r="D34" s="1134" t="str">
        <f>$D$25</f>
        <v>Free Trial Version</v>
      </c>
      <c r="E34" s="1135"/>
      <c r="F34" s="1136" t="str">
        <f>$F$25</f>
        <v>Full Commercial Version</v>
      </c>
      <c r="G34" s="1106"/>
    </row>
    <row r="35" spans="1:7" ht="45" customHeight="1">
      <c r="A35" s="1105"/>
      <c r="B35" s="1118" t="s">
        <v>1102</v>
      </c>
      <c r="C35" s="1119"/>
      <c r="D35" s="1120" t="s">
        <v>1103</v>
      </c>
      <c r="E35" s="1121"/>
      <c r="F35" s="1122" t="s">
        <v>1104</v>
      </c>
      <c r="G35" s="1106"/>
    </row>
    <row r="36" spans="1:7" ht="54" customHeight="1">
      <c r="A36" s="1105"/>
      <c r="B36" s="1137" t="s">
        <v>1105</v>
      </c>
      <c r="C36" s="1123"/>
      <c r="D36" s="1124" t="s">
        <v>1106</v>
      </c>
      <c r="E36" s="1125"/>
      <c r="F36" s="1126" t="s">
        <v>1107</v>
      </c>
      <c r="G36" s="1106"/>
    </row>
    <row r="37" spans="1:7" ht="61.5" customHeight="1">
      <c r="A37" s="1105"/>
      <c r="B37" s="1118" t="s">
        <v>1108</v>
      </c>
      <c r="C37" s="1119"/>
      <c r="D37" s="1120" t="s">
        <v>1106</v>
      </c>
      <c r="E37" s="1121"/>
      <c r="F37" s="1122" t="s">
        <v>1109</v>
      </c>
      <c r="G37" s="1106"/>
    </row>
    <row r="38" spans="1:7" ht="18.75" customHeight="1" thickBot="1">
      <c r="A38" s="1105"/>
      <c r="B38" s="1138"/>
      <c r="C38" s="1139"/>
      <c r="D38" s="1140"/>
      <c r="E38" s="1141"/>
      <c r="F38" s="1142"/>
      <c r="G38" s="1106"/>
    </row>
    <row r="39" spans="1:7" ht="45" customHeight="1" thickTop="1">
      <c r="A39" s="1105"/>
      <c r="B39" s="1132" t="s">
        <v>1110</v>
      </c>
      <c r="C39" s="1133"/>
      <c r="D39" s="1134" t="str">
        <f>$D$25</f>
        <v>Free Trial Version</v>
      </c>
      <c r="E39" s="1135"/>
      <c r="F39" s="1136" t="str">
        <f>$F$25</f>
        <v>Full Commercial Version</v>
      </c>
      <c r="G39" s="1106"/>
    </row>
    <row r="40" spans="1:7" ht="45" customHeight="1">
      <c r="A40" s="1105"/>
      <c r="B40" s="1118" t="s">
        <v>1111</v>
      </c>
      <c r="C40" s="1119"/>
      <c r="D40" s="1120" t="s">
        <v>1112</v>
      </c>
      <c r="E40" s="1121"/>
      <c r="F40" s="1122" t="s">
        <v>1113</v>
      </c>
      <c r="G40" s="1106"/>
    </row>
    <row r="41" spans="1:7" ht="45" customHeight="1" thickBot="1">
      <c r="A41" s="1105"/>
      <c r="B41" s="1143" t="s">
        <v>1114</v>
      </c>
      <c r="C41" s="1144"/>
      <c r="D41" s="1145" t="s">
        <v>1115</v>
      </c>
      <c r="E41" s="1146"/>
      <c r="F41" s="1147" t="s">
        <v>1116</v>
      </c>
      <c r="G41" s="1106"/>
    </row>
    <row r="42" spans="1:7" ht="26.25" thickTop="1">
      <c r="A42" s="1105"/>
      <c r="B42" s="1148"/>
      <c r="C42" s="1149"/>
      <c r="D42" s="1148"/>
      <c r="E42" s="1150"/>
      <c r="F42" s="1148"/>
      <c r="G42" s="1106"/>
    </row>
    <row r="43" spans="1:7" ht="25.5">
      <c r="A43" s="1105"/>
      <c r="B43" s="1148"/>
      <c r="C43" s="1149"/>
      <c r="D43" s="1148"/>
      <c r="E43" s="1150"/>
      <c r="F43" s="1148"/>
      <c r="G43" s="1106"/>
    </row>
    <row r="44" spans="1:7" ht="25.5" hidden="1">
      <c r="A44" s="1105"/>
      <c r="B44" s="1148"/>
      <c r="C44" s="1149"/>
      <c r="D44" s="1148"/>
      <c r="E44" s="1150"/>
      <c r="F44" s="1148"/>
      <c r="G44" s="1106"/>
    </row>
    <row r="45" spans="1:7" ht="25.5" hidden="1">
      <c r="A45" s="1105"/>
      <c r="B45" s="1148"/>
      <c r="C45" s="1149"/>
      <c r="D45" s="1148"/>
      <c r="E45" s="1150"/>
      <c r="F45" s="1148"/>
      <c r="G45" s="1106"/>
    </row>
    <row r="46" spans="1:7" ht="25.5" hidden="1">
      <c r="A46" s="1105"/>
      <c r="B46" s="1148"/>
      <c r="C46" s="1149"/>
      <c r="D46" s="1148"/>
      <c r="E46" s="1150"/>
      <c r="F46" s="1148"/>
      <c r="G46" s="1106"/>
    </row>
    <row r="47" spans="1:7" ht="25.5" hidden="1">
      <c r="A47" s="1105"/>
      <c r="B47" s="1148"/>
      <c r="C47" s="1149"/>
      <c r="D47" s="1148"/>
      <c r="E47" s="1150"/>
      <c r="F47" s="1148"/>
      <c r="G47" s="1106"/>
    </row>
    <row r="48" spans="1:7" ht="25.5" hidden="1">
      <c r="A48" s="1105"/>
      <c r="B48" s="1148"/>
      <c r="C48" s="1149"/>
      <c r="D48" s="1148"/>
      <c r="E48" s="1150"/>
      <c r="F48" s="1148"/>
      <c r="G48" s="1106"/>
    </row>
    <row r="49" spans="1:7" ht="25.5" hidden="1">
      <c r="A49" s="1105"/>
      <c r="B49" s="1148"/>
      <c r="C49" s="1149"/>
      <c r="D49" s="1148"/>
      <c r="E49" s="1150"/>
      <c r="F49" s="1148"/>
      <c r="G49" s="1106"/>
    </row>
    <row r="50" spans="1:7" ht="25.5" hidden="1">
      <c r="A50" s="1105"/>
      <c r="B50" s="1148"/>
      <c r="C50" s="1149"/>
      <c r="D50" s="1148"/>
      <c r="E50" s="1150"/>
      <c r="F50" s="1148"/>
      <c r="G50" s="1106"/>
    </row>
    <row r="51" spans="1:7" ht="25.5" hidden="1">
      <c r="A51" s="1105"/>
      <c r="B51" s="1148"/>
      <c r="C51" s="1149"/>
      <c r="D51" s="1148"/>
      <c r="E51" s="1150"/>
      <c r="F51" s="1148"/>
      <c r="G51" s="1106"/>
    </row>
    <row r="52" spans="1:7" ht="25.5" hidden="1">
      <c r="A52" s="1105"/>
      <c r="B52" s="1148"/>
      <c r="C52" s="1149"/>
      <c r="D52" s="1148"/>
      <c r="E52" s="1150"/>
      <c r="F52" s="1148"/>
      <c r="G52" s="1106"/>
    </row>
    <row r="53" spans="1:7" ht="25.5" hidden="1">
      <c r="A53" s="1105"/>
      <c r="B53" s="1148"/>
      <c r="C53" s="1149"/>
      <c r="D53" s="1148"/>
      <c r="E53" s="1150"/>
      <c r="F53" s="1148"/>
      <c r="G53" s="1106"/>
    </row>
    <row r="54" spans="1:7" ht="25.5" hidden="1">
      <c r="A54" s="1105"/>
      <c r="B54" s="1148"/>
      <c r="C54" s="1149"/>
      <c r="D54" s="1148"/>
      <c r="E54" s="1150"/>
      <c r="F54" s="1148"/>
      <c r="G54" s="1106"/>
    </row>
    <row r="55" spans="1:7" ht="25.5" hidden="1">
      <c r="A55" s="1105"/>
      <c r="B55" s="1148"/>
      <c r="C55" s="1149"/>
      <c r="D55" s="1148"/>
      <c r="E55" s="1150"/>
      <c r="F55" s="1148"/>
      <c r="G55" s="1106"/>
    </row>
    <row r="56" spans="1:7" ht="25.5" hidden="1">
      <c r="A56" s="1105"/>
      <c r="B56" s="1148"/>
      <c r="C56" s="1149"/>
      <c r="D56" s="1148"/>
      <c r="E56" s="1150"/>
      <c r="F56" s="1148"/>
      <c r="G56" s="1106"/>
    </row>
    <row r="57" spans="1:7" hidden="1">
      <c r="A57" s="1105"/>
      <c r="B57" s="1106"/>
      <c r="C57" s="1151"/>
      <c r="D57" s="1106"/>
      <c r="E57" s="1151"/>
      <c r="F57" s="1106"/>
      <c r="G57" s="1106"/>
    </row>
    <row r="58" spans="1:7" hidden="1">
      <c r="A58" s="1105"/>
      <c r="B58" s="1105"/>
      <c r="C58" s="1105"/>
      <c r="D58" s="1105"/>
      <c r="E58" s="1105"/>
      <c r="F58" s="1105"/>
      <c r="G58" s="1105"/>
    </row>
  </sheetData>
  <sheetProtection password="F66A" sheet="1"/>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C_Steuern">
    <tabColor theme="1"/>
    <pageSetUpPr autoPageBreaks="0"/>
  </sheetPr>
  <dimension ref="A1:NE190"/>
  <sheetViews>
    <sheetView showGridLines="0" zoomScaleNormal="100" workbookViewId="0">
      <pane xSplit="9" ySplit="6" topLeftCell="J7" activePane="bottomRight" state="frozenSplit"/>
      <selection activeCell="C20" sqref="C20"/>
      <selection pane="topRight" activeCell="C20" sqref="C20"/>
      <selection pane="bottomLeft" activeCell="C20" sqref="C20"/>
      <selection pane="bottomRight" activeCell="J7" sqref="J7"/>
    </sheetView>
  </sheetViews>
  <sheetFormatPr baseColWidth="10" defaultColWidth="0" defaultRowHeight="12.75" outlineLevelRow="2"/>
  <cols>
    <col min="1" max="1" width="3.85546875" style="77" customWidth="1"/>
    <col min="2" max="2" width="5.7109375" style="77" customWidth="1"/>
    <col min="3" max="3" width="58" style="77" customWidth="1"/>
    <col min="4" max="4" width="13" style="77" customWidth="1"/>
    <col min="5" max="5" width="15.5703125" style="77" customWidth="1"/>
    <col min="6" max="6" width="10.7109375" style="77" customWidth="1"/>
    <col min="7" max="7" width="12.85546875" style="77" customWidth="1"/>
    <col min="8" max="8" width="9.85546875" style="77" customWidth="1"/>
    <col min="9" max="9" width="13.85546875" style="77" customWidth="1"/>
    <col min="10" max="10" width="11.42578125" style="77" customWidth="1"/>
    <col min="11" max="11" width="12.140625" style="77" customWidth="1"/>
    <col min="12" max="33" width="11.42578125" style="77" customWidth="1"/>
    <col min="34" max="369" width="0" style="77" hidden="1" customWidth="1"/>
    <col min="370" max="16384" width="11.42578125" style="77" hidden="1"/>
  </cols>
  <sheetData>
    <row r="1" spans="1:33" ht="20.25">
      <c r="A1" s="41" t="str">
        <f>CHOOSE(language,"Debtors &amp; Creditors (Working Capital)","Receivables &amp; Payables (Working Capital)")</f>
        <v>Receivables &amp; Payables (Working Capital)</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75" customHeight="1">
      <c r="A2" s="127"/>
      <c r="B2" s="127"/>
      <c r="C2" s="268" t="str">
        <f>Timing!C2</f>
        <v>Model: Fictitious 5 Year Forecast</v>
      </c>
      <c r="D2" s="268"/>
      <c r="E2" s="429" t="s">
        <v>148</v>
      </c>
      <c r="F2" s="127"/>
      <c r="G2" s="127"/>
      <c r="H2" s="235"/>
      <c r="I2" s="235"/>
      <c r="J2" s="326"/>
      <c r="K2" s="235"/>
      <c r="L2" s="235"/>
      <c r="M2" s="235"/>
      <c r="N2" s="235"/>
      <c r="O2" s="235"/>
      <c r="P2" s="235"/>
      <c r="Q2" s="235"/>
      <c r="R2" s="235"/>
      <c r="S2" s="235"/>
      <c r="T2" s="235"/>
      <c r="U2" s="235"/>
      <c r="V2" s="235"/>
      <c r="W2" s="235"/>
      <c r="X2" s="235"/>
      <c r="Y2" s="235"/>
      <c r="Z2" s="235"/>
      <c r="AA2" s="235"/>
      <c r="AB2" s="235"/>
      <c r="AC2" s="235"/>
      <c r="AD2" s="235"/>
      <c r="AE2" s="235"/>
      <c r="AF2" s="235"/>
      <c r="AG2" s="235"/>
    </row>
    <row r="3" spans="1:33" ht="15.75" customHeight="1">
      <c r="A3" s="127"/>
      <c r="B3" s="127"/>
      <c r="C3" s="268" t="str">
        <f>Timing!C3</f>
        <v>Model Integrity:</v>
      </c>
      <c r="D3" s="668">
        <f ca="1">Timing!D3</f>
        <v>0</v>
      </c>
      <c r="E3" s="429" t="s">
        <v>149</v>
      </c>
      <c r="F3" s="127"/>
      <c r="G3" s="280"/>
      <c r="H3" s="280"/>
      <c r="I3" s="277"/>
      <c r="J3" s="281"/>
      <c r="K3" s="235"/>
      <c r="L3" s="281"/>
      <c r="M3" s="235"/>
      <c r="N3" s="281"/>
      <c r="O3" s="235"/>
      <c r="P3" s="281"/>
      <c r="Q3" s="235"/>
      <c r="R3" s="281"/>
      <c r="S3" s="235"/>
      <c r="T3" s="281"/>
      <c r="U3" s="235"/>
      <c r="V3" s="281"/>
      <c r="W3" s="235"/>
      <c r="X3" s="281"/>
      <c r="Y3" s="235"/>
      <c r="Z3" s="281"/>
      <c r="AA3" s="235"/>
      <c r="AB3" s="281"/>
      <c r="AC3" s="235"/>
      <c r="AD3" s="281"/>
      <c r="AE3" s="235"/>
      <c r="AF3" s="281"/>
      <c r="AG3" s="235"/>
    </row>
    <row r="4" spans="1:33" ht="15" customHeight="1">
      <c r="A4" s="127"/>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s="116" customFormat="1" ht="15" customHeight="1">
      <c r="A7" s="861"/>
      <c r="B7" s="235"/>
      <c r="C7" s="327" t="str">
        <f>Timing!C17</f>
        <v>Month of model</v>
      </c>
      <c r="D7" s="328" t="str">
        <f>Timing!D17</f>
        <v>#</v>
      </c>
      <c r="E7" s="327"/>
      <c r="F7" s="327"/>
      <c r="G7" s="327"/>
      <c r="H7" s="327"/>
      <c r="I7" s="235"/>
      <c r="J7" s="329">
        <f>Timing!J17</f>
        <v>1</v>
      </c>
      <c r="K7" s="329">
        <f>Timing!K17</f>
        <v>2</v>
      </c>
      <c r="L7" s="329">
        <f>Timing!L17</f>
        <v>3</v>
      </c>
      <c r="M7" s="329">
        <f>Timing!M17</f>
        <v>4</v>
      </c>
      <c r="N7" s="329">
        <f>Timing!N17</f>
        <v>5</v>
      </c>
      <c r="O7" s="329">
        <f>Timing!O17</f>
        <v>6</v>
      </c>
      <c r="P7" s="329">
        <f>Timing!P17</f>
        <v>7</v>
      </c>
      <c r="Q7" s="329">
        <f>Timing!Q17</f>
        <v>8</v>
      </c>
      <c r="R7" s="329">
        <f>Timing!R17</f>
        <v>9</v>
      </c>
      <c r="S7" s="329">
        <f>Timing!S17</f>
        <v>10</v>
      </c>
      <c r="T7" s="329">
        <f>Timing!T17</f>
        <v>11</v>
      </c>
      <c r="U7" s="329">
        <f>Timing!U17</f>
        <v>12</v>
      </c>
      <c r="V7" s="329">
        <f>Timing!V17</f>
        <v>13</v>
      </c>
      <c r="W7" s="329">
        <f>Timing!W17</f>
        <v>14</v>
      </c>
      <c r="X7" s="329">
        <f>Timing!X17</f>
        <v>15</v>
      </c>
      <c r="Y7" s="329">
        <f>Timing!Y17</f>
        <v>16</v>
      </c>
      <c r="Z7" s="329">
        <f>Timing!Z17</f>
        <v>17</v>
      </c>
      <c r="AA7" s="329">
        <f>Timing!AA17</f>
        <v>18</v>
      </c>
      <c r="AB7" s="329">
        <f>Timing!AB17</f>
        <v>19</v>
      </c>
      <c r="AC7" s="329">
        <f>Timing!AC17</f>
        <v>20</v>
      </c>
      <c r="AD7" s="329">
        <f>Timing!AD17</f>
        <v>21</v>
      </c>
      <c r="AE7" s="329">
        <f>Timing!AE17</f>
        <v>22</v>
      </c>
      <c r="AF7" s="329">
        <f>Timing!AF17</f>
        <v>23</v>
      </c>
      <c r="AG7" s="329">
        <f>Timing!AG17</f>
        <v>24</v>
      </c>
    </row>
    <row r="8" spans="1:33" s="632" customFormat="1" ht="15" customHeight="1">
      <c r="A8" s="861"/>
      <c r="B8" s="282"/>
      <c r="C8" s="272" t="s">
        <v>205</v>
      </c>
      <c r="D8" s="328" t="s">
        <v>408</v>
      </c>
      <c r="E8" s="272"/>
      <c r="F8" s="272"/>
      <c r="G8" s="272"/>
      <c r="H8" s="272"/>
      <c r="I8" s="272"/>
      <c r="J8" s="30">
        <f>IF(J$7&gt;1,1,0)</f>
        <v>0</v>
      </c>
      <c r="K8" s="30">
        <f t="shared" ref="K8:AG8" si="0">IF(K$7&gt;1,1,0)</f>
        <v>1</v>
      </c>
      <c r="L8" s="30">
        <f t="shared" si="0"/>
        <v>1</v>
      </c>
      <c r="M8" s="30">
        <f t="shared" si="0"/>
        <v>1</v>
      </c>
      <c r="N8" s="30">
        <f t="shared" si="0"/>
        <v>1</v>
      </c>
      <c r="O8" s="30">
        <f t="shared" si="0"/>
        <v>1</v>
      </c>
      <c r="P8" s="30">
        <f t="shared" si="0"/>
        <v>1</v>
      </c>
      <c r="Q8" s="30">
        <f t="shared" si="0"/>
        <v>1</v>
      </c>
      <c r="R8" s="30">
        <f t="shared" si="0"/>
        <v>1</v>
      </c>
      <c r="S8" s="30">
        <f t="shared" si="0"/>
        <v>1</v>
      </c>
      <c r="T8" s="30">
        <f t="shared" si="0"/>
        <v>1</v>
      </c>
      <c r="U8" s="30">
        <f t="shared" si="0"/>
        <v>1</v>
      </c>
      <c r="V8" s="30">
        <f t="shared" si="0"/>
        <v>1</v>
      </c>
      <c r="W8" s="30">
        <f t="shared" si="0"/>
        <v>1</v>
      </c>
      <c r="X8" s="30">
        <f t="shared" si="0"/>
        <v>1</v>
      </c>
      <c r="Y8" s="30">
        <f t="shared" si="0"/>
        <v>1</v>
      </c>
      <c r="Z8" s="30">
        <f t="shared" si="0"/>
        <v>1</v>
      </c>
      <c r="AA8" s="30">
        <f t="shared" si="0"/>
        <v>1</v>
      </c>
      <c r="AB8" s="30">
        <f t="shared" si="0"/>
        <v>1</v>
      </c>
      <c r="AC8" s="30">
        <f t="shared" si="0"/>
        <v>1</v>
      </c>
      <c r="AD8" s="30">
        <f t="shared" si="0"/>
        <v>1</v>
      </c>
      <c r="AE8" s="30">
        <f t="shared" si="0"/>
        <v>1</v>
      </c>
      <c r="AF8" s="30">
        <f t="shared" si="0"/>
        <v>1</v>
      </c>
      <c r="AG8" s="30">
        <f t="shared" si="0"/>
        <v>1</v>
      </c>
    </row>
    <row r="9" spans="1:33" s="632" customFormat="1" ht="15" customHeight="1">
      <c r="A9" s="861"/>
      <c r="B9" s="282"/>
      <c r="C9" s="272" t="s">
        <v>206</v>
      </c>
      <c r="D9" s="328" t="s">
        <v>408</v>
      </c>
      <c r="E9" s="272"/>
      <c r="F9" s="272"/>
      <c r="G9" s="272"/>
      <c r="H9" s="272"/>
      <c r="I9" s="272"/>
      <c r="J9" s="30">
        <f>IF(J$7&gt;2,1,0)</f>
        <v>0</v>
      </c>
      <c r="K9" s="30">
        <f t="shared" ref="K9:AG9" si="1">IF(K$7&gt;2,1,0)</f>
        <v>0</v>
      </c>
      <c r="L9" s="30">
        <f t="shared" si="1"/>
        <v>1</v>
      </c>
      <c r="M9" s="30">
        <f t="shared" si="1"/>
        <v>1</v>
      </c>
      <c r="N9" s="30">
        <f t="shared" si="1"/>
        <v>1</v>
      </c>
      <c r="O9" s="30">
        <f t="shared" si="1"/>
        <v>1</v>
      </c>
      <c r="P9" s="30">
        <f t="shared" si="1"/>
        <v>1</v>
      </c>
      <c r="Q9" s="30">
        <f t="shared" si="1"/>
        <v>1</v>
      </c>
      <c r="R9" s="30">
        <f t="shared" si="1"/>
        <v>1</v>
      </c>
      <c r="S9" s="30">
        <f t="shared" si="1"/>
        <v>1</v>
      </c>
      <c r="T9" s="30">
        <f t="shared" si="1"/>
        <v>1</v>
      </c>
      <c r="U9" s="30">
        <f t="shared" si="1"/>
        <v>1</v>
      </c>
      <c r="V9" s="30">
        <f t="shared" si="1"/>
        <v>1</v>
      </c>
      <c r="W9" s="30">
        <f t="shared" si="1"/>
        <v>1</v>
      </c>
      <c r="X9" s="30">
        <f t="shared" si="1"/>
        <v>1</v>
      </c>
      <c r="Y9" s="30">
        <f t="shared" si="1"/>
        <v>1</v>
      </c>
      <c r="Z9" s="30">
        <f t="shared" si="1"/>
        <v>1</v>
      </c>
      <c r="AA9" s="30">
        <f t="shared" si="1"/>
        <v>1</v>
      </c>
      <c r="AB9" s="30">
        <f t="shared" si="1"/>
        <v>1</v>
      </c>
      <c r="AC9" s="30">
        <f t="shared" si="1"/>
        <v>1</v>
      </c>
      <c r="AD9" s="30">
        <f t="shared" si="1"/>
        <v>1</v>
      </c>
      <c r="AE9" s="30">
        <f t="shared" si="1"/>
        <v>1</v>
      </c>
      <c r="AF9" s="30">
        <f t="shared" si="1"/>
        <v>1</v>
      </c>
      <c r="AG9" s="30">
        <f t="shared" si="1"/>
        <v>1</v>
      </c>
    </row>
    <row r="10" spans="1:33" s="632" customFormat="1" ht="15" customHeight="1">
      <c r="A10" s="861"/>
      <c r="B10" s="282"/>
      <c r="C10" s="272" t="s">
        <v>207</v>
      </c>
      <c r="D10" s="328" t="s">
        <v>408</v>
      </c>
      <c r="E10" s="272"/>
      <c r="F10" s="272"/>
      <c r="G10" s="272"/>
      <c r="H10" s="272"/>
      <c r="I10" s="272"/>
      <c r="J10" s="30">
        <f>IF(J$7&gt;3,1,0)</f>
        <v>0</v>
      </c>
      <c r="K10" s="30">
        <f t="shared" ref="K10:AG10" si="2">IF(K$7&gt;3,1,0)</f>
        <v>0</v>
      </c>
      <c r="L10" s="30">
        <f t="shared" si="2"/>
        <v>0</v>
      </c>
      <c r="M10" s="30">
        <f t="shared" si="2"/>
        <v>1</v>
      </c>
      <c r="N10" s="30">
        <f t="shared" si="2"/>
        <v>1</v>
      </c>
      <c r="O10" s="30">
        <f t="shared" si="2"/>
        <v>1</v>
      </c>
      <c r="P10" s="30">
        <f t="shared" si="2"/>
        <v>1</v>
      </c>
      <c r="Q10" s="30">
        <f t="shared" si="2"/>
        <v>1</v>
      </c>
      <c r="R10" s="30">
        <f t="shared" si="2"/>
        <v>1</v>
      </c>
      <c r="S10" s="30">
        <f t="shared" si="2"/>
        <v>1</v>
      </c>
      <c r="T10" s="30">
        <f t="shared" si="2"/>
        <v>1</v>
      </c>
      <c r="U10" s="30">
        <f t="shared" si="2"/>
        <v>1</v>
      </c>
      <c r="V10" s="30">
        <f t="shared" si="2"/>
        <v>1</v>
      </c>
      <c r="W10" s="30">
        <f t="shared" si="2"/>
        <v>1</v>
      </c>
      <c r="X10" s="30">
        <f t="shared" si="2"/>
        <v>1</v>
      </c>
      <c r="Y10" s="30">
        <f t="shared" si="2"/>
        <v>1</v>
      </c>
      <c r="Z10" s="30">
        <f t="shared" si="2"/>
        <v>1</v>
      </c>
      <c r="AA10" s="30">
        <f t="shared" si="2"/>
        <v>1</v>
      </c>
      <c r="AB10" s="30">
        <f t="shared" si="2"/>
        <v>1</v>
      </c>
      <c r="AC10" s="30">
        <f t="shared" si="2"/>
        <v>1</v>
      </c>
      <c r="AD10" s="30">
        <f t="shared" si="2"/>
        <v>1</v>
      </c>
      <c r="AE10" s="30">
        <f t="shared" si="2"/>
        <v>1</v>
      </c>
      <c r="AF10" s="30">
        <f t="shared" si="2"/>
        <v>1</v>
      </c>
      <c r="AG10" s="30">
        <f t="shared" si="2"/>
        <v>1</v>
      </c>
    </row>
    <row r="11" spans="1:33" s="199" customFormat="1" ht="7.5" customHeight="1">
      <c r="A11" s="861"/>
      <c r="B11" s="235"/>
      <c r="C11" s="327"/>
      <c r="D11" s="328"/>
      <c r="E11" s="327"/>
      <c r="F11" s="327"/>
      <c r="G11" s="327"/>
      <c r="H11" s="327"/>
      <c r="I11" s="235"/>
      <c r="J11" s="329"/>
      <c r="K11" s="329"/>
      <c r="L11" s="235"/>
      <c r="M11" s="235"/>
      <c r="N11" s="235"/>
      <c r="O11" s="235"/>
      <c r="P11" s="235"/>
      <c r="Q11" s="235"/>
      <c r="R11" s="235"/>
      <c r="S11" s="235"/>
      <c r="T11" s="235"/>
      <c r="U11" s="235"/>
      <c r="V11" s="235"/>
      <c r="W11" s="235"/>
      <c r="X11" s="235"/>
      <c r="Y11" s="235"/>
      <c r="Z11" s="235"/>
      <c r="AA11" s="235"/>
      <c r="AB11" s="235"/>
      <c r="AC11" s="235"/>
      <c r="AD11" s="235"/>
      <c r="AE11" s="235"/>
      <c r="AF11" s="235"/>
      <c r="AG11" s="235"/>
    </row>
    <row r="12" spans="1:33" s="116" customFormat="1" ht="26.25" customHeight="1" thickBot="1">
      <c r="A12" s="316"/>
      <c r="B12" s="316"/>
      <c r="C12" s="316" t="str">
        <f>CHOOSE(language,"Debtors","Receivables")</f>
        <v>Receivables</v>
      </c>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316"/>
    </row>
    <row r="13" spans="1:33" s="116" customFormat="1" ht="20.25" customHeight="1" outlineLevel="2">
      <c r="A13" s="861"/>
      <c r="B13" s="274">
        <v>1</v>
      </c>
      <c r="C13" s="274" t="str">
        <f>CHOOSE(language,"Trade Debtors","Accounts Receivables")</f>
        <v>Accounts Receivables</v>
      </c>
      <c r="D13" s="330"/>
      <c r="E13" s="127"/>
      <c r="F13" s="127"/>
      <c r="G13" s="127"/>
      <c r="H13" s="127"/>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row>
    <row r="14" spans="1:33" s="878" customFormat="1" ht="20.25" customHeight="1" outlineLevel="2">
      <c r="A14" s="861"/>
      <c r="B14" s="861"/>
      <c r="C14" s="320" t="str">
        <f>CHOOSE(language,"BS Account: Trade Debtors","BS Account: Accounts Receivables")</f>
        <v>BS Account: Accounts Receivables</v>
      </c>
      <c r="D14" s="330"/>
      <c r="E14" s="127"/>
      <c r="F14" s="127"/>
      <c r="G14" s="127"/>
      <c r="H14" s="127"/>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row>
    <row r="15" spans="1:33" s="116" customFormat="1" ht="16.5" customHeight="1" outlineLevel="2">
      <c r="A15" s="861"/>
      <c r="B15" s="235"/>
      <c r="C15" s="632" t="s">
        <v>140</v>
      </c>
      <c r="D15" s="8" t="str">
        <f>Currency_Label</f>
        <v>USD</v>
      </c>
      <c r="E15" s="40"/>
      <c r="F15" s="40"/>
      <c r="G15" s="40"/>
      <c r="H15" s="40"/>
      <c r="I15" s="121"/>
      <c r="J15" s="697">
        <f t="shared" ref="J15:AG15" si="3">I21*J6</f>
        <v>5000</v>
      </c>
      <c r="K15" s="697">
        <f t="shared" ca="1" si="3"/>
        <v>15066.566666666666</v>
      </c>
      <c r="L15" s="697">
        <f t="shared" ca="1" si="3"/>
        <v>30330.633333333335</v>
      </c>
      <c r="M15" s="697">
        <f t="shared" ca="1" si="3"/>
        <v>51163.450000000004</v>
      </c>
      <c r="N15" s="697">
        <f t="shared" ca="1" si="3"/>
        <v>29400.526666666676</v>
      </c>
      <c r="O15" s="697">
        <f t="shared" ca="1" si="3"/>
        <v>62338.073333333341</v>
      </c>
      <c r="P15" s="697">
        <f t="shared" ca="1" si="3"/>
        <v>101670.54480000002</v>
      </c>
      <c r="Q15" s="697">
        <f t="shared" ca="1" si="3"/>
        <v>47265.709392000026</v>
      </c>
      <c r="R15" s="697">
        <f t="shared" ca="1" si="3"/>
        <v>101794.27344768003</v>
      </c>
      <c r="S15" s="697">
        <f t="shared" ca="1" si="3"/>
        <v>163948.88819358725</v>
      </c>
      <c r="T15" s="697">
        <f t="shared" ca="1" si="3"/>
        <v>67970.387531743501</v>
      </c>
      <c r="U15" s="697">
        <f t="shared" ca="1" si="3"/>
        <v>143022.59053003674</v>
      </c>
      <c r="V15" s="697">
        <f t="shared" ca="1" si="3"/>
        <v>221751.33731554105</v>
      </c>
      <c r="W15" s="697">
        <f t="shared" ca="1" si="3"/>
        <v>84211.994843069464</v>
      </c>
      <c r="X15" s="697">
        <f t="shared" ca="1" si="3"/>
        <v>174876.70127092634</v>
      </c>
      <c r="Y15" s="697">
        <f t="shared" ca="1" si="3"/>
        <v>272078.37152165006</v>
      </c>
      <c r="Z15" s="697">
        <f t="shared" ca="1" si="3"/>
        <v>102826.05912366163</v>
      </c>
      <c r="AA15" s="697">
        <f t="shared" ca="1" si="3"/>
        <v>212093.30435986409</v>
      </c>
      <c r="AB15" s="697">
        <f t="shared" ca="1" si="3"/>
        <v>327927.25242187188</v>
      </c>
      <c r="AC15" s="697">
        <f t="shared" ca="1" si="3"/>
        <v>121751.19782166573</v>
      </c>
      <c r="AD15" s="697">
        <f t="shared" ca="1" si="3"/>
        <v>250126.75401143573</v>
      </c>
      <c r="AE15" s="697">
        <f t="shared" ca="1" si="3"/>
        <v>385291.22354829405</v>
      </c>
      <c r="AF15" s="697">
        <f t="shared" ca="1" si="3"/>
        <v>0</v>
      </c>
      <c r="AG15" s="697">
        <f t="shared" ca="1" si="3"/>
        <v>0</v>
      </c>
    </row>
    <row r="16" spans="1:33" s="116" customFormat="1" ht="16.5" customHeight="1" outlineLevel="2">
      <c r="A16" s="861"/>
      <c r="B16" s="861"/>
      <c r="C16" s="40" t="str">
        <f>"  Increase/(Decrease) Offering 1: "&amp;PS_01</f>
        <v xml:space="preserve">  Increase/(Decrease) Offering 1: WonderApp</v>
      </c>
      <c r="D16" s="8" t="str">
        <f>Currency_Label</f>
        <v>USD</v>
      </c>
      <c r="E16" s="40"/>
      <c r="F16" s="40"/>
      <c r="G16" s="40"/>
      <c r="H16" s="40"/>
      <c r="I16" s="71">
        <f ca="1">SUM(J16:AG16)</f>
        <v>141512.87883048612</v>
      </c>
      <c r="J16" s="697">
        <f ca="1">'Offering 1'!J54</f>
        <v>10899.9</v>
      </c>
      <c r="K16" s="697">
        <f ca="1">'Offering 1'!K54</f>
        <v>16097.4</v>
      </c>
      <c r="L16" s="697">
        <f ca="1">'Offering 1'!L54</f>
        <v>21666.15</v>
      </c>
      <c r="M16" s="697">
        <f ca="1">'Offering 1'!M54</f>
        <v>-20929.589999999997</v>
      </c>
      <c r="N16" s="697">
        <f ca="1">'Offering 1'!N54</f>
        <v>33770.879999999997</v>
      </c>
      <c r="O16" s="697">
        <f ca="1">'Offering 1'!O54</f>
        <v>40165.804800000005</v>
      </c>
      <c r="P16" s="697">
        <f ca="1">'Offering 1'!P54</f>
        <v>-54404.835407999992</v>
      </c>
      <c r="Q16" s="697">
        <f ca="1">'Offering 1'!Q54</f>
        <v>54528.564055680006</v>
      </c>
      <c r="R16" s="697">
        <f ca="1">'Offering 1'!R54</f>
        <v>62154.614745907209</v>
      </c>
      <c r="S16" s="697">
        <f ca="1">'Offering 1'!S54</f>
        <v>-95978.500661843747</v>
      </c>
      <c r="T16" s="697">
        <f ca="1">'Offering 1'!T54</f>
        <v>75052.202998293244</v>
      </c>
      <c r="U16" s="697">
        <f ca="1">'Offering 1'!U54</f>
        <v>78728.746785504292</v>
      </c>
      <c r="V16" s="697">
        <f ca="1">'Offering 1'!V54</f>
        <v>-137539.34247247159</v>
      </c>
      <c r="W16" s="697">
        <f ca="1">'Offering 1'!W54</f>
        <v>90664.706427856858</v>
      </c>
      <c r="X16" s="697">
        <f ca="1">'Offering 1'!X54</f>
        <v>97201.670250723721</v>
      </c>
      <c r="Y16" s="697">
        <f ca="1">'Offering 1'!Y54</f>
        <v>-169252.31239798843</v>
      </c>
      <c r="Z16" s="697">
        <f ca="1">'Offering 1'!Z54</f>
        <v>109267.24523620245</v>
      </c>
      <c r="AA16" s="697">
        <f ca="1">'Offering 1'!AA54</f>
        <v>115833.94806200775</v>
      </c>
      <c r="AB16" s="697">
        <f ca="1">'Offering 1'!AB54</f>
        <v>-206176.05460020615</v>
      </c>
      <c r="AC16" s="697">
        <f ca="1">'Offering 1'!AC54</f>
        <v>128375.55618977001</v>
      </c>
      <c r="AD16" s="697">
        <f ca="1">'Offering 1'!AD54</f>
        <v>135164.46953685832</v>
      </c>
      <c r="AE16" s="697">
        <f ca="1">'Offering 1'!AE54</f>
        <v>-243778.34471780792</v>
      </c>
      <c r="AF16" s="697">
        <f ca="1">'Offering 1'!AF54</f>
        <v>0</v>
      </c>
      <c r="AG16" s="697">
        <f ca="1">'Offering 1'!AG54</f>
        <v>0</v>
      </c>
    </row>
    <row r="17" spans="1:33" s="878" customFormat="1" ht="16.5" customHeight="1" outlineLevel="2">
      <c r="A17" s="861"/>
      <c r="B17" s="861"/>
      <c r="C17" s="40" t="str">
        <f>"  Increase/(Decrease) Offering 2: "&amp;PS_02</f>
        <v xml:space="preserve">  Increase/(Decrease) Offering 2: WonderMoreX</v>
      </c>
      <c r="D17" s="8" t="str">
        <f>Currency_Label</f>
        <v>USD</v>
      </c>
      <c r="E17" s="40"/>
      <c r="F17" s="40"/>
      <c r="G17" s="40"/>
      <c r="H17" s="40"/>
      <c r="I17" s="71">
        <f>SUM(J17:AG17)</f>
        <v>0</v>
      </c>
      <c r="J17" s="697">
        <f>'Offering 2'!J54</f>
        <v>0</v>
      </c>
      <c r="K17" s="697">
        <f>'Offering 2'!K54</f>
        <v>0</v>
      </c>
      <c r="L17" s="697">
        <f>'Offering 2'!L54</f>
        <v>0</v>
      </c>
      <c r="M17" s="697">
        <f>'Offering 2'!M54</f>
        <v>0</v>
      </c>
      <c r="N17" s="697">
        <f>'Offering 2'!N54</f>
        <v>0</v>
      </c>
      <c r="O17" s="697">
        <f>'Offering 2'!O54</f>
        <v>0</v>
      </c>
      <c r="P17" s="697">
        <f>'Offering 2'!P54</f>
        <v>0</v>
      </c>
      <c r="Q17" s="697">
        <f>'Offering 2'!Q54</f>
        <v>0</v>
      </c>
      <c r="R17" s="697">
        <f>'Offering 2'!R54</f>
        <v>0</v>
      </c>
      <c r="S17" s="697">
        <f>'Offering 2'!S54</f>
        <v>0</v>
      </c>
      <c r="T17" s="697">
        <f>'Offering 2'!T54</f>
        <v>0</v>
      </c>
      <c r="U17" s="697">
        <f>'Offering 2'!U54</f>
        <v>0</v>
      </c>
      <c r="V17" s="697">
        <f>'Offering 2'!V54</f>
        <v>0</v>
      </c>
      <c r="W17" s="697">
        <f>'Offering 2'!W54</f>
        <v>0</v>
      </c>
      <c r="X17" s="697">
        <f>'Offering 2'!X54</f>
        <v>0</v>
      </c>
      <c r="Y17" s="697">
        <f>'Offering 2'!Y54</f>
        <v>0</v>
      </c>
      <c r="Z17" s="697">
        <f>'Offering 2'!Z54</f>
        <v>0</v>
      </c>
      <c r="AA17" s="697">
        <f>'Offering 2'!AA54</f>
        <v>0</v>
      </c>
      <c r="AB17" s="697">
        <f>'Offering 2'!AB54</f>
        <v>0</v>
      </c>
      <c r="AC17" s="697">
        <f>'Offering 2'!AC54</f>
        <v>0</v>
      </c>
      <c r="AD17" s="697">
        <f>'Offering 2'!AD54</f>
        <v>0</v>
      </c>
      <c r="AE17" s="697">
        <f>'Offering 2'!AE54</f>
        <v>0</v>
      </c>
      <c r="AF17" s="697">
        <f>'Offering 2'!AF54</f>
        <v>0</v>
      </c>
      <c r="AG17" s="697">
        <f>'Offering 2'!AG54</f>
        <v>0</v>
      </c>
    </row>
    <row r="18" spans="1:33" s="878" customFormat="1" ht="16.5" customHeight="1" outlineLevel="2">
      <c r="A18" s="861"/>
      <c r="B18" s="861"/>
      <c r="C18" s="40" t="str">
        <f>"  Increase/(Decrease) Offering 3: "&amp;PS_03</f>
        <v xml:space="preserve">  Increase/(Decrease) Offering 3: Customizing Services</v>
      </c>
      <c r="D18" s="8" t="str">
        <f>Currency_Label</f>
        <v>USD</v>
      </c>
      <c r="E18" s="40"/>
      <c r="F18" s="40"/>
      <c r="G18" s="40"/>
      <c r="H18" s="40"/>
      <c r="I18" s="71">
        <f>SUM(J18:AG18)</f>
        <v>0</v>
      </c>
      <c r="J18" s="697">
        <f>'Offering 3'!J54</f>
        <v>0</v>
      </c>
      <c r="K18" s="697">
        <f>'Offering 3'!K54</f>
        <v>0</v>
      </c>
      <c r="L18" s="697">
        <f>'Offering 3'!L54</f>
        <v>0</v>
      </c>
      <c r="M18" s="697">
        <f>'Offering 3'!M54</f>
        <v>0</v>
      </c>
      <c r="N18" s="697">
        <f>'Offering 3'!N54</f>
        <v>0</v>
      </c>
      <c r="O18" s="697">
        <f>'Offering 3'!O54</f>
        <v>0</v>
      </c>
      <c r="P18" s="697">
        <f>'Offering 3'!P54</f>
        <v>0</v>
      </c>
      <c r="Q18" s="697">
        <f>'Offering 3'!Q54</f>
        <v>0</v>
      </c>
      <c r="R18" s="697">
        <f>'Offering 3'!R54</f>
        <v>0</v>
      </c>
      <c r="S18" s="697">
        <f>'Offering 3'!S54</f>
        <v>0</v>
      </c>
      <c r="T18" s="697">
        <f>'Offering 3'!T54</f>
        <v>0</v>
      </c>
      <c r="U18" s="697">
        <f>'Offering 3'!U54</f>
        <v>0</v>
      </c>
      <c r="V18" s="697">
        <f>'Offering 3'!V54</f>
        <v>0</v>
      </c>
      <c r="W18" s="697">
        <f>'Offering 3'!W54</f>
        <v>0</v>
      </c>
      <c r="X18" s="697">
        <f>'Offering 3'!X54</f>
        <v>0</v>
      </c>
      <c r="Y18" s="697">
        <f>'Offering 3'!Y54</f>
        <v>0</v>
      </c>
      <c r="Z18" s="697">
        <f>'Offering 3'!Z54</f>
        <v>0</v>
      </c>
      <c r="AA18" s="697">
        <f>'Offering 3'!AA54</f>
        <v>0</v>
      </c>
      <c r="AB18" s="697">
        <f>'Offering 3'!AB54</f>
        <v>0</v>
      </c>
      <c r="AC18" s="697">
        <f>'Offering 3'!AC54</f>
        <v>0</v>
      </c>
      <c r="AD18" s="697">
        <f>'Offering 3'!AD54</f>
        <v>0</v>
      </c>
      <c r="AE18" s="697">
        <f>'Offering 3'!AE54</f>
        <v>0</v>
      </c>
      <c r="AF18" s="697">
        <f>'Offering 3'!AF54</f>
        <v>0</v>
      </c>
      <c r="AG18" s="697">
        <f>'Offering 3'!AG54</f>
        <v>0</v>
      </c>
    </row>
    <row r="19" spans="1:33" s="878" customFormat="1" ht="16.5" customHeight="1" outlineLevel="2">
      <c r="A19" s="861"/>
      <c r="B19" s="861"/>
      <c r="C19" s="40" t="str">
        <f>"  Increase/(Decrease) Offering 4: "&amp;PS_04</f>
        <v xml:space="preserve">  Increase/(Decrease) Offering 4: FutureApp</v>
      </c>
      <c r="D19" s="8" t="str">
        <f>Currency_Label</f>
        <v>USD</v>
      </c>
      <c r="E19" s="40"/>
      <c r="F19" s="40"/>
      <c r="G19" s="40"/>
      <c r="H19" s="40"/>
      <c r="I19" s="71">
        <f>SUM(J19:AG19)</f>
        <v>0</v>
      </c>
      <c r="J19" s="697">
        <f>'Offering 4'!J54</f>
        <v>0</v>
      </c>
      <c r="K19" s="697">
        <f>'Offering 4'!K54</f>
        <v>0</v>
      </c>
      <c r="L19" s="697">
        <f>'Offering 4'!L54</f>
        <v>0</v>
      </c>
      <c r="M19" s="697">
        <f>'Offering 4'!M54</f>
        <v>0</v>
      </c>
      <c r="N19" s="697">
        <f>'Offering 4'!N54</f>
        <v>0</v>
      </c>
      <c r="O19" s="697">
        <f>'Offering 4'!O54</f>
        <v>0</v>
      </c>
      <c r="P19" s="697">
        <f>'Offering 4'!P54</f>
        <v>0</v>
      </c>
      <c r="Q19" s="697">
        <f>'Offering 4'!Q54</f>
        <v>0</v>
      </c>
      <c r="R19" s="697">
        <f>'Offering 4'!R54</f>
        <v>0</v>
      </c>
      <c r="S19" s="697">
        <f>'Offering 4'!S54</f>
        <v>0</v>
      </c>
      <c r="T19" s="697">
        <f>'Offering 4'!T54</f>
        <v>0</v>
      </c>
      <c r="U19" s="697">
        <f>'Offering 4'!U54</f>
        <v>0</v>
      </c>
      <c r="V19" s="697">
        <f>'Offering 4'!V54</f>
        <v>0</v>
      </c>
      <c r="W19" s="697">
        <f>'Offering 4'!W54</f>
        <v>0</v>
      </c>
      <c r="X19" s="697">
        <f>'Offering 4'!X54</f>
        <v>0</v>
      </c>
      <c r="Y19" s="697">
        <f>'Offering 4'!Y54</f>
        <v>0</v>
      </c>
      <c r="Z19" s="697">
        <f>'Offering 4'!Z54</f>
        <v>0</v>
      </c>
      <c r="AA19" s="697">
        <f>'Offering 4'!AA54</f>
        <v>0</v>
      </c>
      <c r="AB19" s="697">
        <f>'Offering 4'!AB54</f>
        <v>0</v>
      </c>
      <c r="AC19" s="697">
        <f>'Offering 4'!AC54</f>
        <v>0</v>
      </c>
      <c r="AD19" s="697">
        <f>'Offering 4'!AD54</f>
        <v>0</v>
      </c>
      <c r="AE19" s="697">
        <f>'Offering 4'!AE54</f>
        <v>0</v>
      </c>
      <c r="AF19" s="697">
        <f>'Offering 4'!AF54</f>
        <v>0</v>
      </c>
      <c r="AG19" s="697">
        <f>'Offering 4'!AG54</f>
        <v>0</v>
      </c>
    </row>
    <row r="20" spans="1:33" s="116" customFormat="1" ht="16.5" customHeight="1" outlineLevel="2">
      <c r="A20" s="861"/>
      <c r="B20" s="235"/>
      <c r="C20" s="199" t="str">
        <f>CHOOSE(language,"  Phasing out of opening BS (Trade Debtors)","  Phasing out of opening BS (Accounts Receivables)")</f>
        <v xml:space="preserve">  Phasing out of opening BS (Accounts Receivables)</v>
      </c>
      <c r="D20" s="8" t="str">
        <f t="shared" ref="D20" si="4">Currency_Label</f>
        <v>USD</v>
      </c>
      <c r="E20" s="144">
        <f>Inputs!F268</f>
        <v>5000</v>
      </c>
      <c r="F20" s="673">
        <f>Inputs!J268</f>
        <v>6</v>
      </c>
      <c r="G20" s="199" t="s">
        <v>409</v>
      </c>
      <c r="H20" s="199"/>
      <c r="I20" s="71">
        <f>SUM(J20:AG20)</f>
        <v>-5000</v>
      </c>
      <c r="J20" s="697">
        <f>-IF(J$7=1,$E20/$F20,IF(SUM(I20:$J20)&lt;=-$E20,0,$E20/$F20))</f>
        <v>-833.33333333333337</v>
      </c>
      <c r="K20" s="697">
        <f>-IF(K$7=1,$E20/$F20,IF(SUM(J20:$J20)&lt;=-$E20,0,$E20/$F20))</f>
        <v>-833.33333333333337</v>
      </c>
      <c r="L20" s="697">
        <f>-IF(L$7=1,$E20/$F20,IF(SUM($J20:K20)&lt;=-$E20,0,$E20/$F20))</f>
        <v>-833.33333333333337</v>
      </c>
      <c r="M20" s="697">
        <f>-IF(M$7=1,$E20/$F20,IF(SUM($J20:L20)&lt;=-$E20,0,$E20/$F20))</f>
        <v>-833.33333333333337</v>
      </c>
      <c r="N20" s="697">
        <f>-IF(N$7=1,$E20/$F20,IF(SUM($J20:M20)&lt;=-$E20,0,$E20/$F20))</f>
        <v>-833.33333333333337</v>
      </c>
      <c r="O20" s="697">
        <f>-IF(O$7=1,$E20/$F20,IF(SUM($J20:N20)&lt;=-$E20,0,$E20/$F20))</f>
        <v>-833.33333333333337</v>
      </c>
      <c r="P20" s="697">
        <f>-IF(P$7=1,$E20/$F20,IF(SUM($J20:O20)&lt;=-$E20,0,$E20/$F20))</f>
        <v>0</v>
      </c>
      <c r="Q20" s="697">
        <f>-IF(Q$7=1,$E20/$F20,IF(SUM($J20:P20)&lt;=-$E20,0,$E20/$F20))</f>
        <v>0</v>
      </c>
      <c r="R20" s="697">
        <f>-IF(R$7=1,$E20/$F20,IF(SUM($J20:Q20)&lt;=-$E20,0,$E20/$F20))</f>
        <v>0</v>
      </c>
      <c r="S20" s="697">
        <f>-IF(S$7=1,$E20/$F20,IF(SUM($J20:R20)&lt;=-$E20,0,$E20/$F20))</f>
        <v>0</v>
      </c>
      <c r="T20" s="697">
        <f>-IF(T$7=1,$E20/$F20,IF(SUM($J20:S20)&lt;=-$E20,0,$E20/$F20))</f>
        <v>0</v>
      </c>
      <c r="U20" s="697">
        <f>-IF(U$7=1,$E20/$F20,IF(SUM($J20:T20)&lt;=-$E20,0,$E20/$F20))</f>
        <v>0</v>
      </c>
      <c r="V20" s="697">
        <f>-IF(V$7=1,$E20/$F20,IF(SUM($J20:U20)&lt;=-$E20,0,$E20/$F20))</f>
        <v>0</v>
      </c>
      <c r="W20" s="697">
        <f>-IF(W$7=1,$E20/$F20,IF(SUM($J20:V20)&lt;=-$E20,0,$E20/$F20))</f>
        <v>0</v>
      </c>
      <c r="X20" s="697">
        <f>-IF(X$7=1,$E20/$F20,IF(SUM($J20:W20)&lt;=-$E20,0,$E20/$F20))</f>
        <v>0</v>
      </c>
      <c r="Y20" s="697">
        <f>-IF(Y$7=1,$E20/$F20,IF(SUM($J20:X20)&lt;=-$E20,0,$E20/$F20))</f>
        <v>0</v>
      </c>
      <c r="Z20" s="697">
        <f>-IF(Z$7=1,$E20/$F20,IF(SUM($J20:Y20)&lt;=-$E20,0,$E20/$F20))</f>
        <v>0</v>
      </c>
      <c r="AA20" s="697">
        <f>-IF(AA$7=1,$E20/$F20,IF(SUM($J20:Z20)&lt;=-$E20,0,$E20/$F20))</f>
        <v>0</v>
      </c>
      <c r="AB20" s="697">
        <f>-IF(AB$7=1,$E20/$F20,IF(SUM($J20:AA20)&lt;=-$E20,0,$E20/$F20))</f>
        <v>0</v>
      </c>
      <c r="AC20" s="697">
        <f>-IF(AC$7=1,$E20/$F20,IF(SUM($J20:AB20)&lt;=-$E20,0,$E20/$F20))</f>
        <v>0</v>
      </c>
      <c r="AD20" s="697">
        <f>-IF(AD$7=1,$E20/$F20,IF(SUM($J20:AC20)&lt;=-$E20,0,$E20/$F20))</f>
        <v>0</v>
      </c>
      <c r="AE20" s="697">
        <f>-IF(AE$7=1,$E20/$F20,IF(SUM($J20:AD20)&lt;=-$E20,0,$E20/$F20))</f>
        <v>0</v>
      </c>
      <c r="AF20" s="697">
        <f>-IF(AF$7=1,$E20/$F20,IF(SUM($J20:AE20)&lt;=-$E20,0,$E20/$F20))</f>
        <v>0</v>
      </c>
      <c r="AG20" s="697">
        <f>-IF(AG$7=1,$E20/$F20,IF(SUM($J20:AF20)&lt;=-$E20,0,$E20/$F20))</f>
        <v>0</v>
      </c>
    </row>
    <row r="21" spans="1:33" s="116" customFormat="1" ht="16.5" customHeight="1" outlineLevel="2" thickBot="1">
      <c r="A21" s="861"/>
      <c r="B21" s="235"/>
      <c r="C21" s="632" t="s">
        <v>141</v>
      </c>
      <c r="D21" s="8" t="str">
        <f>Currency_Label</f>
        <v>USD</v>
      </c>
      <c r="E21" s="1014"/>
      <c r="F21" s="1014"/>
      <c r="G21" s="40"/>
      <c r="H21" s="675" t="s">
        <v>210</v>
      </c>
      <c r="I21" s="144">
        <f>Inputs!F268</f>
        <v>5000</v>
      </c>
      <c r="J21" s="509">
        <f t="shared" ref="J21:AG21" ca="1" si="5">IF(ABS(SUM(J15:J20))&lt;0.001,0,SUM(J15:J20))</f>
        <v>15066.566666666666</v>
      </c>
      <c r="K21" s="509">
        <f t="shared" ca="1" si="5"/>
        <v>30330.633333333335</v>
      </c>
      <c r="L21" s="509">
        <f t="shared" ca="1" si="5"/>
        <v>51163.450000000004</v>
      </c>
      <c r="M21" s="509">
        <f t="shared" ca="1" si="5"/>
        <v>29400.526666666676</v>
      </c>
      <c r="N21" s="509">
        <f t="shared" ca="1" si="5"/>
        <v>62338.073333333341</v>
      </c>
      <c r="O21" s="509">
        <f t="shared" ca="1" si="5"/>
        <v>101670.54480000002</v>
      </c>
      <c r="P21" s="509">
        <f t="shared" ca="1" si="5"/>
        <v>47265.709392000026</v>
      </c>
      <c r="Q21" s="509">
        <f t="shared" ca="1" si="5"/>
        <v>101794.27344768003</v>
      </c>
      <c r="R21" s="509">
        <f t="shared" ca="1" si="5"/>
        <v>163948.88819358725</v>
      </c>
      <c r="S21" s="509">
        <f t="shared" ca="1" si="5"/>
        <v>67970.387531743501</v>
      </c>
      <c r="T21" s="509">
        <f t="shared" ca="1" si="5"/>
        <v>143022.59053003674</v>
      </c>
      <c r="U21" s="509">
        <f t="shared" ca="1" si="5"/>
        <v>221751.33731554105</v>
      </c>
      <c r="V21" s="509">
        <f t="shared" ca="1" si="5"/>
        <v>84211.994843069464</v>
      </c>
      <c r="W21" s="509">
        <f t="shared" ca="1" si="5"/>
        <v>174876.70127092634</v>
      </c>
      <c r="X21" s="509">
        <f t="shared" ca="1" si="5"/>
        <v>272078.37152165006</v>
      </c>
      <c r="Y21" s="509">
        <f t="shared" ca="1" si="5"/>
        <v>102826.05912366163</v>
      </c>
      <c r="Z21" s="509">
        <f t="shared" ca="1" si="5"/>
        <v>212093.30435986409</v>
      </c>
      <c r="AA21" s="509">
        <f t="shared" ca="1" si="5"/>
        <v>327927.25242187188</v>
      </c>
      <c r="AB21" s="509">
        <f t="shared" ca="1" si="5"/>
        <v>121751.19782166573</v>
      </c>
      <c r="AC21" s="509">
        <f t="shared" ca="1" si="5"/>
        <v>250126.75401143573</v>
      </c>
      <c r="AD21" s="509">
        <f t="shared" ca="1" si="5"/>
        <v>385291.22354829405</v>
      </c>
      <c r="AE21" s="509">
        <f t="shared" ca="1" si="5"/>
        <v>141512.87883048612</v>
      </c>
      <c r="AF21" s="509">
        <f t="shared" ca="1" si="5"/>
        <v>0</v>
      </c>
      <c r="AG21" s="509">
        <f t="shared" ca="1" si="5"/>
        <v>0</v>
      </c>
    </row>
    <row r="22" spans="1:33" s="116" customFormat="1" ht="15" customHeight="1" outlineLevel="2" thickTop="1">
      <c r="A22" s="861"/>
      <c r="B22" s="235"/>
      <c r="C22" s="127"/>
      <c r="D22" s="270"/>
      <c r="E22" s="127"/>
      <c r="F22" s="127"/>
      <c r="G22" s="127"/>
      <c r="H22" s="127"/>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row>
    <row r="23" spans="1:33" s="116" customFormat="1" ht="20.25" customHeight="1" outlineLevel="2">
      <c r="A23" s="861"/>
      <c r="B23" s="235"/>
      <c r="C23" s="320" t="str">
        <f>Name_VAT &amp;" receipts (on cash received basis)"</f>
        <v>VAT receipts (on cash received basis)</v>
      </c>
      <c r="D23" s="270"/>
      <c r="E23" s="127"/>
      <c r="F23" s="127"/>
      <c r="G23" s="127"/>
      <c r="H23" s="127"/>
      <c r="I23" s="502" t="s">
        <v>46</v>
      </c>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row>
    <row r="24" spans="1:33" s="632" customFormat="1" ht="17.25" customHeight="1" outlineLevel="2">
      <c r="A24" s="861"/>
      <c r="B24" s="861"/>
      <c r="C24" s="40" t="str">
        <f>"Product/Service 1: "&amp;PS_01</f>
        <v>Product/Service 1: WonderApp</v>
      </c>
      <c r="D24" s="8" t="str">
        <f t="shared" ref="D24:D28" si="6">Currency_Label</f>
        <v>USD</v>
      </c>
      <c r="E24" s="8"/>
      <c r="F24" s="8"/>
      <c r="G24" s="8"/>
      <c r="H24" s="8"/>
      <c r="I24" s="71">
        <f ca="1">SUM(J24:AG24)</f>
        <v>248843.37084815119</v>
      </c>
      <c r="J24" s="697">
        <f ca="1">'Offering 1'!J42+'Offering 1'!J57</f>
        <v>251.20000000000005</v>
      </c>
      <c r="K24" s="697">
        <f ca="1">'Offering 1'!K42+'Offering 1'!K57</f>
        <v>203.20000000000005</v>
      </c>
      <c r="L24" s="697">
        <f ca="1">'Offering 1'!L42+'Offering 1'!L57</f>
        <v>219.20000000000005</v>
      </c>
      <c r="M24" s="697">
        <f ca="1">'Offering 1'!M42+'Offering 1'!M57</f>
        <v>7973.3520000000008</v>
      </c>
      <c r="N24" s="697">
        <f ca="1">'Offering 1'!N42+'Offering 1'!N57</f>
        <v>251.20000000000005</v>
      </c>
      <c r="O24" s="697">
        <f ca="1">'Offering 1'!O42+'Offering 1'!O57</f>
        <v>251.20000000000005</v>
      </c>
      <c r="P24" s="697">
        <f ca="1">'Offering 1'!P42+'Offering 1'!P57</f>
        <v>16529.687168000004</v>
      </c>
      <c r="Q24" s="697">
        <f ca="1">'Offering 1'!Q42+'Offering 1'!Q57</f>
        <v>251.20000000000005</v>
      </c>
      <c r="R24" s="697">
        <f ca="1">'Offering 1'!R42+'Offering 1'!R57</f>
        <v>251.20000000000005</v>
      </c>
      <c r="S24" s="697">
        <f ca="1">'Offering 1'!S42+'Offering 1'!S57</f>
        <v>26483.022110973965</v>
      </c>
      <c r="T24" s="697">
        <f ca="1">'Offering 1'!T42+'Offering 1'!T57</f>
        <v>251.20000000000005</v>
      </c>
      <c r="U24" s="697">
        <f ca="1">'Offering 1'!U42+'Offering 1'!U57</f>
        <v>288.00000000000006</v>
      </c>
      <c r="V24" s="697">
        <f ca="1">'Offering 1'!V42+'Offering 1'!V57</f>
        <v>35731.413970486574</v>
      </c>
      <c r="W24" s="697">
        <f ca="1">'Offering 1'!W42+'Offering 1'!W57</f>
        <v>251.20000000000005</v>
      </c>
      <c r="X24" s="697">
        <f ca="1">'Offering 1'!X42+'Offering 1'!X57</f>
        <v>251.20000000000005</v>
      </c>
      <c r="Y24" s="697">
        <f ca="1">'Offering 1'!Y42+'Offering 1'!Y57</f>
        <v>43783.739443464015</v>
      </c>
      <c r="Z24" s="697">
        <f ca="1">'Offering 1'!Z42+'Offering 1'!Z57</f>
        <v>251.20000000000005</v>
      </c>
      <c r="AA24" s="697">
        <f ca="1">'Offering 1'!AA42+'Offering 1'!AA57</f>
        <v>251.20000000000005</v>
      </c>
      <c r="AB24" s="697">
        <f ca="1">'Offering 1'!AB42+'Offering 1'!AB57</f>
        <v>52719.560387499507</v>
      </c>
      <c r="AC24" s="697">
        <f ca="1">'Offering 1'!AC42+'Offering 1'!AC57</f>
        <v>251.20000000000005</v>
      </c>
      <c r="AD24" s="697">
        <f ca="1">'Offering 1'!AD42+'Offering 1'!AD57</f>
        <v>251.20000000000005</v>
      </c>
      <c r="AE24" s="697">
        <f ca="1">'Offering 1'!AE42+'Offering 1'!AE57</f>
        <v>61897.795767727053</v>
      </c>
      <c r="AF24" s="697">
        <f ca="1">'Offering 1'!AF42+'Offering 1'!AF57</f>
        <v>0</v>
      </c>
      <c r="AG24" s="697">
        <f ca="1">'Offering 1'!AG42+'Offering 1'!AG57</f>
        <v>0</v>
      </c>
    </row>
    <row r="25" spans="1:33" s="632" customFormat="1" ht="17.25" customHeight="1" outlineLevel="2">
      <c r="A25" s="861"/>
      <c r="B25" s="861"/>
      <c r="C25" s="40" t="str">
        <f>"Product/Service 2: "&amp;PS_02</f>
        <v>Product/Service 2: WonderMoreX</v>
      </c>
      <c r="D25" s="8" t="str">
        <f t="shared" si="6"/>
        <v>USD</v>
      </c>
      <c r="E25" s="8"/>
      <c r="F25" s="8"/>
      <c r="G25" s="8"/>
      <c r="H25" s="8"/>
      <c r="I25" s="71">
        <f>SUM(J25:AG25)</f>
        <v>0</v>
      </c>
      <c r="J25" s="697">
        <f>'Offering 2'!J42+'Offering 2'!J57</f>
        <v>0</v>
      </c>
      <c r="K25" s="697">
        <f>'Offering 2'!K42+'Offering 2'!K57</f>
        <v>0</v>
      </c>
      <c r="L25" s="697">
        <f>'Offering 2'!L42+'Offering 2'!L57</f>
        <v>0</v>
      </c>
      <c r="M25" s="697">
        <f>'Offering 2'!M42+'Offering 2'!M57</f>
        <v>0</v>
      </c>
      <c r="N25" s="697">
        <f>'Offering 2'!N42+'Offering 2'!N57</f>
        <v>0</v>
      </c>
      <c r="O25" s="697">
        <f>'Offering 2'!O42+'Offering 2'!O57</f>
        <v>0</v>
      </c>
      <c r="P25" s="697">
        <f>'Offering 2'!P42+'Offering 2'!P57</f>
        <v>0</v>
      </c>
      <c r="Q25" s="697">
        <f>'Offering 2'!Q42+'Offering 2'!Q57</f>
        <v>0</v>
      </c>
      <c r="R25" s="697">
        <f>'Offering 2'!R42+'Offering 2'!R57</f>
        <v>0</v>
      </c>
      <c r="S25" s="697">
        <f>'Offering 2'!S42+'Offering 2'!S57</f>
        <v>0</v>
      </c>
      <c r="T25" s="697">
        <f>'Offering 2'!T42+'Offering 2'!T57</f>
        <v>0</v>
      </c>
      <c r="U25" s="697">
        <f>'Offering 2'!U42+'Offering 2'!U57</f>
        <v>0</v>
      </c>
      <c r="V25" s="697">
        <f>'Offering 2'!V42+'Offering 2'!V57</f>
        <v>0</v>
      </c>
      <c r="W25" s="697">
        <f>'Offering 2'!W42+'Offering 2'!W57</f>
        <v>0</v>
      </c>
      <c r="X25" s="697">
        <f>'Offering 2'!X42+'Offering 2'!X57</f>
        <v>0</v>
      </c>
      <c r="Y25" s="697">
        <f>'Offering 2'!Y42+'Offering 2'!Y57</f>
        <v>0</v>
      </c>
      <c r="Z25" s="697">
        <f>'Offering 2'!Z42+'Offering 2'!Z57</f>
        <v>0</v>
      </c>
      <c r="AA25" s="697">
        <f>'Offering 2'!AA42+'Offering 2'!AA57</f>
        <v>0</v>
      </c>
      <c r="AB25" s="697">
        <f>'Offering 2'!AB42+'Offering 2'!AB57</f>
        <v>0</v>
      </c>
      <c r="AC25" s="697">
        <f>'Offering 2'!AC42+'Offering 2'!AC57</f>
        <v>0</v>
      </c>
      <c r="AD25" s="697">
        <f>'Offering 2'!AD42+'Offering 2'!AD57</f>
        <v>0</v>
      </c>
      <c r="AE25" s="697">
        <f>'Offering 2'!AE42+'Offering 2'!AE57</f>
        <v>0</v>
      </c>
      <c r="AF25" s="697">
        <f>'Offering 2'!AF42+'Offering 2'!AF57</f>
        <v>0</v>
      </c>
      <c r="AG25" s="697">
        <f>'Offering 2'!AG42+'Offering 2'!AG57</f>
        <v>0</v>
      </c>
    </row>
    <row r="26" spans="1:33" s="632" customFormat="1" ht="17.25" customHeight="1" outlineLevel="2">
      <c r="A26" s="861"/>
      <c r="B26" s="861"/>
      <c r="C26" s="40" t="str">
        <f>"Product/Service 3: "&amp;PS_03</f>
        <v>Product/Service 3: Customizing Services</v>
      </c>
      <c r="D26" s="8" t="str">
        <f t="shared" si="6"/>
        <v>USD</v>
      </c>
      <c r="E26" s="8"/>
      <c r="F26" s="8"/>
      <c r="G26" s="8"/>
      <c r="H26" s="8"/>
      <c r="I26" s="71">
        <f>SUM(J26:AG26)</f>
        <v>0</v>
      </c>
      <c r="J26" s="697">
        <f>'Offering 3'!J42+'Offering 3'!J57</f>
        <v>0</v>
      </c>
      <c r="K26" s="697">
        <f>'Offering 3'!K42+'Offering 3'!K57</f>
        <v>0</v>
      </c>
      <c r="L26" s="697">
        <f>'Offering 3'!L42+'Offering 3'!L57</f>
        <v>0</v>
      </c>
      <c r="M26" s="697">
        <f>'Offering 3'!M42+'Offering 3'!M57</f>
        <v>0</v>
      </c>
      <c r="N26" s="697">
        <f>'Offering 3'!N42+'Offering 3'!N57</f>
        <v>0</v>
      </c>
      <c r="O26" s="697">
        <f>'Offering 3'!O42+'Offering 3'!O57</f>
        <v>0</v>
      </c>
      <c r="P26" s="697">
        <f>'Offering 3'!P42+'Offering 3'!P57</f>
        <v>0</v>
      </c>
      <c r="Q26" s="697">
        <f>'Offering 3'!Q42+'Offering 3'!Q57</f>
        <v>0</v>
      </c>
      <c r="R26" s="697">
        <f>'Offering 3'!R42+'Offering 3'!R57</f>
        <v>0</v>
      </c>
      <c r="S26" s="697">
        <f>'Offering 3'!S42+'Offering 3'!S57</f>
        <v>0</v>
      </c>
      <c r="T26" s="697">
        <f>'Offering 3'!T42+'Offering 3'!T57</f>
        <v>0</v>
      </c>
      <c r="U26" s="697">
        <f>'Offering 3'!U42+'Offering 3'!U57</f>
        <v>0</v>
      </c>
      <c r="V26" s="697">
        <f>'Offering 3'!V42+'Offering 3'!V57</f>
        <v>0</v>
      </c>
      <c r="W26" s="697">
        <f>'Offering 3'!W42+'Offering 3'!W57</f>
        <v>0</v>
      </c>
      <c r="X26" s="697">
        <f>'Offering 3'!X42+'Offering 3'!X57</f>
        <v>0</v>
      </c>
      <c r="Y26" s="697">
        <f>'Offering 3'!Y42+'Offering 3'!Y57</f>
        <v>0</v>
      </c>
      <c r="Z26" s="697">
        <f>'Offering 3'!Z42+'Offering 3'!Z57</f>
        <v>0</v>
      </c>
      <c r="AA26" s="697">
        <f>'Offering 3'!AA42+'Offering 3'!AA57</f>
        <v>0</v>
      </c>
      <c r="AB26" s="697">
        <f>'Offering 3'!AB42+'Offering 3'!AB57</f>
        <v>0</v>
      </c>
      <c r="AC26" s="697">
        <f>'Offering 3'!AC42+'Offering 3'!AC57</f>
        <v>0</v>
      </c>
      <c r="AD26" s="697">
        <f>'Offering 3'!AD42+'Offering 3'!AD57</f>
        <v>0</v>
      </c>
      <c r="AE26" s="697">
        <f>'Offering 3'!AE42+'Offering 3'!AE57</f>
        <v>0</v>
      </c>
      <c r="AF26" s="697">
        <f>'Offering 3'!AF42+'Offering 3'!AF57</f>
        <v>0</v>
      </c>
      <c r="AG26" s="697">
        <f>'Offering 3'!AG42+'Offering 3'!AG57</f>
        <v>0</v>
      </c>
    </row>
    <row r="27" spans="1:33" s="632" customFormat="1" ht="17.25" customHeight="1" outlineLevel="2">
      <c r="A27" s="861"/>
      <c r="B27" s="861"/>
      <c r="C27" s="40" t="str">
        <f>"Product/Service 4: "&amp;PS_04</f>
        <v>Product/Service 4: FutureApp</v>
      </c>
      <c r="D27" s="8" t="str">
        <f t="shared" si="6"/>
        <v>USD</v>
      </c>
      <c r="E27" s="8"/>
      <c r="F27" s="8"/>
      <c r="G27" s="8"/>
      <c r="H27" s="8"/>
      <c r="I27" s="71">
        <f>SUM(J27:AG27)</f>
        <v>0</v>
      </c>
      <c r="J27" s="697">
        <f>'Offering 4'!J42+'Offering 4'!J57</f>
        <v>0</v>
      </c>
      <c r="K27" s="697">
        <f>'Offering 4'!K42+'Offering 4'!K57</f>
        <v>0</v>
      </c>
      <c r="L27" s="697">
        <f>'Offering 4'!L42+'Offering 4'!L57</f>
        <v>0</v>
      </c>
      <c r="M27" s="697">
        <f>'Offering 4'!M42+'Offering 4'!M57</f>
        <v>0</v>
      </c>
      <c r="N27" s="697">
        <f>'Offering 4'!N42+'Offering 4'!N57</f>
        <v>0</v>
      </c>
      <c r="O27" s="697">
        <f>'Offering 4'!O42+'Offering 4'!O57</f>
        <v>0</v>
      </c>
      <c r="P27" s="697">
        <f>'Offering 4'!P42+'Offering 4'!P57</f>
        <v>0</v>
      </c>
      <c r="Q27" s="697">
        <f>'Offering 4'!Q42+'Offering 4'!Q57</f>
        <v>0</v>
      </c>
      <c r="R27" s="697">
        <f>'Offering 4'!R42+'Offering 4'!R57</f>
        <v>0</v>
      </c>
      <c r="S27" s="697">
        <f>'Offering 4'!S42+'Offering 4'!S57</f>
        <v>0</v>
      </c>
      <c r="T27" s="697">
        <f>'Offering 4'!T42+'Offering 4'!T57</f>
        <v>0</v>
      </c>
      <c r="U27" s="697">
        <f>'Offering 4'!U42+'Offering 4'!U57</f>
        <v>0</v>
      </c>
      <c r="V27" s="697">
        <f>'Offering 4'!V42+'Offering 4'!V57</f>
        <v>0</v>
      </c>
      <c r="W27" s="697">
        <f>'Offering 4'!W42+'Offering 4'!W57</f>
        <v>0</v>
      </c>
      <c r="X27" s="697">
        <f>'Offering 4'!X42+'Offering 4'!X57</f>
        <v>0</v>
      </c>
      <c r="Y27" s="697">
        <f>'Offering 4'!Y42+'Offering 4'!Y57</f>
        <v>0</v>
      </c>
      <c r="Z27" s="697">
        <f>'Offering 4'!Z42+'Offering 4'!Z57</f>
        <v>0</v>
      </c>
      <c r="AA27" s="697">
        <f>'Offering 4'!AA42+'Offering 4'!AA57</f>
        <v>0</v>
      </c>
      <c r="AB27" s="697">
        <f>'Offering 4'!AB42+'Offering 4'!AB57</f>
        <v>0</v>
      </c>
      <c r="AC27" s="697">
        <f>'Offering 4'!AC42+'Offering 4'!AC57</f>
        <v>0</v>
      </c>
      <c r="AD27" s="697">
        <f>'Offering 4'!AD42+'Offering 4'!AD57</f>
        <v>0</v>
      </c>
      <c r="AE27" s="697">
        <f>'Offering 4'!AE42+'Offering 4'!AE57</f>
        <v>0</v>
      </c>
      <c r="AF27" s="697">
        <f>'Offering 4'!AF42+'Offering 4'!AF57</f>
        <v>0</v>
      </c>
      <c r="AG27" s="697">
        <f>'Offering 4'!AG42+'Offering 4'!AG57</f>
        <v>0</v>
      </c>
    </row>
    <row r="28" spans="1:33" s="632" customFormat="1" ht="17.25" customHeight="1" outlineLevel="2" thickBot="1">
      <c r="A28" s="861"/>
      <c r="B28" s="282"/>
      <c r="C28" s="120" t="str">
        <f>"   Total " &amp;Name_VAT &amp;" receipts"</f>
        <v xml:space="preserve">   Total VAT receipts</v>
      </c>
      <c r="D28" s="8" t="str">
        <f t="shared" si="6"/>
        <v>USD</v>
      </c>
      <c r="E28" s="8"/>
      <c r="F28" s="8"/>
      <c r="G28" s="8"/>
      <c r="H28" s="8"/>
      <c r="I28" s="71">
        <f ca="1">SUM(J28:AG28)</f>
        <v>248843.37084815119</v>
      </c>
      <c r="J28" s="509">
        <f t="shared" ref="J28:AG28" ca="1" si="7">SUM(J24:J27)</f>
        <v>251.20000000000005</v>
      </c>
      <c r="K28" s="509">
        <f t="shared" ca="1" si="7"/>
        <v>203.20000000000005</v>
      </c>
      <c r="L28" s="509">
        <f t="shared" ca="1" si="7"/>
        <v>219.20000000000005</v>
      </c>
      <c r="M28" s="509">
        <f t="shared" ca="1" si="7"/>
        <v>7973.3520000000008</v>
      </c>
      <c r="N28" s="509">
        <f t="shared" ca="1" si="7"/>
        <v>251.20000000000005</v>
      </c>
      <c r="O28" s="509">
        <f t="shared" ca="1" si="7"/>
        <v>251.20000000000005</v>
      </c>
      <c r="P28" s="509">
        <f t="shared" ca="1" si="7"/>
        <v>16529.687168000004</v>
      </c>
      <c r="Q28" s="509">
        <f t="shared" ca="1" si="7"/>
        <v>251.20000000000005</v>
      </c>
      <c r="R28" s="509">
        <f t="shared" ca="1" si="7"/>
        <v>251.20000000000005</v>
      </c>
      <c r="S28" s="509">
        <f t="shared" ca="1" si="7"/>
        <v>26483.022110973965</v>
      </c>
      <c r="T28" s="509">
        <f t="shared" ca="1" si="7"/>
        <v>251.20000000000005</v>
      </c>
      <c r="U28" s="509">
        <f t="shared" ca="1" si="7"/>
        <v>288.00000000000006</v>
      </c>
      <c r="V28" s="509">
        <f t="shared" ca="1" si="7"/>
        <v>35731.413970486574</v>
      </c>
      <c r="W28" s="509">
        <f t="shared" ca="1" si="7"/>
        <v>251.20000000000005</v>
      </c>
      <c r="X28" s="509">
        <f t="shared" ca="1" si="7"/>
        <v>251.20000000000005</v>
      </c>
      <c r="Y28" s="509">
        <f t="shared" ca="1" si="7"/>
        <v>43783.739443464015</v>
      </c>
      <c r="Z28" s="509">
        <f t="shared" ca="1" si="7"/>
        <v>251.20000000000005</v>
      </c>
      <c r="AA28" s="509">
        <f t="shared" ca="1" si="7"/>
        <v>251.20000000000005</v>
      </c>
      <c r="AB28" s="509">
        <f t="shared" ca="1" si="7"/>
        <v>52719.560387499507</v>
      </c>
      <c r="AC28" s="509">
        <f t="shared" ca="1" si="7"/>
        <v>251.20000000000005</v>
      </c>
      <c r="AD28" s="509">
        <f t="shared" ca="1" si="7"/>
        <v>251.20000000000005</v>
      </c>
      <c r="AE28" s="509">
        <f t="shared" ca="1" si="7"/>
        <v>61897.795767727053</v>
      </c>
      <c r="AF28" s="509">
        <f t="shared" ca="1" si="7"/>
        <v>0</v>
      </c>
      <c r="AG28" s="509">
        <f t="shared" ca="1" si="7"/>
        <v>0</v>
      </c>
    </row>
    <row r="29" spans="1:33" s="632" customFormat="1" ht="17.25" customHeight="1" outlineLevel="2" thickTop="1">
      <c r="A29" s="861"/>
      <c r="B29" s="282"/>
      <c r="C29" s="274"/>
      <c r="D29" s="270"/>
      <c r="E29" s="127"/>
      <c r="F29" s="127"/>
      <c r="G29" s="127"/>
      <c r="H29" s="127"/>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1"/>
      <c r="AG29" s="321"/>
    </row>
    <row r="30" spans="1:33" s="116" customFormat="1" ht="20.25" customHeight="1" outlineLevel="2">
      <c r="A30" s="861"/>
      <c r="B30" s="235"/>
      <c r="C30" s="320" t="str">
        <f>"BS Account: " &amp;Name_VAT &amp;" owed to company"</f>
        <v>BS Account: VAT owed to company</v>
      </c>
      <c r="D30" s="330"/>
      <c r="E30" s="282"/>
      <c r="F30" s="282"/>
      <c r="G30" s="282"/>
      <c r="H30" s="282"/>
      <c r="I30" s="282"/>
      <c r="J30" s="282"/>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row>
    <row r="31" spans="1:33" s="116" customFormat="1" ht="17.25" customHeight="1" outlineLevel="2">
      <c r="A31" s="861"/>
      <c r="B31" s="235"/>
      <c r="C31" s="632" t="s">
        <v>140</v>
      </c>
      <c r="D31" s="8" t="str">
        <f>Currency_Label</f>
        <v>USD</v>
      </c>
      <c r="E31" s="40"/>
      <c r="F31" s="40"/>
      <c r="G31" s="40"/>
      <c r="H31" s="40"/>
      <c r="I31" s="121"/>
      <c r="J31" s="695">
        <f t="shared" ref="J31:AG31" si="8">I34*J6</f>
        <v>0</v>
      </c>
      <c r="K31" s="695">
        <f t="shared" ca="1" si="8"/>
        <v>1743.9840000000004</v>
      </c>
      <c r="L31" s="695">
        <f t="shared" ca="1" si="8"/>
        <v>4319.5680000000011</v>
      </c>
      <c r="M31" s="695">
        <f t="shared" ca="1" si="8"/>
        <v>7786.1520000000019</v>
      </c>
      <c r="N31" s="695">
        <f t="shared" ca="1" si="8"/>
        <v>4437.4176000000025</v>
      </c>
      <c r="O31" s="695">
        <f t="shared" ca="1" si="8"/>
        <v>9840.7584000000024</v>
      </c>
      <c r="P31" s="695">
        <f t="shared" ca="1" si="8"/>
        <v>16267.287168000003</v>
      </c>
      <c r="Q31" s="695">
        <f t="shared" ca="1" si="8"/>
        <v>7562.5135027200013</v>
      </c>
      <c r="R31" s="695">
        <f t="shared" ca="1" si="8"/>
        <v>16287.083751628805</v>
      </c>
      <c r="S31" s="695">
        <f t="shared" ca="1" si="8"/>
        <v>26231.822110973961</v>
      </c>
      <c r="T31" s="695">
        <f t="shared" ca="1" si="8"/>
        <v>10875.262005078956</v>
      </c>
      <c r="U31" s="695">
        <f t="shared" ca="1" si="8"/>
        <v>22883.614484805879</v>
      </c>
      <c r="V31" s="695">
        <f t="shared" ca="1" si="8"/>
        <v>35480.213970486569</v>
      </c>
      <c r="W31" s="695">
        <f t="shared" ca="1" si="8"/>
        <v>13473.919174891118</v>
      </c>
      <c r="X31" s="695">
        <f t="shared" ca="1" si="8"/>
        <v>27980.272203348217</v>
      </c>
      <c r="Y31" s="695">
        <f t="shared" ca="1" si="8"/>
        <v>43532.539443464018</v>
      </c>
      <c r="Z31" s="695">
        <f t="shared" ca="1" si="8"/>
        <v>16452.169459785873</v>
      </c>
      <c r="AA31" s="695">
        <f t="shared" ca="1" si="8"/>
        <v>33934.928697578274</v>
      </c>
      <c r="AB31" s="695">
        <f t="shared" ca="1" si="8"/>
        <v>52468.360387499517</v>
      </c>
      <c r="AC31" s="695">
        <f t="shared" ca="1" si="8"/>
        <v>19480.191651466528</v>
      </c>
      <c r="AD31" s="695">
        <f t="shared" ca="1" si="8"/>
        <v>40020.28064182974</v>
      </c>
      <c r="AE31" s="695">
        <f t="shared" ca="1" si="8"/>
        <v>61646.595767727078</v>
      </c>
      <c r="AF31" s="695">
        <f t="shared" ca="1" si="8"/>
        <v>0</v>
      </c>
      <c r="AG31" s="695">
        <f t="shared" ca="1" si="8"/>
        <v>0</v>
      </c>
    </row>
    <row r="32" spans="1:33" s="116" customFormat="1" ht="17.25" customHeight="1" outlineLevel="2">
      <c r="A32" s="861"/>
      <c r="B32" s="235"/>
      <c r="C32" s="40" t="str">
        <f>"Output "&amp;Name_VAT</f>
        <v>Output VAT</v>
      </c>
      <c r="D32" s="8" t="str">
        <f>Currency_Label</f>
        <v>USD</v>
      </c>
      <c r="E32" s="40"/>
      <c r="F32" s="40"/>
      <c r="G32" s="40"/>
      <c r="H32" s="40"/>
      <c r="I32" s="71">
        <f ca="1">SUM(J32:AG32)</f>
        <v>271485.43146102893</v>
      </c>
      <c r="J32" s="697">
        <f ca="1">('Offering 1'!J35+'Offering 1'!J42)+('Offering 2'!J35+'Offering 2'!J42)+('Offering 3'!J35+'Offering 3'!J42)+('Offering 4'!J35+'Offering 4'!J42)</f>
        <v>1995.1840000000004</v>
      </c>
      <c r="K32" s="697">
        <f ca="1">('Offering 1'!K35+'Offering 1'!K42)+('Offering 2'!K35+'Offering 2'!K42)+('Offering 3'!K35+'Offering 3'!K42)+('Offering 4'!K35+'Offering 4'!K42)</f>
        <v>2778.7840000000006</v>
      </c>
      <c r="L32" s="697">
        <f ca="1">('Offering 1'!L35+'Offering 1'!L42)+('Offering 2'!L35+'Offering 2'!L42)+('Offering 3'!L35+'Offering 3'!L42)+('Offering 4'!L35+'Offering 4'!L42)</f>
        <v>3685.7840000000006</v>
      </c>
      <c r="M32" s="697">
        <f ca="1">('Offering 1'!M35+'Offering 1'!M42)+('Offering 2'!M35+'Offering 2'!M42)+('Offering 3'!M35+'Offering 3'!M42)+('Offering 4'!M35+'Offering 4'!M42)</f>
        <v>4624.6176000000005</v>
      </c>
      <c r="N32" s="697">
        <f ca="1">('Offering 1'!N35+'Offering 1'!N42)+('Offering 2'!N35+'Offering 2'!N42)+('Offering 3'!N35+'Offering 3'!N42)+('Offering 4'!N35+'Offering 4'!N42)</f>
        <v>5654.5408000000007</v>
      </c>
      <c r="O32" s="697">
        <f ca="1">('Offering 1'!O35+'Offering 1'!O42)+('Offering 2'!O35+'Offering 2'!O42)+('Offering 3'!O35+'Offering 3'!O42)+('Offering 4'!O35+'Offering 4'!O42)</f>
        <v>6677.7287680000018</v>
      </c>
      <c r="P32" s="697">
        <f ca="1">('Offering 1'!P35+'Offering 1'!P42)+('Offering 2'!P35+'Offering 2'!P42)+('Offering 3'!P35+'Offering 3'!P42)+('Offering 4'!P35+'Offering 4'!P42)</f>
        <v>7824.9135027200027</v>
      </c>
      <c r="Q32" s="697">
        <f ca="1">('Offering 1'!Q35+'Offering 1'!Q42)+('Offering 2'!Q35+'Offering 2'!Q42)+('Offering 3'!Q35+'Offering 3'!Q42)+('Offering 4'!Q35+'Offering 4'!Q42)</f>
        <v>8975.7702489088042</v>
      </c>
      <c r="R32" s="697">
        <f ca="1">('Offering 1'!R35+'Offering 1'!R42)+('Offering 2'!R35+'Offering 2'!R42)+('Offering 3'!R35+'Offering 3'!R42)+('Offering 4'!R35+'Offering 4'!R42)</f>
        <v>10195.938359345157</v>
      </c>
      <c r="S32" s="697">
        <f ca="1">('Offering 1'!S35+'Offering 1'!S42)+('Offering 2'!S35+'Offering 2'!S42)+('Offering 3'!S35+'Offering 3'!S42)+('Offering 4'!S35+'Offering 4'!S42)</f>
        <v>11126.462005078964</v>
      </c>
      <c r="T32" s="697">
        <f ca="1">('Offering 1'!T35+'Offering 1'!T42)+('Offering 2'!T35+'Offering 2'!T42)+('Offering 3'!T35+'Offering 3'!T42)+('Offering 4'!T35+'Offering 4'!T42)</f>
        <v>12259.552479726923</v>
      </c>
      <c r="U32" s="697">
        <f ca="1">('Offering 1'!U35+'Offering 1'!U42)+('Offering 2'!U35+'Offering 2'!U42)+('Offering 3'!U35+'Offering 3'!U42)+('Offering 4'!U35+'Offering 4'!U42)</f>
        <v>12884.59948568069</v>
      </c>
      <c r="V32" s="697">
        <f ca="1">('Offering 1'!V35+'Offering 1'!V42)+('Offering 2'!V35+'Offering 2'!V42)+('Offering 3'!V35+'Offering 3'!V42)+('Offering 4'!V35+'Offering 4'!V42)</f>
        <v>13725.119174891121</v>
      </c>
      <c r="W32" s="697">
        <f ca="1">('Offering 1'!W35+'Offering 1'!W42)+('Offering 2'!W35+'Offering 2'!W42)+('Offering 3'!W35+'Offering 3'!W42)+('Offering 4'!W35+'Offering 4'!W42)</f>
        <v>14757.553028457101</v>
      </c>
      <c r="X32" s="697">
        <f ca="1">('Offering 1'!X35+'Offering 1'!X42)+('Offering 2'!X35+'Offering 2'!X42)+('Offering 3'!X35+'Offering 3'!X42)+('Offering 4'!X35+'Offering 4'!X42)</f>
        <v>15803.467240115799</v>
      </c>
      <c r="Y32" s="697">
        <f ca="1">('Offering 1'!Y35+'Offering 1'!Y42)+('Offering 2'!Y35+'Offering 2'!Y42)+('Offering 3'!Y35+'Offering 3'!Y42)+('Offering 4'!Y35+'Offering 4'!Y42)</f>
        <v>16703.369459785867</v>
      </c>
      <c r="Z32" s="697">
        <f ca="1">('Offering 1'!Z35+'Offering 1'!Z42)+('Offering 2'!Z35+'Offering 2'!Z42)+('Offering 3'!Z35+'Offering 3'!Z42)+('Offering 4'!Z35+'Offering 4'!Z42)</f>
        <v>17733.959237792395</v>
      </c>
      <c r="AA32" s="697">
        <f ca="1">('Offering 1'!AA35+'Offering 1'!AA42)+('Offering 2'!AA35+'Offering 2'!AA42)+('Offering 3'!AA35+'Offering 3'!AA42)+('Offering 4'!AA35+'Offering 4'!AA42)</f>
        <v>18784.631689921243</v>
      </c>
      <c r="AB32" s="697">
        <f ca="1">('Offering 1'!AB35+'Offering 1'!AB42)+('Offering 2'!AB35+'Offering 2'!AB42)+('Offering 3'!AB35+'Offering 3'!AB42)+('Offering 4'!AB35+'Offering 4'!AB42)</f>
        <v>19731.391651466518</v>
      </c>
      <c r="AC32" s="697">
        <f ca="1">('Offering 1'!AC35+'Offering 1'!AC42)+('Offering 2'!AC35+'Offering 2'!AC42)+('Offering 3'!AC35+'Offering 3'!AC42)+('Offering 4'!AC35+'Offering 4'!AC42)</f>
        <v>20791.288990363206</v>
      </c>
      <c r="AD32" s="697">
        <f ca="1">('Offering 1'!AD35+'Offering 1'!AD42)+('Offering 2'!AD35+'Offering 2'!AD42)+('Offering 3'!AD35+'Offering 3'!AD42)+('Offering 4'!AD35+'Offering 4'!AD42)</f>
        <v>21877.515125897335</v>
      </c>
      <c r="AE32" s="697">
        <f ca="1">('Offering 1'!AE35+'Offering 1'!AE42)+('Offering 2'!AE35+'Offering 2'!AE42)+('Offering 3'!AE35+'Offering 3'!AE42)+('Offering 4'!AE35+'Offering 4'!AE42)</f>
        <v>22893.260612877784</v>
      </c>
      <c r="AF32" s="697">
        <f ca="1">('Offering 1'!AF35+'Offering 1'!AF42)+('Offering 2'!AF35+'Offering 2'!AF42)+('Offering 3'!AF35+'Offering 3'!AF42)+('Offering 4'!AF35+'Offering 4'!AF42)</f>
        <v>0</v>
      </c>
      <c r="AG32" s="697">
        <f ca="1">('Offering 1'!AG35+'Offering 1'!AG42)+('Offering 2'!AG35+'Offering 2'!AG42)+('Offering 3'!AG35+'Offering 3'!AG42)+('Offering 4'!AG35+'Offering 4'!AG42)</f>
        <v>0</v>
      </c>
    </row>
    <row r="33" spans="1:33" s="116" customFormat="1" ht="17.25" customHeight="1" outlineLevel="2">
      <c r="A33" s="861"/>
      <c r="B33" s="235"/>
      <c r="C33" s="40" t="str">
        <f>Name_VAT &amp;" received"</f>
        <v>VAT received</v>
      </c>
      <c r="D33" s="8" t="str">
        <f>Currency_Label</f>
        <v>USD</v>
      </c>
      <c r="E33" s="40"/>
      <c r="F33" s="40"/>
      <c r="G33" s="40"/>
      <c r="H33" s="40"/>
      <c r="I33" s="71">
        <f ca="1">SUM(J33:AG33)</f>
        <v>-248843.37084815119</v>
      </c>
      <c r="J33" s="695">
        <f t="shared" ref="J33:AG33" ca="1" si="9">-J28</f>
        <v>-251.20000000000005</v>
      </c>
      <c r="K33" s="695">
        <f t="shared" ca="1" si="9"/>
        <v>-203.20000000000005</v>
      </c>
      <c r="L33" s="695">
        <f t="shared" ca="1" si="9"/>
        <v>-219.20000000000005</v>
      </c>
      <c r="M33" s="695">
        <f t="shared" ca="1" si="9"/>
        <v>-7973.3520000000008</v>
      </c>
      <c r="N33" s="695">
        <f t="shared" ca="1" si="9"/>
        <v>-251.20000000000005</v>
      </c>
      <c r="O33" s="695">
        <f t="shared" ca="1" si="9"/>
        <v>-251.20000000000005</v>
      </c>
      <c r="P33" s="695">
        <f t="shared" ca="1" si="9"/>
        <v>-16529.687168000004</v>
      </c>
      <c r="Q33" s="695">
        <f t="shared" ca="1" si="9"/>
        <v>-251.20000000000005</v>
      </c>
      <c r="R33" s="695">
        <f t="shared" ca="1" si="9"/>
        <v>-251.20000000000005</v>
      </c>
      <c r="S33" s="695">
        <f t="shared" ca="1" si="9"/>
        <v>-26483.022110973965</v>
      </c>
      <c r="T33" s="695">
        <f t="shared" ca="1" si="9"/>
        <v>-251.20000000000005</v>
      </c>
      <c r="U33" s="695">
        <f t="shared" ca="1" si="9"/>
        <v>-288.00000000000006</v>
      </c>
      <c r="V33" s="695">
        <f t="shared" ca="1" si="9"/>
        <v>-35731.413970486574</v>
      </c>
      <c r="W33" s="695">
        <f t="shared" ca="1" si="9"/>
        <v>-251.20000000000005</v>
      </c>
      <c r="X33" s="695">
        <f t="shared" ca="1" si="9"/>
        <v>-251.20000000000005</v>
      </c>
      <c r="Y33" s="695">
        <f t="shared" ca="1" si="9"/>
        <v>-43783.739443464015</v>
      </c>
      <c r="Z33" s="695">
        <f t="shared" ca="1" si="9"/>
        <v>-251.20000000000005</v>
      </c>
      <c r="AA33" s="695">
        <f t="shared" ca="1" si="9"/>
        <v>-251.20000000000005</v>
      </c>
      <c r="AB33" s="695">
        <f t="shared" ca="1" si="9"/>
        <v>-52719.560387499507</v>
      </c>
      <c r="AC33" s="695">
        <f t="shared" ca="1" si="9"/>
        <v>-251.20000000000005</v>
      </c>
      <c r="AD33" s="695">
        <f t="shared" ca="1" si="9"/>
        <v>-251.20000000000005</v>
      </c>
      <c r="AE33" s="695">
        <f t="shared" ca="1" si="9"/>
        <v>-61897.795767727053</v>
      </c>
      <c r="AF33" s="695">
        <f t="shared" ca="1" si="9"/>
        <v>0</v>
      </c>
      <c r="AG33" s="695">
        <f t="shared" ca="1" si="9"/>
        <v>0</v>
      </c>
    </row>
    <row r="34" spans="1:33" s="116" customFormat="1" ht="17.25" customHeight="1" outlineLevel="2" thickBot="1">
      <c r="A34" s="861"/>
      <c r="B34" s="235"/>
      <c r="C34" s="632" t="s">
        <v>141</v>
      </c>
      <c r="D34" s="8" t="str">
        <f>Currency_Label</f>
        <v>USD</v>
      </c>
      <c r="E34" s="40"/>
      <c r="F34" s="40"/>
      <c r="G34" s="40"/>
      <c r="H34" s="40"/>
      <c r="I34" s="122"/>
      <c r="J34" s="509">
        <f ca="1">SUM(J31:J33)</f>
        <v>1743.9840000000004</v>
      </c>
      <c r="K34" s="509">
        <f t="shared" ref="K34:AG34" ca="1" si="10">SUM(K31:K33)</f>
        <v>4319.5680000000011</v>
      </c>
      <c r="L34" s="509">
        <f t="shared" ca="1" si="10"/>
        <v>7786.1520000000019</v>
      </c>
      <c r="M34" s="509">
        <f t="shared" ca="1" si="10"/>
        <v>4437.4176000000025</v>
      </c>
      <c r="N34" s="509">
        <f t="shared" ca="1" si="10"/>
        <v>9840.7584000000024</v>
      </c>
      <c r="O34" s="509">
        <f t="shared" ca="1" si="10"/>
        <v>16267.287168000003</v>
      </c>
      <c r="P34" s="509">
        <f t="shared" ca="1" si="10"/>
        <v>7562.5135027200013</v>
      </c>
      <c r="Q34" s="509">
        <f t="shared" ca="1" si="10"/>
        <v>16287.083751628805</v>
      </c>
      <c r="R34" s="509">
        <f t="shared" ca="1" si="10"/>
        <v>26231.822110973961</v>
      </c>
      <c r="S34" s="509">
        <f t="shared" ca="1" si="10"/>
        <v>10875.262005078956</v>
      </c>
      <c r="T34" s="509">
        <f t="shared" ca="1" si="10"/>
        <v>22883.614484805879</v>
      </c>
      <c r="U34" s="509">
        <f t="shared" ca="1" si="10"/>
        <v>35480.213970486569</v>
      </c>
      <c r="V34" s="509">
        <f t="shared" ca="1" si="10"/>
        <v>13473.919174891118</v>
      </c>
      <c r="W34" s="509">
        <f t="shared" ca="1" si="10"/>
        <v>27980.272203348217</v>
      </c>
      <c r="X34" s="509">
        <f t="shared" ca="1" si="10"/>
        <v>43532.539443464018</v>
      </c>
      <c r="Y34" s="509">
        <f t="shared" ca="1" si="10"/>
        <v>16452.169459785873</v>
      </c>
      <c r="Z34" s="509">
        <f t="shared" ca="1" si="10"/>
        <v>33934.928697578274</v>
      </c>
      <c r="AA34" s="509">
        <f t="shared" ca="1" si="10"/>
        <v>52468.360387499517</v>
      </c>
      <c r="AB34" s="509">
        <f t="shared" ca="1" si="10"/>
        <v>19480.191651466528</v>
      </c>
      <c r="AC34" s="509">
        <f t="shared" ca="1" si="10"/>
        <v>40020.28064182974</v>
      </c>
      <c r="AD34" s="509">
        <f t="shared" ca="1" si="10"/>
        <v>61646.595767727078</v>
      </c>
      <c r="AE34" s="509">
        <f t="shared" ca="1" si="10"/>
        <v>22642.060612877809</v>
      </c>
      <c r="AF34" s="509">
        <f t="shared" ca="1" si="10"/>
        <v>0</v>
      </c>
      <c r="AG34" s="509">
        <f t="shared" ca="1" si="10"/>
        <v>0</v>
      </c>
    </row>
    <row r="35" spans="1:33" s="878" customFormat="1" ht="17.25" customHeight="1" outlineLevel="2" thickTop="1">
      <c r="A35" s="861"/>
      <c r="B35" s="861"/>
      <c r="C35" s="127"/>
      <c r="D35" s="270"/>
      <c r="E35" s="127"/>
      <c r="F35" s="127"/>
      <c r="G35" s="127"/>
      <c r="H35" s="127"/>
      <c r="I35" s="127"/>
      <c r="J35" s="321"/>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row>
    <row r="36" spans="1:33" s="878" customFormat="1" ht="21" customHeight="1" outlineLevel="1">
      <c r="A36" s="861"/>
      <c r="B36" s="274">
        <v>2</v>
      </c>
      <c r="C36" s="274" t="s">
        <v>959</v>
      </c>
      <c r="D36" s="270"/>
      <c r="E36" s="127"/>
      <c r="F36" s="127"/>
      <c r="G36" s="127"/>
      <c r="H36" s="127"/>
      <c r="I36" s="127"/>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row>
    <row r="37" spans="1:33" s="878" customFormat="1" ht="20.25" customHeight="1" outlineLevel="2">
      <c r="A37" s="861"/>
      <c r="B37" s="861"/>
      <c r="C37" s="320" t="s">
        <v>773</v>
      </c>
      <c r="D37" s="330"/>
      <c r="E37" s="127"/>
      <c r="F37" s="127"/>
      <c r="G37" s="127"/>
      <c r="H37" s="127"/>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row>
    <row r="38" spans="1:33" s="878" customFormat="1" ht="17.25" customHeight="1" outlineLevel="2">
      <c r="A38" s="861"/>
      <c r="B38" s="861"/>
      <c r="C38" s="878" t="s">
        <v>140</v>
      </c>
      <c r="D38" s="8" t="str">
        <f t="shared" ref="D38:D43" si="11">Currency_Label</f>
        <v>USD</v>
      </c>
      <c r="E38" s="40"/>
      <c r="F38" s="40"/>
      <c r="G38" s="40"/>
      <c r="H38" s="40"/>
      <c r="I38" s="121"/>
      <c r="J38" s="695">
        <f t="shared" ref="J38" si="12">I43</f>
        <v>0</v>
      </c>
      <c r="K38" s="695">
        <f t="shared" ref="K38" si="13">J43</f>
        <v>0</v>
      </c>
      <c r="L38" s="695">
        <f t="shared" ref="L38" si="14">K43</f>
        <v>0</v>
      </c>
      <c r="M38" s="695">
        <f t="shared" ref="M38" si="15">L43</f>
        <v>0</v>
      </c>
      <c r="N38" s="695">
        <f t="shared" ref="N38" si="16">M43</f>
        <v>0</v>
      </c>
      <c r="O38" s="695">
        <f t="shared" ref="O38" si="17">N43</f>
        <v>0</v>
      </c>
      <c r="P38" s="695">
        <f t="shared" ref="P38" si="18">O43</f>
        <v>0</v>
      </c>
      <c r="Q38" s="695">
        <f t="shared" ref="Q38" si="19">P43</f>
        <v>0</v>
      </c>
      <c r="R38" s="695">
        <f t="shared" ref="R38" si="20">Q43</f>
        <v>0</v>
      </c>
      <c r="S38" s="695">
        <f t="shared" ref="S38" si="21">R43</f>
        <v>0</v>
      </c>
      <c r="T38" s="695">
        <f t="shared" ref="T38" si="22">S43</f>
        <v>0</v>
      </c>
      <c r="U38" s="695">
        <f t="shared" ref="U38" si="23">T43</f>
        <v>0</v>
      </c>
      <c r="V38" s="695">
        <f t="shared" ref="V38" si="24">U43</f>
        <v>0</v>
      </c>
      <c r="W38" s="695">
        <f t="shared" ref="W38" si="25">V43</f>
        <v>0</v>
      </c>
      <c r="X38" s="695">
        <f t="shared" ref="X38" si="26">W43</f>
        <v>0</v>
      </c>
      <c r="Y38" s="695">
        <f t="shared" ref="Y38" si="27">X43</f>
        <v>0</v>
      </c>
      <c r="Z38" s="695">
        <f t="shared" ref="Z38" si="28">Y43</f>
        <v>0</v>
      </c>
      <c r="AA38" s="695">
        <f t="shared" ref="AA38" si="29">Z43</f>
        <v>0</v>
      </c>
      <c r="AB38" s="695">
        <f t="shared" ref="AB38" si="30">AA43</f>
        <v>0</v>
      </c>
      <c r="AC38" s="695">
        <f t="shared" ref="AC38" si="31">AB43</f>
        <v>0</v>
      </c>
      <c r="AD38" s="695">
        <f t="shared" ref="AD38" si="32">AC43</f>
        <v>0</v>
      </c>
      <c r="AE38" s="695">
        <f t="shared" ref="AE38" si="33">AD43</f>
        <v>0</v>
      </c>
      <c r="AF38" s="695">
        <f t="shared" ref="AF38" si="34">AE43</f>
        <v>0</v>
      </c>
      <c r="AG38" s="695">
        <f t="shared" ref="AG38" si="35">AF43</f>
        <v>0</v>
      </c>
    </row>
    <row r="39" spans="1:33" s="878" customFormat="1" ht="17.25" customHeight="1" outlineLevel="2">
      <c r="A39" s="861"/>
      <c r="B39" s="861"/>
      <c r="C39" s="40" t="str">
        <f>"  Increase/(Decrease) Offering 1: "&amp;PS_01</f>
        <v xml:space="preserve">  Increase/(Decrease) Offering 1: WonderApp</v>
      </c>
      <c r="D39" s="8" t="str">
        <f t="shared" si="11"/>
        <v>USD</v>
      </c>
      <c r="E39" s="40"/>
      <c r="F39" s="40"/>
      <c r="G39" s="40"/>
      <c r="H39" s="40"/>
      <c r="I39" s="71">
        <f>ROUND(SUM(J39:AG39),4)</f>
        <v>0</v>
      </c>
      <c r="J39" s="697">
        <f>'Offering 1'!J50</f>
        <v>0</v>
      </c>
      <c r="K39" s="697">
        <f>'Offering 1'!K50</f>
        <v>0</v>
      </c>
      <c r="L39" s="697">
        <f>'Offering 1'!L50</f>
        <v>0</v>
      </c>
      <c r="M39" s="697">
        <f>'Offering 1'!M50</f>
        <v>0</v>
      </c>
      <c r="N39" s="697">
        <f>'Offering 1'!N50</f>
        <v>0</v>
      </c>
      <c r="O39" s="697">
        <f>'Offering 1'!O50</f>
        <v>0</v>
      </c>
      <c r="P39" s="697">
        <f>'Offering 1'!P50</f>
        <v>0</v>
      </c>
      <c r="Q39" s="697">
        <f>'Offering 1'!Q50</f>
        <v>0</v>
      </c>
      <c r="R39" s="697">
        <f>'Offering 1'!R50</f>
        <v>0</v>
      </c>
      <c r="S39" s="697">
        <f>'Offering 1'!S50</f>
        <v>0</v>
      </c>
      <c r="T39" s="697">
        <f>'Offering 1'!T50</f>
        <v>0</v>
      </c>
      <c r="U39" s="697">
        <f>'Offering 1'!U50</f>
        <v>0</v>
      </c>
      <c r="V39" s="697">
        <f>'Offering 1'!V50</f>
        <v>0</v>
      </c>
      <c r="W39" s="697">
        <f>'Offering 1'!W50</f>
        <v>0</v>
      </c>
      <c r="X39" s="697">
        <f>'Offering 1'!X50</f>
        <v>0</v>
      </c>
      <c r="Y39" s="697">
        <f>'Offering 1'!Y50</f>
        <v>0</v>
      </c>
      <c r="Z39" s="697">
        <f>'Offering 1'!Z50</f>
        <v>0</v>
      </c>
      <c r="AA39" s="697">
        <f>'Offering 1'!AA50</f>
        <v>0</v>
      </c>
      <c r="AB39" s="697">
        <f>'Offering 1'!AB50</f>
        <v>0</v>
      </c>
      <c r="AC39" s="697">
        <f>'Offering 1'!AC50</f>
        <v>0</v>
      </c>
      <c r="AD39" s="697">
        <f>'Offering 1'!AD50</f>
        <v>0</v>
      </c>
      <c r="AE39" s="697">
        <f>'Offering 1'!AE50</f>
        <v>0</v>
      </c>
      <c r="AF39" s="697">
        <f>'Offering 1'!AF50</f>
        <v>0</v>
      </c>
      <c r="AG39" s="697">
        <f>'Offering 1'!AG50</f>
        <v>0</v>
      </c>
    </row>
    <row r="40" spans="1:33" s="878" customFormat="1" ht="17.25" customHeight="1" outlineLevel="2">
      <c r="A40" s="861"/>
      <c r="B40" s="861"/>
      <c r="C40" s="40" t="str">
        <f>"  Increase/(Decrease) Offering 2: "&amp;PS_02</f>
        <v xml:space="preserve">  Increase/(Decrease) Offering 2: WonderMoreX</v>
      </c>
      <c r="D40" s="8" t="str">
        <f t="shared" si="11"/>
        <v>USD</v>
      </c>
      <c r="E40" s="40"/>
      <c r="F40" s="40"/>
      <c r="G40" s="40"/>
      <c r="H40" s="40"/>
      <c r="I40" s="71">
        <f>ROUND(SUM(J40:AG40),4)</f>
        <v>0</v>
      </c>
      <c r="J40" s="697">
        <f>'Offering 2'!J50</f>
        <v>0</v>
      </c>
      <c r="K40" s="697">
        <f>'Offering 2'!K50</f>
        <v>0</v>
      </c>
      <c r="L40" s="697">
        <f>'Offering 2'!L50</f>
        <v>0</v>
      </c>
      <c r="M40" s="697">
        <f>'Offering 2'!M50</f>
        <v>0</v>
      </c>
      <c r="N40" s="697">
        <f>'Offering 2'!N50</f>
        <v>0</v>
      </c>
      <c r="O40" s="697">
        <f>'Offering 2'!O50</f>
        <v>0</v>
      </c>
      <c r="P40" s="697">
        <f>'Offering 2'!P50</f>
        <v>0</v>
      </c>
      <c r="Q40" s="697">
        <f>'Offering 2'!Q50</f>
        <v>0</v>
      </c>
      <c r="R40" s="697">
        <f>'Offering 2'!R50</f>
        <v>0</v>
      </c>
      <c r="S40" s="697">
        <f>'Offering 2'!S50</f>
        <v>0</v>
      </c>
      <c r="T40" s="697">
        <f>'Offering 2'!T50</f>
        <v>0</v>
      </c>
      <c r="U40" s="697">
        <f>'Offering 2'!U50</f>
        <v>0</v>
      </c>
      <c r="V40" s="697">
        <f>'Offering 2'!V50</f>
        <v>0</v>
      </c>
      <c r="W40" s="697">
        <f>'Offering 2'!W50</f>
        <v>0</v>
      </c>
      <c r="X40" s="697">
        <f>'Offering 2'!X50</f>
        <v>0</v>
      </c>
      <c r="Y40" s="697">
        <f>'Offering 2'!Y50</f>
        <v>0</v>
      </c>
      <c r="Z40" s="697">
        <f>'Offering 2'!Z50</f>
        <v>0</v>
      </c>
      <c r="AA40" s="697">
        <f>'Offering 2'!AA50</f>
        <v>0</v>
      </c>
      <c r="AB40" s="697">
        <f>'Offering 2'!AB50</f>
        <v>0</v>
      </c>
      <c r="AC40" s="697">
        <f>'Offering 2'!AC50</f>
        <v>0</v>
      </c>
      <c r="AD40" s="697">
        <f>'Offering 2'!AD50</f>
        <v>0</v>
      </c>
      <c r="AE40" s="697">
        <f>'Offering 2'!AE50</f>
        <v>0</v>
      </c>
      <c r="AF40" s="697">
        <f>'Offering 2'!AF50</f>
        <v>0</v>
      </c>
      <c r="AG40" s="697">
        <f>'Offering 2'!AG50</f>
        <v>0</v>
      </c>
    </row>
    <row r="41" spans="1:33" s="878" customFormat="1" ht="17.25" customHeight="1" outlineLevel="2">
      <c r="A41" s="861"/>
      <c r="B41" s="861"/>
      <c r="C41" s="40" t="str">
        <f>"  Increase/(Decrease) Offering 3: "&amp;PS_03</f>
        <v xml:space="preserve">  Increase/(Decrease) Offering 3: Customizing Services</v>
      </c>
      <c r="D41" s="8" t="str">
        <f t="shared" si="11"/>
        <v>USD</v>
      </c>
      <c r="E41" s="40"/>
      <c r="F41" s="40"/>
      <c r="G41" s="40"/>
      <c r="H41" s="40"/>
      <c r="I41" s="71">
        <f>ROUND(SUM(J41:AG41),4)</f>
        <v>0</v>
      </c>
      <c r="J41" s="697">
        <f>'Offering 3'!J50</f>
        <v>0</v>
      </c>
      <c r="K41" s="697">
        <f>'Offering 3'!K50</f>
        <v>0</v>
      </c>
      <c r="L41" s="697">
        <f>'Offering 3'!L50</f>
        <v>0</v>
      </c>
      <c r="M41" s="697">
        <f>'Offering 3'!M50</f>
        <v>0</v>
      </c>
      <c r="N41" s="697">
        <f>'Offering 3'!N50</f>
        <v>0</v>
      </c>
      <c r="O41" s="697">
        <f>'Offering 3'!O50</f>
        <v>0</v>
      </c>
      <c r="P41" s="697">
        <f>'Offering 3'!P50</f>
        <v>0</v>
      </c>
      <c r="Q41" s="697">
        <f>'Offering 3'!Q50</f>
        <v>0</v>
      </c>
      <c r="R41" s="697">
        <f>'Offering 3'!R50</f>
        <v>0</v>
      </c>
      <c r="S41" s="697">
        <f>'Offering 3'!S50</f>
        <v>0</v>
      </c>
      <c r="T41" s="697">
        <f>'Offering 3'!T50</f>
        <v>0</v>
      </c>
      <c r="U41" s="697">
        <f>'Offering 3'!U50</f>
        <v>0</v>
      </c>
      <c r="V41" s="697">
        <f>'Offering 3'!V50</f>
        <v>0</v>
      </c>
      <c r="W41" s="697">
        <f>'Offering 3'!W50</f>
        <v>0</v>
      </c>
      <c r="X41" s="697">
        <f>'Offering 3'!X50</f>
        <v>0</v>
      </c>
      <c r="Y41" s="697">
        <f>'Offering 3'!Y50</f>
        <v>0</v>
      </c>
      <c r="Z41" s="697">
        <f>'Offering 3'!Z50</f>
        <v>0</v>
      </c>
      <c r="AA41" s="697">
        <f>'Offering 3'!AA50</f>
        <v>0</v>
      </c>
      <c r="AB41" s="697">
        <f>'Offering 3'!AB50</f>
        <v>0</v>
      </c>
      <c r="AC41" s="697">
        <f>'Offering 3'!AC50</f>
        <v>0</v>
      </c>
      <c r="AD41" s="697">
        <f>'Offering 3'!AD50</f>
        <v>0</v>
      </c>
      <c r="AE41" s="697">
        <f>'Offering 3'!AE50</f>
        <v>0</v>
      </c>
      <c r="AF41" s="697">
        <f>'Offering 3'!AF50</f>
        <v>0</v>
      </c>
      <c r="AG41" s="697">
        <f>'Offering 3'!AG50</f>
        <v>0</v>
      </c>
    </row>
    <row r="42" spans="1:33" s="878" customFormat="1" ht="17.25" customHeight="1" outlineLevel="2">
      <c r="A42" s="861"/>
      <c r="B42" s="861"/>
      <c r="C42" s="40" t="str">
        <f>"  Increase/(Decrease) Offering 4: "&amp;PS_04</f>
        <v xml:space="preserve">  Increase/(Decrease) Offering 4: FutureApp</v>
      </c>
      <c r="D42" s="8" t="str">
        <f t="shared" si="11"/>
        <v>USD</v>
      </c>
      <c r="E42" s="40"/>
      <c r="F42" s="40"/>
      <c r="G42" s="40"/>
      <c r="H42" s="40"/>
      <c r="I42" s="71">
        <f>ROUND(SUM(J42:AG42),4)</f>
        <v>0</v>
      </c>
      <c r="J42" s="697">
        <f>'Offering 4'!J50</f>
        <v>0</v>
      </c>
      <c r="K42" s="697">
        <f>'Offering 4'!K50</f>
        <v>0</v>
      </c>
      <c r="L42" s="697">
        <f>'Offering 4'!L50</f>
        <v>0</v>
      </c>
      <c r="M42" s="697">
        <f>'Offering 4'!M50</f>
        <v>0</v>
      </c>
      <c r="N42" s="697">
        <f>'Offering 4'!N50</f>
        <v>0</v>
      </c>
      <c r="O42" s="697">
        <f>'Offering 4'!O50</f>
        <v>0</v>
      </c>
      <c r="P42" s="697">
        <f>'Offering 4'!P50</f>
        <v>0</v>
      </c>
      <c r="Q42" s="697">
        <f>'Offering 4'!Q50</f>
        <v>0</v>
      </c>
      <c r="R42" s="697">
        <f>'Offering 4'!R50</f>
        <v>0</v>
      </c>
      <c r="S42" s="697">
        <f>'Offering 4'!S50</f>
        <v>0</v>
      </c>
      <c r="T42" s="697">
        <f>'Offering 4'!T50</f>
        <v>0</v>
      </c>
      <c r="U42" s="697">
        <f>'Offering 4'!U50</f>
        <v>0</v>
      </c>
      <c r="V42" s="697">
        <f>'Offering 4'!V50</f>
        <v>0</v>
      </c>
      <c r="W42" s="697">
        <f>'Offering 4'!W50</f>
        <v>0</v>
      </c>
      <c r="X42" s="697">
        <f>'Offering 4'!X50</f>
        <v>0</v>
      </c>
      <c r="Y42" s="697">
        <f>'Offering 4'!Y50</f>
        <v>0</v>
      </c>
      <c r="Z42" s="697">
        <f>'Offering 4'!Z50</f>
        <v>0</v>
      </c>
      <c r="AA42" s="697">
        <f>'Offering 4'!AA50</f>
        <v>0</v>
      </c>
      <c r="AB42" s="697">
        <f>'Offering 4'!AB50</f>
        <v>0</v>
      </c>
      <c r="AC42" s="697">
        <f>'Offering 4'!AC50</f>
        <v>0</v>
      </c>
      <c r="AD42" s="697">
        <f>'Offering 4'!AD50</f>
        <v>0</v>
      </c>
      <c r="AE42" s="697">
        <f>'Offering 4'!AE50</f>
        <v>0</v>
      </c>
      <c r="AF42" s="697">
        <f>'Offering 4'!AF50</f>
        <v>0</v>
      </c>
      <c r="AG42" s="697">
        <f>'Offering 4'!AG50</f>
        <v>0</v>
      </c>
    </row>
    <row r="43" spans="1:33" s="878" customFormat="1" ht="17.25" customHeight="1" outlineLevel="2" thickBot="1">
      <c r="A43" s="861"/>
      <c r="B43" s="861"/>
      <c r="C43" s="878" t="s">
        <v>141</v>
      </c>
      <c r="D43" s="8" t="str">
        <f t="shared" si="11"/>
        <v>USD</v>
      </c>
      <c r="E43" s="40"/>
      <c r="F43" s="40"/>
      <c r="G43" s="40"/>
      <c r="H43" s="675"/>
      <c r="I43" s="122"/>
      <c r="J43" s="509">
        <f>IF(ABS(SUM(J38:J42))&lt;0.001,0,SUM(J38:J42))</f>
        <v>0</v>
      </c>
      <c r="K43" s="509">
        <f t="shared" ref="K43:AG43" si="36">IF(ABS(SUM(K38:K42))&lt;0.001,0,SUM(K38:K42))</f>
        <v>0</v>
      </c>
      <c r="L43" s="509">
        <f t="shared" si="36"/>
        <v>0</v>
      </c>
      <c r="M43" s="509">
        <f t="shared" si="36"/>
        <v>0</v>
      </c>
      <c r="N43" s="509">
        <f t="shared" si="36"/>
        <v>0</v>
      </c>
      <c r="O43" s="509">
        <f t="shared" si="36"/>
        <v>0</v>
      </c>
      <c r="P43" s="509">
        <f t="shared" si="36"/>
        <v>0</v>
      </c>
      <c r="Q43" s="509">
        <f t="shared" si="36"/>
        <v>0</v>
      </c>
      <c r="R43" s="509">
        <f t="shared" si="36"/>
        <v>0</v>
      </c>
      <c r="S43" s="509">
        <f t="shared" si="36"/>
        <v>0</v>
      </c>
      <c r="T43" s="509">
        <f t="shared" si="36"/>
        <v>0</v>
      </c>
      <c r="U43" s="509">
        <f t="shared" si="36"/>
        <v>0</v>
      </c>
      <c r="V43" s="509">
        <f t="shared" si="36"/>
        <v>0</v>
      </c>
      <c r="W43" s="509">
        <f t="shared" si="36"/>
        <v>0</v>
      </c>
      <c r="X43" s="509">
        <f t="shared" si="36"/>
        <v>0</v>
      </c>
      <c r="Y43" s="509">
        <f t="shared" si="36"/>
        <v>0</v>
      </c>
      <c r="Z43" s="509">
        <f t="shared" si="36"/>
        <v>0</v>
      </c>
      <c r="AA43" s="509">
        <f t="shared" si="36"/>
        <v>0</v>
      </c>
      <c r="AB43" s="509">
        <f t="shared" si="36"/>
        <v>0</v>
      </c>
      <c r="AC43" s="509">
        <f t="shared" si="36"/>
        <v>0</v>
      </c>
      <c r="AD43" s="509">
        <f t="shared" si="36"/>
        <v>0</v>
      </c>
      <c r="AE43" s="509">
        <f t="shared" si="36"/>
        <v>0</v>
      </c>
      <c r="AF43" s="509">
        <f t="shared" si="36"/>
        <v>0</v>
      </c>
      <c r="AG43" s="509">
        <f t="shared" si="36"/>
        <v>0</v>
      </c>
    </row>
    <row r="44" spans="1:33" s="632" customFormat="1" ht="15" customHeight="1" outlineLevel="1" thickTop="1">
      <c r="A44" s="861"/>
      <c r="B44" s="282"/>
      <c r="C44" s="127"/>
      <c r="D44" s="270"/>
      <c r="E44" s="127"/>
      <c r="F44" s="127"/>
      <c r="G44" s="127"/>
      <c r="H44" s="127"/>
      <c r="I44" s="127"/>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row>
    <row r="45" spans="1:33" s="632" customFormat="1" ht="26.25" customHeight="1" thickBot="1">
      <c r="A45" s="316"/>
      <c r="B45" s="316"/>
      <c r="C45" s="316" t="str">
        <f>CHOOSE(language,"Creditors","Payables")</f>
        <v>Payables</v>
      </c>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row>
    <row r="46" spans="1:33" s="632" customFormat="1" ht="23.25" customHeight="1" outlineLevel="1">
      <c r="A46" s="861"/>
      <c r="B46" s="274">
        <v>1</v>
      </c>
      <c r="C46" s="274" t="str">
        <f>CHOOSE(language,"Trade Creditors","Accounts Payables")</f>
        <v>Accounts Payables</v>
      </c>
      <c r="D46" s="270"/>
      <c r="E46" s="127"/>
      <c r="F46" s="127"/>
      <c r="G46" s="127"/>
      <c r="H46" s="127"/>
      <c r="I46" s="127"/>
      <c r="J46" s="127"/>
      <c r="K46" s="127"/>
      <c r="L46" s="127"/>
      <c r="M46" s="127"/>
      <c r="N46" s="127"/>
      <c r="O46" s="321"/>
      <c r="P46" s="321"/>
      <c r="Q46" s="321"/>
      <c r="R46" s="321"/>
      <c r="S46" s="321"/>
      <c r="T46" s="321"/>
      <c r="U46" s="321"/>
      <c r="V46" s="321"/>
      <c r="W46" s="321"/>
      <c r="X46" s="321"/>
      <c r="Y46" s="321"/>
      <c r="Z46" s="321"/>
      <c r="AA46" s="321"/>
      <c r="AB46" s="321"/>
      <c r="AC46" s="321"/>
      <c r="AD46" s="321"/>
      <c r="AE46" s="321"/>
      <c r="AF46" s="321"/>
      <c r="AG46" s="321"/>
    </row>
    <row r="47" spans="1:33" s="878" customFormat="1" ht="16.5" customHeight="1" outlineLevel="2">
      <c r="A47" s="861"/>
      <c r="B47" s="274"/>
      <c r="C47" s="320" t="str">
        <f>CHOOSE(language,"Overheads (w/o payroll expenses) =&gt; cash out","Overhead Expenses (w/o payroll expenses) =&gt; cash out")</f>
        <v>Overhead Expenses (w/o payroll expenses) =&gt; cash out</v>
      </c>
      <c r="D47" s="330"/>
      <c r="E47" s="282"/>
      <c r="F47" s="688"/>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row>
    <row r="48" spans="1:33" s="878" customFormat="1" ht="16.5" customHeight="1" outlineLevel="2">
      <c r="A48" s="861"/>
      <c r="B48" s="282"/>
      <c r="C48" s="692" t="str">
        <f>Costs!C11</f>
        <v>Marketing and Sales Costs</v>
      </c>
      <c r="D48" s="330"/>
      <c r="E48" s="671" t="s">
        <v>212</v>
      </c>
      <c r="F48" s="688"/>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row>
    <row r="49" spans="1:33" s="878" customFormat="1" ht="16.5" customHeight="1" outlineLevel="2">
      <c r="A49" s="861"/>
      <c r="B49" s="282"/>
      <c r="C49" s="24" t="str">
        <f>Costs!C13</f>
        <v>Sales commission expense</v>
      </c>
      <c r="D49" s="8" t="str">
        <f t="shared" ref="D49:D60" si="37">Currency_Label</f>
        <v>USD</v>
      </c>
      <c r="E49" s="689">
        <f>Costs!F13</f>
        <v>1</v>
      </c>
      <c r="F49" s="282"/>
      <c r="G49" s="282"/>
      <c r="H49" s="282"/>
      <c r="I49" s="71">
        <f t="shared" ref="I49:I60" ca="1" si="38">SUM(J49:AG49)</f>
        <v>13940.135359125972</v>
      </c>
      <c r="J49" s="697">
        <f ca="1">IF(EOMONTH(Enddatum,$E49+1)&lt;=J$5,0,IF(J$7&gt;$E49,OFFSET(Costs!J13,0,-$E49),0))</f>
        <v>0</v>
      </c>
      <c r="K49" s="697">
        <f ca="1">IF(EOMONTH(Enddatum,$E49+1)&lt;=K$5,0,IF(K$7&gt;$E49,OFFSET(Costs!K13,0,-$E49),0))</f>
        <v>180</v>
      </c>
      <c r="L49" s="697">
        <f ca="1">IF(EOMONTH(Enddatum,$E49+1)&lt;=L$5,0,IF(L$7&gt;$E49,OFFSET(Costs!L13,0,-$E49),0))</f>
        <v>360</v>
      </c>
      <c r="M49" s="697">
        <f ca="1">IF(EOMONTH(Enddatum,$E49+1)&lt;=M$5,0,IF(M$7&gt;$E49,OFFSET(Costs!M13,0,-$E49),0))</f>
        <v>450</v>
      </c>
      <c r="N49" s="697">
        <f ca="1">IF(EOMONTH(Enddatum,$E49+1)&lt;=N$5,0,IF(N$7&gt;$E49,OFFSET(Costs!N13,0,-$E49),0))</f>
        <v>468</v>
      </c>
      <c r="O49" s="697">
        <f ca="1">IF(EOMONTH(Enddatum,$E49+1)&lt;=O$5,0,IF(O$7&gt;$E49,OFFSET(Costs!O13,0,-$E49),0))</f>
        <v>486.72000000000008</v>
      </c>
      <c r="P49" s="697">
        <f ca="1">IF(EOMONTH(Enddatum,$E49+1)&lt;=P$5,0,IF(P$7&gt;$E49,OFFSET(Costs!P13,0,-$E49),0))</f>
        <v>506.18880000000019</v>
      </c>
      <c r="Q49" s="697">
        <f ca="1">IF(EOMONTH(Enddatum,$E49+1)&lt;=Q$5,0,IF(Q$7&gt;$E49,OFFSET(Costs!Q13,0,-$E49),0))</f>
        <v>526.43635200000017</v>
      </c>
      <c r="R49" s="697">
        <f ca="1">IF(EOMONTH(Enddatum,$E49+1)&lt;=R$5,0,IF(R$7&gt;$E49,OFFSET(Costs!R13,0,-$E49),0))</f>
        <v>547.49380608000013</v>
      </c>
      <c r="S49" s="697">
        <f ca="1">IF(EOMONTH(Enddatum,$E49+1)&lt;=S$5,0,IF(S$7&gt;$E49,OFFSET(Costs!S13,0,-$E49),0))</f>
        <v>569.39355832320018</v>
      </c>
      <c r="T49" s="697">
        <f ca="1">IF(EOMONTH(Enddatum,$E49+1)&lt;=T$5,0,IF(T$7&gt;$E49,OFFSET(Costs!T13,0,-$E49),0))</f>
        <v>592.16930065612826</v>
      </c>
      <c r="U49" s="697">
        <f ca="1">IF(EOMONTH(Enddatum,$E49+1)&lt;=U$5,0,IF(U$7&gt;$E49,OFFSET(Costs!U13,0,-$E49),0))</f>
        <v>615.85607268237334</v>
      </c>
      <c r="V49" s="697">
        <f ca="1">IF(EOMONTH(Enddatum,$E49+1)&lt;=V$5,0,IF(V$7&gt;$E49,OFFSET(Costs!V13,0,-$E49),0))</f>
        <v>640.49031558966817</v>
      </c>
      <c r="W49" s="697">
        <f ca="1">IF(EOMONTH(Enddatum,$E49+1)&lt;=W$5,0,IF(W$7&gt;$E49,OFFSET(Costs!W13,0,-$E49),0))</f>
        <v>666.10992821325499</v>
      </c>
      <c r="X49" s="697">
        <f ca="1">IF(EOMONTH(Enddatum,$E49+1)&lt;=X$5,0,IF(X$7&gt;$E49,OFFSET(Costs!X13,0,-$E49),0))</f>
        <v>692.75432534178526</v>
      </c>
      <c r="Y49" s="697">
        <f ca="1">IF(EOMONTH(Enddatum,$E49+1)&lt;=Y$5,0,IF(Y$7&gt;$E49,OFFSET(Costs!Y13,0,-$E49),0))</f>
        <v>720.46449835545661</v>
      </c>
      <c r="Z49" s="697">
        <f ca="1">IF(EOMONTH(Enddatum,$E49+1)&lt;=Z$5,0,IF(Z$7&gt;$E49,OFFSET(Costs!Z13,0,-$E49),0))</f>
        <v>749.28307828967502</v>
      </c>
      <c r="AA49" s="697">
        <f ca="1">IF(EOMONTH(Enddatum,$E49+1)&lt;=AA$5,0,IF(AA$7&gt;$E49,OFFSET(Costs!AA13,0,-$E49),0))</f>
        <v>779.25440142126195</v>
      </c>
      <c r="AB49" s="697">
        <f ca="1">IF(EOMONTH(Enddatum,$E49+1)&lt;=AB$5,0,IF(AB$7&gt;$E49,OFFSET(Costs!AB13,0,-$E49),0))</f>
        <v>810.4245774781125</v>
      </c>
      <c r="AC49" s="697">
        <f ca="1">IF(EOMONTH(Enddatum,$E49+1)&lt;=AC$5,0,IF(AC$7&gt;$E49,OFFSET(Costs!AC13,0,-$E49),0))</f>
        <v>842.84156057723692</v>
      </c>
      <c r="AD49" s="697">
        <f ca="1">IF(EOMONTH(Enddatum,$E49+1)&lt;=AD$5,0,IF(AD$7&gt;$E49,OFFSET(Costs!AD13,0,-$E49),0))</f>
        <v>876.55522300032646</v>
      </c>
      <c r="AE49" s="697">
        <f ca="1">IF(EOMONTH(Enddatum,$E49+1)&lt;=AE$5,0,IF(AE$7&gt;$E49,OFFSET(Costs!AE13,0,-$E49),0))</f>
        <v>911.61743192033964</v>
      </c>
      <c r="AF49" s="697">
        <f ca="1">IF(EOMONTH(Enddatum,$E49+1)&lt;=AF$5,0,IF(AF$7&gt;$E49,OFFSET(Costs!AF13,0,-$E49),0))</f>
        <v>948.08212919715322</v>
      </c>
      <c r="AG49" s="697">
        <f ca="1">IF(EOMONTH(Enddatum,$E49+1)&lt;=AG$5,0,IF(AG$7&gt;$E49,OFFSET(Costs!AG13,0,-$E49),0))</f>
        <v>0</v>
      </c>
    </row>
    <row r="50" spans="1:33" s="878" customFormat="1" ht="16.5" customHeight="1" outlineLevel="2">
      <c r="A50" s="861"/>
      <c r="B50" s="282"/>
      <c r="C50" s="24" t="str">
        <f>Costs!C14</f>
        <v>Lead generation expense</v>
      </c>
      <c r="D50" s="8" t="str">
        <f t="shared" si="37"/>
        <v>USD</v>
      </c>
      <c r="E50" s="689">
        <f>Costs!F14</f>
        <v>1</v>
      </c>
      <c r="F50" s="282"/>
      <c r="G50" s="282"/>
      <c r="H50" s="282"/>
      <c r="I50" s="71">
        <f t="shared" ca="1" si="38"/>
        <v>19361.299109897183</v>
      </c>
      <c r="J50" s="697">
        <f ca="1">IF(EOMONTH(Enddatum,$E50+1)&lt;=J$5,0,IF(J$7&gt;$E50,OFFSET(Costs!J14,0,-$E50),0))</f>
        <v>0</v>
      </c>
      <c r="K50" s="697">
        <f ca="1">IF(EOMONTH(Enddatum,$E50+1)&lt;=K$5,0,IF(K$7&gt;$E50,OFFSET(Costs!K14,0,-$E50),0))</f>
        <v>250</v>
      </c>
      <c r="L50" s="697">
        <f ca="1">IF(EOMONTH(Enddatum,$E50+1)&lt;=L$5,0,IF(L$7&gt;$E50,OFFSET(Costs!L14,0,-$E50),0))</f>
        <v>500</v>
      </c>
      <c r="M50" s="697">
        <f ca="1">IF(EOMONTH(Enddatum,$E50+1)&lt;=M$5,0,IF(M$7&gt;$E50,OFFSET(Costs!M14,0,-$E50),0))</f>
        <v>625</v>
      </c>
      <c r="N50" s="697">
        <f ca="1">IF(EOMONTH(Enddatum,$E50+1)&lt;=N$5,0,IF(N$7&gt;$E50,OFFSET(Costs!N14,0,-$E50),0))</f>
        <v>650</v>
      </c>
      <c r="O50" s="697">
        <f ca="1">IF(EOMONTH(Enddatum,$E50+1)&lt;=O$5,0,IF(O$7&gt;$E50,OFFSET(Costs!O14,0,-$E50),0))</f>
        <v>676.00000000000011</v>
      </c>
      <c r="P50" s="697">
        <f ca="1">IF(EOMONTH(Enddatum,$E50+1)&lt;=P$5,0,IF(P$7&gt;$E50,OFFSET(Costs!P14,0,-$E50),0))</f>
        <v>703.04000000000019</v>
      </c>
      <c r="Q50" s="697">
        <f ca="1">IF(EOMONTH(Enddatum,$E50+1)&lt;=Q$5,0,IF(Q$7&gt;$E50,OFFSET(Costs!Q14,0,-$E50),0))</f>
        <v>731.16160000000025</v>
      </c>
      <c r="R50" s="697">
        <f ca="1">IF(EOMONTH(Enddatum,$E50+1)&lt;=R$5,0,IF(R$7&gt;$E50,OFFSET(Costs!R14,0,-$E50),0))</f>
        <v>760.40806400000019</v>
      </c>
      <c r="S50" s="697">
        <f ca="1">IF(EOMONTH(Enddatum,$E50+1)&lt;=S$5,0,IF(S$7&gt;$E50,OFFSET(Costs!S14,0,-$E50),0))</f>
        <v>790.82438656000022</v>
      </c>
      <c r="T50" s="697">
        <f ca="1">IF(EOMONTH(Enddatum,$E50+1)&lt;=T$5,0,IF(T$7&gt;$E50,OFFSET(Costs!T14,0,-$E50),0))</f>
        <v>822.45736202240028</v>
      </c>
      <c r="U50" s="697">
        <f ca="1">IF(EOMONTH(Enddatum,$E50+1)&lt;=U$5,0,IF(U$7&gt;$E50,OFFSET(Costs!U14,0,-$E50),0))</f>
        <v>855.35565650329636</v>
      </c>
      <c r="V50" s="697">
        <f ca="1">IF(EOMONTH(Enddatum,$E50+1)&lt;=V$5,0,IF(V$7&gt;$E50,OFFSET(Costs!V14,0,-$E50),0))</f>
        <v>889.56988276342815</v>
      </c>
      <c r="W50" s="697">
        <f ca="1">IF(EOMONTH(Enddatum,$E50+1)&lt;=W$5,0,IF(W$7&gt;$E50,OFFSET(Costs!W14,0,-$E50),0))</f>
        <v>925.15267807396526</v>
      </c>
      <c r="X50" s="697">
        <f ca="1">IF(EOMONTH(Enddatum,$E50+1)&lt;=X$5,0,IF(X$7&gt;$E50,OFFSET(Costs!X14,0,-$E50),0))</f>
        <v>962.15878519692399</v>
      </c>
      <c r="Y50" s="697">
        <f ca="1">IF(EOMONTH(Enddatum,$E50+1)&lt;=Y$5,0,IF(Y$7&gt;$E50,OFFSET(Costs!Y14,0,-$E50),0))</f>
        <v>1000.6451366048009</v>
      </c>
      <c r="Z50" s="697">
        <f ca="1">IF(EOMONTH(Enddatum,$E50+1)&lt;=Z$5,0,IF(Z$7&gt;$E50,OFFSET(Costs!Z14,0,-$E50),0))</f>
        <v>1040.6709420689931</v>
      </c>
      <c r="AA50" s="697">
        <f ca="1">IF(EOMONTH(Enddatum,$E50+1)&lt;=AA$5,0,IF(AA$7&gt;$E50,OFFSET(Costs!AA14,0,-$E50),0))</f>
        <v>1082.2977797517526</v>
      </c>
      <c r="AB50" s="697">
        <f ca="1">IF(EOMONTH(Enddatum,$E50+1)&lt;=AB$5,0,IF(AB$7&gt;$E50,OFFSET(Costs!AB14,0,-$E50),0))</f>
        <v>1125.5896909418229</v>
      </c>
      <c r="AC50" s="697">
        <f ca="1">IF(EOMONTH(Enddatum,$E50+1)&lt;=AC$5,0,IF(AC$7&gt;$E50,OFFSET(Costs!AC14,0,-$E50),0))</f>
        <v>1170.6132785794957</v>
      </c>
      <c r="AD50" s="697">
        <f ca="1">IF(EOMONTH(Enddatum,$E50+1)&lt;=AD$5,0,IF(AD$7&gt;$E50,OFFSET(Costs!AD14,0,-$E50),0))</f>
        <v>1217.4378097226756</v>
      </c>
      <c r="AE50" s="697">
        <f ca="1">IF(EOMONTH(Enddatum,$E50+1)&lt;=AE$5,0,IF(AE$7&gt;$E50,OFFSET(Costs!AE14,0,-$E50),0))</f>
        <v>1266.1353221115828</v>
      </c>
      <c r="AF50" s="697">
        <f ca="1">IF(EOMONTH(Enddatum,$E50+1)&lt;=AF$5,0,IF(AF$7&gt;$E50,OFFSET(Costs!AF14,0,-$E50),0))</f>
        <v>1316.7807349960462</v>
      </c>
      <c r="AG50" s="697">
        <f ca="1">IF(EOMONTH(Enddatum,$E50+1)&lt;=AG$5,0,IF(AG$7&gt;$E50,OFFSET(Costs!AG14,0,-$E50),0))</f>
        <v>0</v>
      </c>
    </row>
    <row r="51" spans="1:33" s="878" customFormat="1" ht="16.5" customHeight="1" outlineLevel="2">
      <c r="A51" s="861"/>
      <c r="B51" s="282"/>
      <c r="C51" s="24" t="str">
        <f>Costs!C15</f>
        <v>Promotional materials (advertising, brochures etc.)</v>
      </c>
      <c r="D51" s="8" t="str">
        <f t="shared" si="37"/>
        <v>USD</v>
      </c>
      <c r="E51" s="689">
        <f>Costs!F15</f>
        <v>2</v>
      </c>
      <c r="F51" s="282"/>
      <c r="G51" s="282"/>
      <c r="H51" s="282"/>
      <c r="I51" s="71">
        <f t="shared" ca="1" si="38"/>
        <v>10150</v>
      </c>
      <c r="J51" s="697">
        <f ca="1">IF(EOMONTH(Enddatum,$E51+1)&lt;=J$5,0,IF(J$7&gt;$E51,OFFSET(Costs!J15,0,-$E51),0))</f>
        <v>0</v>
      </c>
      <c r="K51" s="697">
        <f ca="1">IF(EOMONTH(Enddatum,$E51+1)&lt;=K$5,0,IF(K$7&gt;$E51,OFFSET(Costs!K15,0,-$E51),0))</f>
        <v>0</v>
      </c>
      <c r="L51" s="697">
        <f ca="1">IF(EOMONTH(Enddatum,$E51+1)&lt;=L$5,0,IF(L$7&gt;$E51,OFFSET(Costs!L15,0,-$E51),0))</f>
        <v>950</v>
      </c>
      <c r="M51" s="697">
        <f ca="1">IF(EOMONTH(Enddatum,$E51+1)&lt;=M$5,0,IF(M$7&gt;$E51,OFFSET(Costs!M15,0,-$E51),0))</f>
        <v>950</v>
      </c>
      <c r="N51" s="697">
        <f ca="1">IF(EOMONTH(Enddatum,$E51+1)&lt;=N$5,0,IF(N$7&gt;$E51,OFFSET(Costs!N15,0,-$E51),0))</f>
        <v>950</v>
      </c>
      <c r="O51" s="697">
        <f ca="1">IF(EOMONTH(Enddatum,$E51+1)&lt;=O$5,0,IF(O$7&gt;$E51,OFFSET(Costs!O15,0,-$E51),0))</f>
        <v>950</v>
      </c>
      <c r="P51" s="697">
        <f ca="1">IF(EOMONTH(Enddatum,$E51+1)&lt;=P$5,0,IF(P$7&gt;$E51,OFFSET(Costs!P15,0,-$E51),0))</f>
        <v>950</v>
      </c>
      <c r="Q51" s="697">
        <f ca="1">IF(EOMONTH(Enddatum,$E51+1)&lt;=Q$5,0,IF(Q$7&gt;$E51,OFFSET(Costs!Q15,0,-$E51),0))</f>
        <v>0</v>
      </c>
      <c r="R51" s="697">
        <f ca="1">IF(EOMONTH(Enddatum,$E51+1)&lt;=R$5,0,IF(R$7&gt;$E51,OFFSET(Costs!R15,0,-$E51),0))</f>
        <v>0</v>
      </c>
      <c r="S51" s="697">
        <f ca="1">IF(EOMONTH(Enddatum,$E51+1)&lt;=S$5,0,IF(S$7&gt;$E51,OFFSET(Costs!S15,0,-$E51),0))</f>
        <v>0</v>
      </c>
      <c r="T51" s="697">
        <f ca="1">IF(EOMONTH(Enddatum,$E51+1)&lt;=T$5,0,IF(T$7&gt;$E51,OFFSET(Costs!T15,0,-$E51),0))</f>
        <v>0</v>
      </c>
      <c r="U51" s="697">
        <f ca="1">IF(EOMONTH(Enddatum,$E51+1)&lt;=U$5,0,IF(U$7&gt;$E51,OFFSET(Costs!U15,0,-$E51),0))</f>
        <v>0</v>
      </c>
      <c r="V51" s="697">
        <f ca="1">IF(EOMONTH(Enddatum,$E51+1)&lt;=V$5,0,IF(V$7&gt;$E51,OFFSET(Costs!V15,0,-$E51),0))</f>
        <v>0</v>
      </c>
      <c r="W51" s="697">
        <f ca="1">IF(EOMONTH(Enddatum,$E51+1)&lt;=W$5,0,IF(W$7&gt;$E51,OFFSET(Costs!W15,0,-$E51),0))</f>
        <v>1000</v>
      </c>
      <c r="X51" s="697">
        <f ca="1">IF(EOMONTH(Enddatum,$E51+1)&lt;=X$5,0,IF(X$7&gt;$E51,OFFSET(Costs!X15,0,-$E51),0))</f>
        <v>0</v>
      </c>
      <c r="Y51" s="697">
        <f ca="1">IF(EOMONTH(Enddatum,$E51+1)&lt;=Y$5,0,IF(Y$7&gt;$E51,OFFSET(Costs!Y15,0,-$E51),0))</f>
        <v>0</v>
      </c>
      <c r="Z51" s="697">
        <f ca="1">IF(EOMONTH(Enddatum,$E51+1)&lt;=Z$5,0,IF(Z$7&gt;$E51,OFFSET(Costs!Z15,0,-$E51),0))</f>
        <v>0</v>
      </c>
      <c r="AA51" s="697">
        <f ca="1">IF(EOMONTH(Enddatum,$E51+1)&lt;=AA$5,0,IF(AA$7&gt;$E51,OFFSET(Costs!AA15,0,-$E51),0))</f>
        <v>0</v>
      </c>
      <c r="AB51" s="697">
        <f ca="1">IF(EOMONTH(Enddatum,$E51+1)&lt;=AB$5,0,IF(AB$7&gt;$E51,OFFSET(Costs!AB15,0,-$E51),0))</f>
        <v>1000</v>
      </c>
      <c r="AC51" s="697">
        <f ca="1">IF(EOMONTH(Enddatum,$E51+1)&lt;=AC$5,0,IF(AC$7&gt;$E51,OFFSET(Costs!AC15,0,-$E51),0))</f>
        <v>1000</v>
      </c>
      <c r="AD51" s="697">
        <f ca="1">IF(EOMONTH(Enddatum,$E51+1)&lt;=AD$5,0,IF(AD$7&gt;$E51,OFFSET(Costs!AD15,0,-$E51),0))</f>
        <v>1000</v>
      </c>
      <c r="AE51" s="697">
        <f ca="1">IF(EOMONTH(Enddatum,$E51+1)&lt;=AE$5,0,IF(AE$7&gt;$E51,OFFSET(Costs!AE15,0,-$E51),0))</f>
        <v>1000</v>
      </c>
      <c r="AF51" s="697">
        <f ca="1">IF(EOMONTH(Enddatum,$E51+1)&lt;=AF$5,0,IF(AF$7&gt;$E51,OFFSET(Costs!AF15,0,-$E51),0))</f>
        <v>200</v>
      </c>
      <c r="AG51" s="697">
        <f ca="1">IF(EOMONTH(Enddatum,$E51+1)&lt;=AG$5,0,IF(AG$7&gt;$E51,OFFSET(Costs!AG15,0,-$E51),0))</f>
        <v>200</v>
      </c>
    </row>
    <row r="52" spans="1:33" s="878" customFormat="1" ht="16.5" customHeight="1" outlineLevel="2">
      <c r="A52" s="861"/>
      <c r="B52" s="282"/>
      <c r="C52" s="24" t="str">
        <f>Costs!C16</f>
        <v>Public relations, exhibitions</v>
      </c>
      <c r="D52" s="8" t="str">
        <f t="shared" si="37"/>
        <v>USD</v>
      </c>
      <c r="E52" s="689">
        <f>Costs!F16</f>
        <v>2</v>
      </c>
      <c r="F52" s="282"/>
      <c r="G52" s="282"/>
      <c r="H52" s="282"/>
      <c r="I52" s="71">
        <f t="shared" ca="1" si="38"/>
        <v>12000</v>
      </c>
      <c r="J52" s="697">
        <f ca="1">IF(EOMONTH(Enddatum,$E52+1)&lt;=J$5,0,IF(J$7&gt;$E52,OFFSET(Costs!J16,0,-$E52),0))</f>
        <v>0</v>
      </c>
      <c r="K52" s="697">
        <f ca="1">IF(EOMONTH(Enddatum,$E52+1)&lt;=K$5,0,IF(K$7&gt;$E52,OFFSET(Costs!K16,0,-$E52),0))</f>
        <v>0</v>
      </c>
      <c r="L52" s="697">
        <f ca="1">IF(EOMONTH(Enddatum,$E52+1)&lt;=L$5,0,IF(L$7&gt;$E52,OFFSET(Costs!L16,0,-$E52),0))</f>
        <v>0</v>
      </c>
      <c r="M52" s="697">
        <f ca="1">IF(EOMONTH(Enddatum,$E52+1)&lt;=M$5,0,IF(M$7&gt;$E52,OFFSET(Costs!M16,0,-$E52),0))</f>
        <v>0</v>
      </c>
      <c r="N52" s="697">
        <f ca="1">IF(EOMONTH(Enddatum,$E52+1)&lt;=N$5,0,IF(N$7&gt;$E52,OFFSET(Costs!N16,0,-$E52),0))</f>
        <v>7000</v>
      </c>
      <c r="O52" s="697">
        <f ca="1">IF(EOMONTH(Enddatum,$E52+1)&lt;=O$5,0,IF(O$7&gt;$E52,OFFSET(Costs!O16,0,-$E52),0))</f>
        <v>0</v>
      </c>
      <c r="P52" s="697">
        <f ca="1">IF(EOMONTH(Enddatum,$E52+1)&lt;=P$5,0,IF(P$7&gt;$E52,OFFSET(Costs!P16,0,-$E52),0))</f>
        <v>0</v>
      </c>
      <c r="Q52" s="697">
        <f ca="1">IF(EOMONTH(Enddatum,$E52+1)&lt;=Q$5,0,IF(Q$7&gt;$E52,OFFSET(Costs!Q16,0,-$E52),0))</f>
        <v>0</v>
      </c>
      <c r="R52" s="697">
        <f ca="1">IF(EOMONTH(Enddatum,$E52+1)&lt;=R$5,0,IF(R$7&gt;$E52,OFFSET(Costs!R16,0,-$E52),0))</f>
        <v>0</v>
      </c>
      <c r="S52" s="697">
        <f ca="1">IF(EOMONTH(Enddatum,$E52+1)&lt;=S$5,0,IF(S$7&gt;$E52,OFFSET(Costs!S16,0,-$E52),0))</f>
        <v>0</v>
      </c>
      <c r="T52" s="697">
        <f ca="1">IF(EOMONTH(Enddatum,$E52+1)&lt;=T$5,0,IF(T$7&gt;$E52,OFFSET(Costs!T16,0,-$E52),0))</f>
        <v>0</v>
      </c>
      <c r="U52" s="697">
        <f ca="1">IF(EOMONTH(Enddatum,$E52+1)&lt;=U$5,0,IF(U$7&gt;$E52,OFFSET(Costs!U16,0,-$E52),0))</f>
        <v>0</v>
      </c>
      <c r="V52" s="697">
        <f ca="1">IF(EOMONTH(Enddatum,$E52+1)&lt;=V$5,0,IF(V$7&gt;$E52,OFFSET(Costs!V16,0,-$E52),0))</f>
        <v>0</v>
      </c>
      <c r="W52" s="697">
        <f ca="1">IF(EOMONTH(Enddatum,$E52+1)&lt;=W$5,0,IF(W$7&gt;$E52,OFFSET(Costs!W16,0,-$E52),0))</f>
        <v>0</v>
      </c>
      <c r="X52" s="697">
        <f ca="1">IF(EOMONTH(Enddatum,$E52+1)&lt;=X$5,0,IF(X$7&gt;$E52,OFFSET(Costs!X16,0,-$E52),0))</f>
        <v>0</v>
      </c>
      <c r="Y52" s="697">
        <f ca="1">IF(EOMONTH(Enddatum,$E52+1)&lt;=Y$5,0,IF(Y$7&gt;$E52,OFFSET(Costs!Y16,0,-$E52),0))</f>
        <v>0</v>
      </c>
      <c r="Z52" s="697">
        <f ca="1">IF(EOMONTH(Enddatum,$E52+1)&lt;=Z$5,0,IF(Z$7&gt;$E52,OFFSET(Costs!Z16,0,-$E52),0))</f>
        <v>0</v>
      </c>
      <c r="AA52" s="697">
        <f ca="1">IF(EOMONTH(Enddatum,$E52+1)&lt;=AA$5,0,IF(AA$7&gt;$E52,OFFSET(Costs!AA16,0,-$E52),0))</f>
        <v>0</v>
      </c>
      <c r="AB52" s="697">
        <f ca="1">IF(EOMONTH(Enddatum,$E52+1)&lt;=AB$5,0,IF(AB$7&gt;$E52,OFFSET(Costs!AB16,0,-$E52),0))</f>
        <v>5000</v>
      </c>
      <c r="AC52" s="697">
        <f ca="1">IF(EOMONTH(Enddatum,$E52+1)&lt;=AC$5,0,IF(AC$7&gt;$E52,OFFSET(Costs!AC16,0,-$E52),0))</f>
        <v>0</v>
      </c>
      <c r="AD52" s="697">
        <f ca="1">IF(EOMONTH(Enddatum,$E52+1)&lt;=AD$5,0,IF(AD$7&gt;$E52,OFFSET(Costs!AD16,0,-$E52),0))</f>
        <v>0</v>
      </c>
      <c r="AE52" s="697">
        <f ca="1">IF(EOMONTH(Enddatum,$E52+1)&lt;=AE$5,0,IF(AE$7&gt;$E52,OFFSET(Costs!AE16,0,-$E52),0))</f>
        <v>0</v>
      </c>
      <c r="AF52" s="697">
        <f ca="1">IF(EOMONTH(Enddatum,$E52+1)&lt;=AF$5,0,IF(AF$7&gt;$E52,OFFSET(Costs!AF16,0,-$E52),0))</f>
        <v>0</v>
      </c>
      <c r="AG52" s="697">
        <f ca="1">IF(EOMONTH(Enddatum,$E52+1)&lt;=AG$5,0,IF(AG$7&gt;$E52,OFFSET(Costs!AG16,0,-$E52),0))</f>
        <v>0</v>
      </c>
    </row>
    <row r="53" spans="1:33" s="878" customFormat="1" ht="16.5" customHeight="1" outlineLevel="2">
      <c r="A53" s="861"/>
      <c r="B53" s="282"/>
      <c r="C53" s="24" t="str">
        <f>Costs!C17</f>
        <v>Marketing campaign / Promotion 01</v>
      </c>
      <c r="D53" s="8" t="str">
        <f t="shared" si="37"/>
        <v>USD</v>
      </c>
      <c r="E53" s="689">
        <f>Costs!F17</f>
        <v>2</v>
      </c>
      <c r="F53" s="282"/>
      <c r="G53" s="282"/>
      <c r="H53" s="282"/>
      <c r="I53" s="71">
        <f t="shared" ca="1" si="38"/>
        <v>4300</v>
      </c>
      <c r="J53" s="697">
        <f ca="1">IF(EOMONTH(Enddatum,$E53+1)&lt;=J$5,0,IF(J$7&gt;$E53,OFFSET(Costs!J17,0,-$E53),0))</f>
        <v>0</v>
      </c>
      <c r="K53" s="697">
        <f ca="1">IF(EOMONTH(Enddatum,$E53+1)&lt;=K$5,0,IF(K$7&gt;$E53,OFFSET(Costs!K17,0,-$E53),0))</f>
        <v>0</v>
      </c>
      <c r="L53" s="697">
        <f ca="1">IF(EOMONTH(Enddatum,$E53+1)&lt;=L$5,0,IF(L$7&gt;$E53,OFFSET(Costs!L17,0,-$E53),0))</f>
        <v>0</v>
      </c>
      <c r="M53" s="697">
        <f ca="1">IF(EOMONTH(Enddatum,$E53+1)&lt;=M$5,0,IF(M$7&gt;$E53,OFFSET(Costs!M17,0,-$E53),0))</f>
        <v>1150</v>
      </c>
      <c r="N53" s="697">
        <f ca="1">IF(EOMONTH(Enddatum,$E53+1)&lt;=N$5,0,IF(N$7&gt;$E53,OFFSET(Costs!N17,0,-$E53),0))</f>
        <v>0</v>
      </c>
      <c r="O53" s="697">
        <f ca="1">IF(EOMONTH(Enddatum,$E53+1)&lt;=O$5,0,IF(O$7&gt;$E53,OFFSET(Costs!O17,0,-$E53),0))</f>
        <v>0</v>
      </c>
      <c r="P53" s="697">
        <f ca="1">IF(EOMONTH(Enddatum,$E53+1)&lt;=P$5,0,IF(P$7&gt;$E53,OFFSET(Costs!P17,0,-$E53),0))</f>
        <v>0</v>
      </c>
      <c r="Q53" s="697">
        <f ca="1">IF(EOMONTH(Enddatum,$E53+1)&lt;=Q$5,0,IF(Q$7&gt;$E53,OFFSET(Costs!Q17,0,-$E53),0))</f>
        <v>1050</v>
      </c>
      <c r="R53" s="697">
        <f ca="1">IF(EOMONTH(Enddatum,$E53+1)&lt;=R$5,0,IF(R$7&gt;$E53,OFFSET(Costs!R17,0,-$E53),0))</f>
        <v>0</v>
      </c>
      <c r="S53" s="697">
        <f ca="1">IF(EOMONTH(Enddatum,$E53+1)&lt;=S$5,0,IF(S$7&gt;$E53,OFFSET(Costs!S17,0,-$E53),0))</f>
        <v>0</v>
      </c>
      <c r="T53" s="697">
        <f ca="1">IF(EOMONTH(Enddatum,$E53+1)&lt;=T$5,0,IF(T$7&gt;$E53,OFFSET(Costs!T17,0,-$E53),0))</f>
        <v>0</v>
      </c>
      <c r="U53" s="697">
        <f ca="1">IF(EOMONTH(Enddatum,$E53+1)&lt;=U$5,0,IF(U$7&gt;$E53,OFFSET(Costs!U17,0,-$E53),0))</f>
        <v>0</v>
      </c>
      <c r="V53" s="697">
        <f ca="1">IF(EOMONTH(Enddatum,$E53+1)&lt;=V$5,0,IF(V$7&gt;$E53,OFFSET(Costs!V17,0,-$E53),0))</f>
        <v>0</v>
      </c>
      <c r="W53" s="697">
        <f ca="1">IF(EOMONTH(Enddatum,$E53+1)&lt;=W$5,0,IF(W$7&gt;$E53,OFFSET(Costs!W17,0,-$E53),0))</f>
        <v>1050</v>
      </c>
      <c r="X53" s="697">
        <f ca="1">IF(EOMONTH(Enddatum,$E53+1)&lt;=X$5,0,IF(X$7&gt;$E53,OFFSET(Costs!X17,0,-$E53),0))</f>
        <v>0</v>
      </c>
      <c r="Y53" s="697">
        <f ca="1">IF(EOMONTH(Enddatum,$E53+1)&lt;=Y$5,0,IF(Y$7&gt;$E53,OFFSET(Costs!Y17,0,-$E53),0))</f>
        <v>0</v>
      </c>
      <c r="Z53" s="697">
        <f ca="1">IF(EOMONTH(Enddatum,$E53+1)&lt;=Z$5,0,IF(Z$7&gt;$E53,OFFSET(Costs!Z17,0,-$E53),0))</f>
        <v>0</v>
      </c>
      <c r="AA53" s="697">
        <f ca="1">IF(EOMONTH(Enddatum,$E53+1)&lt;=AA$5,0,IF(AA$7&gt;$E53,OFFSET(Costs!AA17,0,-$E53),0))</f>
        <v>0</v>
      </c>
      <c r="AB53" s="697">
        <f ca="1">IF(EOMONTH(Enddatum,$E53+1)&lt;=AB$5,0,IF(AB$7&gt;$E53,OFFSET(Costs!AB17,0,-$E53),0))</f>
        <v>0</v>
      </c>
      <c r="AC53" s="697">
        <f ca="1">IF(EOMONTH(Enddatum,$E53+1)&lt;=AC$5,0,IF(AC$7&gt;$E53,OFFSET(Costs!AC17,0,-$E53),0))</f>
        <v>0</v>
      </c>
      <c r="AD53" s="697">
        <f ca="1">IF(EOMONTH(Enddatum,$E53+1)&lt;=AD$5,0,IF(AD$7&gt;$E53,OFFSET(Costs!AD17,0,-$E53),0))</f>
        <v>1050</v>
      </c>
      <c r="AE53" s="697">
        <f ca="1">IF(EOMONTH(Enddatum,$E53+1)&lt;=AE$5,0,IF(AE$7&gt;$E53,OFFSET(Costs!AE17,0,-$E53),0))</f>
        <v>0</v>
      </c>
      <c r="AF53" s="697">
        <f ca="1">IF(EOMONTH(Enddatum,$E53+1)&lt;=AF$5,0,IF(AF$7&gt;$E53,OFFSET(Costs!AF17,0,-$E53),0))</f>
        <v>0</v>
      </c>
      <c r="AG53" s="697">
        <f ca="1">IF(EOMONTH(Enddatum,$E53+1)&lt;=AG$5,0,IF(AG$7&gt;$E53,OFFSET(Costs!AG17,0,-$E53),0))</f>
        <v>0</v>
      </c>
    </row>
    <row r="54" spans="1:33" s="878" customFormat="1" ht="16.5" customHeight="1" outlineLevel="2">
      <c r="A54" s="861"/>
      <c r="B54" s="282"/>
      <c r="C54" s="24" t="str">
        <f>Costs!C18</f>
        <v>Marketing campaign / Promotion 02</v>
      </c>
      <c r="D54" s="8" t="str">
        <f t="shared" si="37"/>
        <v>USD</v>
      </c>
      <c r="E54" s="689">
        <f>Costs!F18</f>
        <v>0</v>
      </c>
      <c r="F54" s="282"/>
      <c r="G54" s="282"/>
      <c r="H54" s="282"/>
      <c r="I54" s="71">
        <f t="shared" ca="1" si="38"/>
        <v>5000</v>
      </c>
      <c r="J54" s="697">
        <f ca="1">IF(EOMONTH(Enddatum,$E54+1)&lt;=J$5,0,IF(J$7&gt;$E54,OFFSET(Costs!J18,0,-$E54),0))</f>
        <v>0</v>
      </c>
      <c r="K54" s="697">
        <f ca="1">IF(EOMONTH(Enddatum,$E54+1)&lt;=K$5,0,IF(K$7&gt;$E54,OFFSET(Costs!K18,0,-$E54),0))</f>
        <v>0</v>
      </c>
      <c r="L54" s="697">
        <f ca="1">IF(EOMONTH(Enddatum,$E54+1)&lt;=L$5,0,IF(L$7&gt;$E54,OFFSET(Costs!L18,0,-$E54),0))</f>
        <v>0</v>
      </c>
      <c r="M54" s="697">
        <f ca="1">IF(EOMONTH(Enddatum,$E54+1)&lt;=M$5,0,IF(M$7&gt;$E54,OFFSET(Costs!M18,0,-$E54),0))</f>
        <v>2500</v>
      </c>
      <c r="N54" s="697">
        <f ca="1">IF(EOMONTH(Enddatum,$E54+1)&lt;=N$5,0,IF(N$7&gt;$E54,OFFSET(Costs!N18,0,-$E54),0))</f>
        <v>0</v>
      </c>
      <c r="O54" s="697">
        <f ca="1">IF(EOMONTH(Enddatum,$E54+1)&lt;=O$5,0,IF(O$7&gt;$E54,OFFSET(Costs!O18,0,-$E54),0))</f>
        <v>0</v>
      </c>
      <c r="P54" s="697">
        <f ca="1">IF(EOMONTH(Enddatum,$E54+1)&lt;=P$5,0,IF(P$7&gt;$E54,OFFSET(Costs!P18,0,-$E54),0))</f>
        <v>0</v>
      </c>
      <c r="Q54" s="697">
        <f ca="1">IF(EOMONTH(Enddatum,$E54+1)&lt;=Q$5,0,IF(Q$7&gt;$E54,OFFSET(Costs!Q18,0,-$E54),0))</f>
        <v>0</v>
      </c>
      <c r="R54" s="697">
        <f ca="1">IF(EOMONTH(Enddatum,$E54+1)&lt;=R$5,0,IF(R$7&gt;$E54,OFFSET(Costs!R18,0,-$E54),0))</f>
        <v>0</v>
      </c>
      <c r="S54" s="697">
        <f ca="1">IF(EOMONTH(Enddatum,$E54+1)&lt;=S$5,0,IF(S$7&gt;$E54,OFFSET(Costs!S18,0,-$E54),0))</f>
        <v>0</v>
      </c>
      <c r="T54" s="697">
        <f ca="1">IF(EOMONTH(Enddatum,$E54+1)&lt;=T$5,0,IF(T$7&gt;$E54,OFFSET(Costs!T18,0,-$E54),0))</f>
        <v>0</v>
      </c>
      <c r="U54" s="697">
        <f ca="1">IF(EOMONTH(Enddatum,$E54+1)&lt;=U$5,0,IF(U$7&gt;$E54,OFFSET(Costs!U18,0,-$E54),0))</f>
        <v>0</v>
      </c>
      <c r="V54" s="697">
        <f ca="1">IF(EOMONTH(Enddatum,$E54+1)&lt;=V$5,0,IF(V$7&gt;$E54,OFFSET(Costs!V18,0,-$E54),0))</f>
        <v>0</v>
      </c>
      <c r="W54" s="697">
        <f ca="1">IF(EOMONTH(Enddatum,$E54+1)&lt;=W$5,0,IF(W$7&gt;$E54,OFFSET(Costs!W18,0,-$E54),0))</f>
        <v>0</v>
      </c>
      <c r="X54" s="697">
        <f ca="1">IF(EOMONTH(Enddatum,$E54+1)&lt;=X$5,0,IF(X$7&gt;$E54,OFFSET(Costs!X18,0,-$E54),0))</f>
        <v>0</v>
      </c>
      <c r="Y54" s="697">
        <f ca="1">IF(EOMONTH(Enddatum,$E54+1)&lt;=Y$5,0,IF(Y$7&gt;$E54,OFFSET(Costs!Y18,0,-$E54),0))</f>
        <v>2500</v>
      </c>
      <c r="Z54" s="697">
        <f ca="1">IF(EOMONTH(Enddatum,$E54+1)&lt;=Z$5,0,IF(Z$7&gt;$E54,OFFSET(Costs!Z18,0,-$E54),0))</f>
        <v>0</v>
      </c>
      <c r="AA54" s="697">
        <f ca="1">IF(EOMONTH(Enddatum,$E54+1)&lt;=AA$5,0,IF(AA$7&gt;$E54,OFFSET(Costs!AA18,0,-$E54),0))</f>
        <v>0</v>
      </c>
      <c r="AB54" s="697">
        <f ca="1">IF(EOMONTH(Enddatum,$E54+1)&lt;=AB$5,0,IF(AB$7&gt;$E54,OFFSET(Costs!AB18,0,-$E54),0))</f>
        <v>0</v>
      </c>
      <c r="AC54" s="697">
        <f ca="1">IF(EOMONTH(Enddatum,$E54+1)&lt;=AC$5,0,IF(AC$7&gt;$E54,OFFSET(Costs!AC18,0,-$E54),0))</f>
        <v>0</v>
      </c>
      <c r="AD54" s="697">
        <f ca="1">IF(EOMONTH(Enddatum,$E54+1)&lt;=AD$5,0,IF(AD$7&gt;$E54,OFFSET(Costs!AD18,0,-$E54),0))</f>
        <v>0</v>
      </c>
      <c r="AE54" s="697">
        <f ca="1">IF(EOMONTH(Enddatum,$E54+1)&lt;=AE$5,0,IF(AE$7&gt;$E54,OFFSET(Costs!AE18,0,-$E54),0))</f>
        <v>0</v>
      </c>
      <c r="AF54" s="697">
        <f ca="1">IF(EOMONTH(Enddatum,$E54+1)&lt;=AF$5,0,IF(AF$7&gt;$E54,OFFSET(Costs!AF18,0,-$E54),0))</f>
        <v>0</v>
      </c>
      <c r="AG54" s="697">
        <f ca="1">IF(EOMONTH(Enddatum,$E54+1)&lt;=AG$5,0,IF(AG$7&gt;$E54,OFFSET(Costs!AG18,0,-$E54),0))</f>
        <v>0</v>
      </c>
    </row>
    <row r="55" spans="1:33" s="878" customFormat="1" ht="16.5" customHeight="1" outlineLevel="2">
      <c r="A55" s="861"/>
      <c r="B55" s="861"/>
      <c r="C55" s="24" t="str">
        <f>Costs!C19</f>
        <v>Communication (Internet, Phone, Mobile etc.) (M&amp;S staff)</v>
      </c>
      <c r="D55" s="8" t="str">
        <f t="shared" si="37"/>
        <v>USD</v>
      </c>
      <c r="E55" s="689">
        <f>Costs!F19</f>
        <v>0</v>
      </c>
      <c r="F55" s="861"/>
      <c r="G55" s="861"/>
      <c r="H55" s="861"/>
      <c r="I55" s="71">
        <f t="shared" ca="1" si="38"/>
        <v>7700</v>
      </c>
      <c r="J55" s="697">
        <f ca="1">IF(EOMONTH(Enddatum,$E55+1)&lt;=J$5,0,IF(J$7&gt;$E55,OFFSET(Costs!J19,0,-$E55),0))</f>
        <v>350</v>
      </c>
      <c r="K55" s="697">
        <f ca="1">IF(EOMONTH(Enddatum,$E55+1)&lt;=K$5,0,IF(K$7&gt;$E55,OFFSET(Costs!K19,0,-$E55),0))</f>
        <v>350</v>
      </c>
      <c r="L55" s="697">
        <f ca="1">IF(EOMONTH(Enddatum,$E55+1)&lt;=L$5,0,IF(L$7&gt;$E55,OFFSET(Costs!L19,0,-$E55),0))</f>
        <v>350</v>
      </c>
      <c r="M55" s="697">
        <f ca="1">IF(EOMONTH(Enddatum,$E55+1)&lt;=M$5,0,IF(M$7&gt;$E55,OFFSET(Costs!M19,0,-$E55),0))</f>
        <v>350</v>
      </c>
      <c r="N55" s="697">
        <f ca="1">IF(EOMONTH(Enddatum,$E55+1)&lt;=N$5,0,IF(N$7&gt;$E55,OFFSET(Costs!N19,0,-$E55),0))</f>
        <v>350</v>
      </c>
      <c r="O55" s="697">
        <f ca="1">IF(EOMONTH(Enddatum,$E55+1)&lt;=O$5,0,IF(O$7&gt;$E55,OFFSET(Costs!O19,0,-$E55),0))</f>
        <v>350</v>
      </c>
      <c r="P55" s="697">
        <f ca="1">IF(EOMONTH(Enddatum,$E55+1)&lt;=P$5,0,IF(P$7&gt;$E55,OFFSET(Costs!P19,0,-$E55),0))</f>
        <v>350</v>
      </c>
      <c r="Q55" s="697">
        <f ca="1">IF(EOMONTH(Enddatum,$E55+1)&lt;=Q$5,0,IF(Q$7&gt;$E55,OFFSET(Costs!Q19,0,-$E55),0))</f>
        <v>350</v>
      </c>
      <c r="R55" s="697">
        <f ca="1">IF(EOMONTH(Enddatum,$E55+1)&lt;=R$5,0,IF(R$7&gt;$E55,OFFSET(Costs!R19,0,-$E55),0))</f>
        <v>350</v>
      </c>
      <c r="S55" s="697">
        <f ca="1">IF(EOMONTH(Enddatum,$E55+1)&lt;=S$5,0,IF(S$7&gt;$E55,OFFSET(Costs!S19,0,-$E55),0))</f>
        <v>350</v>
      </c>
      <c r="T55" s="697">
        <f ca="1">IF(EOMONTH(Enddatum,$E55+1)&lt;=T$5,0,IF(T$7&gt;$E55,OFFSET(Costs!T19,0,-$E55),0))</f>
        <v>350</v>
      </c>
      <c r="U55" s="697">
        <f ca="1">IF(EOMONTH(Enddatum,$E55+1)&lt;=U$5,0,IF(U$7&gt;$E55,OFFSET(Costs!U19,0,-$E55),0))</f>
        <v>350</v>
      </c>
      <c r="V55" s="697">
        <f ca="1">IF(EOMONTH(Enddatum,$E55+1)&lt;=V$5,0,IF(V$7&gt;$E55,OFFSET(Costs!V19,0,-$E55),0))</f>
        <v>350</v>
      </c>
      <c r="W55" s="697">
        <f ca="1">IF(EOMONTH(Enddatum,$E55+1)&lt;=W$5,0,IF(W$7&gt;$E55,OFFSET(Costs!W19,0,-$E55),0))</f>
        <v>350</v>
      </c>
      <c r="X55" s="697">
        <f ca="1">IF(EOMONTH(Enddatum,$E55+1)&lt;=X$5,0,IF(X$7&gt;$E55,OFFSET(Costs!X19,0,-$E55),0))</f>
        <v>350</v>
      </c>
      <c r="Y55" s="697">
        <f ca="1">IF(EOMONTH(Enddatum,$E55+1)&lt;=Y$5,0,IF(Y$7&gt;$E55,OFFSET(Costs!Y19,0,-$E55),0))</f>
        <v>350</v>
      </c>
      <c r="Z55" s="697">
        <f ca="1">IF(EOMONTH(Enddatum,$E55+1)&lt;=Z$5,0,IF(Z$7&gt;$E55,OFFSET(Costs!Z19,0,-$E55),0))</f>
        <v>350</v>
      </c>
      <c r="AA55" s="697">
        <f ca="1">IF(EOMONTH(Enddatum,$E55+1)&lt;=AA$5,0,IF(AA$7&gt;$E55,OFFSET(Costs!AA19,0,-$E55),0))</f>
        <v>350</v>
      </c>
      <c r="AB55" s="697">
        <f ca="1">IF(EOMONTH(Enddatum,$E55+1)&lt;=AB$5,0,IF(AB$7&gt;$E55,OFFSET(Costs!AB19,0,-$E55),0))</f>
        <v>350</v>
      </c>
      <c r="AC55" s="697">
        <f ca="1">IF(EOMONTH(Enddatum,$E55+1)&lt;=AC$5,0,IF(AC$7&gt;$E55,OFFSET(Costs!AC19,0,-$E55),0))</f>
        <v>350</v>
      </c>
      <c r="AD55" s="697">
        <f ca="1">IF(EOMONTH(Enddatum,$E55+1)&lt;=AD$5,0,IF(AD$7&gt;$E55,OFFSET(Costs!AD19,0,-$E55),0))</f>
        <v>350</v>
      </c>
      <c r="AE55" s="697">
        <f ca="1">IF(EOMONTH(Enddatum,$E55+1)&lt;=AE$5,0,IF(AE$7&gt;$E55,OFFSET(Costs!AE19,0,-$E55),0))</f>
        <v>350</v>
      </c>
      <c r="AF55" s="697">
        <f ca="1">IF(EOMONTH(Enddatum,$E55+1)&lt;=AF$5,0,IF(AF$7&gt;$E55,OFFSET(Costs!AF19,0,-$E55),0))</f>
        <v>0</v>
      </c>
      <c r="AG55" s="697">
        <f ca="1">IF(EOMONTH(Enddatum,$E55+1)&lt;=AG$5,0,IF(AG$7&gt;$E55,OFFSET(Costs!AG19,0,-$E55),0))</f>
        <v>0</v>
      </c>
    </row>
    <row r="56" spans="1:33" s="878" customFormat="1" ht="16.5" customHeight="1" outlineLevel="2">
      <c r="A56" s="861"/>
      <c r="B56" s="861"/>
      <c r="C56" s="24" t="str">
        <f>Costs!C20</f>
        <v>Travel &amp; Entertainment (M&amp;S staff)</v>
      </c>
      <c r="D56" s="8" t="str">
        <f t="shared" si="37"/>
        <v>USD</v>
      </c>
      <c r="E56" s="689">
        <f>Costs!F20</f>
        <v>0</v>
      </c>
      <c r="F56" s="861"/>
      <c r="G56" s="861"/>
      <c r="H56" s="861"/>
      <c r="I56" s="71">
        <f t="shared" ca="1" si="38"/>
        <v>8800</v>
      </c>
      <c r="J56" s="697">
        <f ca="1">IF(EOMONTH(Enddatum,$E56+1)&lt;=J$5,0,IF(J$7&gt;$E56,OFFSET(Costs!J20,0,-$E56),0))</f>
        <v>400</v>
      </c>
      <c r="K56" s="697">
        <f ca="1">IF(EOMONTH(Enddatum,$E56+1)&lt;=K$5,0,IF(K$7&gt;$E56,OFFSET(Costs!K20,0,-$E56),0))</f>
        <v>400</v>
      </c>
      <c r="L56" s="697">
        <f ca="1">IF(EOMONTH(Enddatum,$E56+1)&lt;=L$5,0,IF(L$7&gt;$E56,OFFSET(Costs!L20,0,-$E56),0))</f>
        <v>400</v>
      </c>
      <c r="M56" s="697">
        <f ca="1">IF(EOMONTH(Enddatum,$E56+1)&lt;=M$5,0,IF(M$7&gt;$E56,OFFSET(Costs!M20,0,-$E56),0))</f>
        <v>400</v>
      </c>
      <c r="N56" s="697">
        <f ca="1">IF(EOMONTH(Enddatum,$E56+1)&lt;=N$5,0,IF(N$7&gt;$E56,OFFSET(Costs!N20,0,-$E56),0))</f>
        <v>400</v>
      </c>
      <c r="O56" s="697">
        <f ca="1">IF(EOMONTH(Enddatum,$E56+1)&lt;=O$5,0,IF(O$7&gt;$E56,OFFSET(Costs!O20,0,-$E56),0))</f>
        <v>400</v>
      </c>
      <c r="P56" s="697">
        <f ca="1">IF(EOMONTH(Enddatum,$E56+1)&lt;=P$5,0,IF(P$7&gt;$E56,OFFSET(Costs!P20,0,-$E56),0))</f>
        <v>400</v>
      </c>
      <c r="Q56" s="697">
        <f ca="1">IF(EOMONTH(Enddatum,$E56+1)&lt;=Q$5,0,IF(Q$7&gt;$E56,OFFSET(Costs!Q20,0,-$E56),0))</f>
        <v>400</v>
      </c>
      <c r="R56" s="697">
        <f ca="1">IF(EOMONTH(Enddatum,$E56+1)&lt;=R$5,0,IF(R$7&gt;$E56,OFFSET(Costs!R20,0,-$E56),0))</f>
        <v>400</v>
      </c>
      <c r="S56" s="697">
        <f ca="1">IF(EOMONTH(Enddatum,$E56+1)&lt;=S$5,0,IF(S$7&gt;$E56,OFFSET(Costs!S20,0,-$E56),0))</f>
        <v>400</v>
      </c>
      <c r="T56" s="697">
        <f ca="1">IF(EOMONTH(Enddatum,$E56+1)&lt;=T$5,0,IF(T$7&gt;$E56,OFFSET(Costs!T20,0,-$E56),0))</f>
        <v>400</v>
      </c>
      <c r="U56" s="697">
        <f ca="1">IF(EOMONTH(Enddatum,$E56+1)&lt;=U$5,0,IF(U$7&gt;$E56,OFFSET(Costs!U20,0,-$E56),0))</f>
        <v>400</v>
      </c>
      <c r="V56" s="697">
        <f ca="1">IF(EOMONTH(Enddatum,$E56+1)&lt;=V$5,0,IF(V$7&gt;$E56,OFFSET(Costs!V20,0,-$E56),0))</f>
        <v>400</v>
      </c>
      <c r="W56" s="697">
        <f ca="1">IF(EOMONTH(Enddatum,$E56+1)&lt;=W$5,0,IF(W$7&gt;$E56,OFFSET(Costs!W20,0,-$E56),0))</f>
        <v>400</v>
      </c>
      <c r="X56" s="697">
        <f ca="1">IF(EOMONTH(Enddatum,$E56+1)&lt;=X$5,0,IF(X$7&gt;$E56,OFFSET(Costs!X20,0,-$E56),0))</f>
        <v>400</v>
      </c>
      <c r="Y56" s="697">
        <f ca="1">IF(EOMONTH(Enddatum,$E56+1)&lt;=Y$5,0,IF(Y$7&gt;$E56,OFFSET(Costs!Y20,0,-$E56),0))</f>
        <v>400</v>
      </c>
      <c r="Z56" s="697">
        <f ca="1">IF(EOMONTH(Enddatum,$E56+1)&lt;=Z$5,0,IF(Z$7&gt;$E56,OFFSET(Costs!Z20,0,-$E56),0))</f>
        <v>400</v>
      </c>
      <c r="AA56" s="697">
        <f ca="1">IF(EOMONTH(Enddatum,$E56+1)&lt;=AA$5,0,IF(AA$7&gt;$E56,OFFSET(Costs!AA20,0,-$E56),0))</f>
        <v>400</v>
      </c>
      <c r="AB56" s="697">
        <f ca="1">IF(EOMONTH(Enddatum,$E56+1)&lt;=AB$5,0,IF(AB$7&gt;$E56,OFFSET(Costs!AB20,0,-$E56),0))</f>
        <v>400</v>
      </c>
      <c r="AC56" s="697">
        <f ca="1">IF(EOMONTH(Enddatum,$E56+1)&lt;=AC$5,0,IF(AC$7&gt;$E56,OFFSET(Costs!AC20,0,-$E56),0))</f>
        <v>400</v>
      </c>
      <c r="AD56" s="697">
        <f ca="1">IF(EOMONTH(Enddatum,$E56+1)&lt;=AD$5,0,IF(AD$7&gt;$E56,OFFSET(Costs!AD20,0,-$E56),0))</f>
        <v>400</v>
      </c>
      <c r="AE56" s="697">
        <f ca="1">IF(EOMONTH(Enddatum,$E56+1)&lt;=AE$5,0,IF(AE$7&gt;$E56,OFFSET(Costs!AE20,0,-$E56),0))</f>
        <v>400</v>
      </c>
      <c r="AF56" s="697">
        <f ca="1">IF(EOMONTH(Enddatum,$E56+1)&lt;=AF$5,0,IF(AF$7&gt;$E56,OFFSET(Costs!AF20,0,-$E56),0))</f>
        <v>0</v>
      </c>
      <c r="AG56" s="697">
        <f ca="1">IF(EOMONTH(Enddatum,$E56+1)&lt;=AG$5,0,IF(AG$7&gt;$E56,OFFSET(Costs!AG20,0,-$E56),0))</f>
        <v>0</v>
      </c>
    </row>
    <row r="57" spans="1:33" s="878" customFormat="1" ht="16.5" customHeight="1" outlineLevel="2">
      <c r="A57" s="861"/>
      <c r="B57" s="861"/>
      <c r="C57" s="24" t="str">
        <f>Costs!C21</f>
        <v>Vehicle's costs (M&amp;S staff)</v>
      </c>
      <c r="D57" s="8" t="str">
        <f t="shared" si="37"/>
        <v>USD</v>
      </c>
      <c r="E57" s="689">
        <f>Costs!F21</f>
        <v>0</v>
      </c>
      <c r="F57" s="861"/>
      <c r="G57" s="861"/>
      <c r="H57" s="861"/>
      <c r="I57" s="71">
        <f t="shared" ca="1" si="38"/>
        <v>0</v>
      </c>
      <c r="J57" s="697">
        <f ca="1">IF(EOMONTH(Enddatum,$E57+1)&lt;=J$5,0,IF(J$7&gt;$E57,OFFSET(Costs!J21,0,-$E57),0))</f>
        <v>0</v>
      </c>
      <c r="K57" s="697">
        <f ca="1">IF(EOMONTH(Enddatum,$E57+1)&lt;=K$5,0,IF(K$7&gt;$E57,OFFSET(Costs!K21,0,-$E57),0))</f>
        <v>0</v>
      </c>
      <c r="L57" s="697">
        <f ca="1">IF(EOMONTH(Enddatum,$E57+1)&lt;=L$5,0,IF(L$7&gt;$E57,OFFSET(Costs!L21,0,-$E57),0))</f>
        <v>0</v>
      </c>
      <c r="M57" s="697">
        <f ca="1">IF(EOMONTH(Enddatum,$E57+1)&lt;=M$5,0,IF(M$7&gt;$E57,OFFSET(Costs!M21,0,-$E57),0))</f>
        <v>0</v>
      </c>
      <c r="N57" s="697">
        <f ca="1">IF(EOMONTH(Enddatum,$E57+1)&lt;=N$5,0,IF(N$7&gt;$E57,OFFSET(Costs!N21,0,-$E57),0))</f>
        <v>0</v>
      </c>
      <c r="O57" s="697">
        <f ca="1">IF(EOMONTH(Enddatum,$E57+1)&lt;=O$5,0,IF(O$7&gt;$E57,OFFSET(Costs!O21,0,-$E57),0))</f>
        <v>0</v>
      </c>
      <c r="P57" s="697">
        <f ca="1">IF(EOMONTH(Enddatum,$E57+1)&lt;=P$5,0,IF(P$7&gt;$E57,OFFSET(Costs!P21,0,-$E57),0))</f>
        <v>0</v>
      </c>
      <c r="Q57" s="697">
        <f ca="1">IF(EOMONTH(Enddatum,$E57+1)&lt;=Q$5,0,IF(Q$7&gt;$E57,OFFSET(Costs!Q21,0,-$E57),0))</f>
        <v>0</v>
      </c>
      <c r="R57" s="697">
        <f ca="1">IF(EOMONTH(Enddatum,$E57+1)&lt;=R$5,0,IF(R$7&gt;$E57,OFFSET(Costs!R21,0,-$E57),0))</f>
        <v>0</v>
      </c>
      <c r="S57" s="697">
        <f ca="1">IF(EOMONTH(Enddatum,$E57+1)&lt;=S$5,0,IF(S$7&gt;$E57,OFFSET(Costs!S21,0,-$E57),0))</f>
        <v>0</v>
      </c>
      <c r="T57" s="697">
        <f ca="1">IF(EOMONTH(Enddatum,$E57+1)&lt;=T$5,0,IF(T$7&gt;$E57,OFFSET(Costs!T21,0,-$E57),0))</f>
        <v>0</v>
      </c>
      <c r="U57" s="697">
        <f ca="1">IF(EOMONTH(Enddatum,$E57+1)&lt;=U$5,0,IF(U$7&gt;$E57,OFFSET(Costs!U21,0,-$E57),0))</f>
        <v>0</v>
      </c>
      <c r="V57" s="697">
        <f ca="1">IF(EOMONTH(Enddatum,$E57+1)&lt;=V$5,0,IF(V$7&gt;$E57,OFFSET(Costs!V21,0,-$E57),0))</f>
        <v>0</v>
      </c>
      <c r="W57" s="697">
        <f ca="1">IF(EOMONTH(Enddatum,$E57+1)&lt;=W$5,0,IF(W$7&gt;$E57,OFFSET(Costs!W21,0,-$E57),0))</f>
        <v>0</v>
      </c>
      <c r="X57" s="697">
        <f ca="1">IF(EOMONTH(Enddatum,$E57+1)&lt;=X$5,0,IF(X$7&gt;$E57,OFFSET(Costs!X21,0,-$E57),0))</f>
        <v>0</v>
      </c>
      <c r="Y57" s="697">
        <f ca="1">IF(EOMONTH(Enddatum,$E57+1)&lt;=Y$5,0,IF(Y$7&gt;$E57,OFFSET(Costs!Y21,0,-$E57),0))</f>
        <v>0</v>
      </c>
      <c r="Z57" s="697">
        <f ca="1">IF(EOMONTH(Enddatum,$E57+1)&lt;=Z$5,0,IF(Z$7&gt;$E57,OFFSET(Costs!Z21,0,-$E57),0))</f>
        <v>0</v>
      </c>
      <c r="AA57" s="697">
        <f ca="1">IF(EOMONTH(Enddatum,$E57+1)&lt;=AA$5,0,IF(AA$7&gt;$E57,OFFSET(Costs!AA21,0,-$E57),0))</f>
        <v>0</v>
      </c>
      <c r="AB57" s="697">
        <f ca="1">IF(EOMONTH(Enddatum,$E57+1)&lt;=AB$5,0,IF(AB$7&gt;$E57,OFFSET(Costs!AB21,0,-$E57),0))</f>
        <v>0</v>
      </c>
      <c r="AC57" s="697">
        <f ca="1">IF(EOMONTH(Enddatum,$E57+1)&lt;=AC$5,0,IF(AC$7&gt;$E57,OFFSET(Costs!AC21,0,-$E57),0))</f>
        <v>0</v>
      </c>
      <c r="AD57" s="697">
        <f ca="1">IF(EOMONTH(Enddatum,$E57+1)&lt;=AD$5,0,IF(AD$7&gt;$E57,OFFSET(Costs!AD21,0,-$E57),0))</f>
        <v>0</v>
      </c>
      <c r="AE57" s="697">
        <f ca="1">IF(EOMONTH(Enddatum,$E57+1)&lt;=AE$5,0,IF(AE$7&gt;$E57,OFFSET(Costs!AE21,0,-$E57),0))</f>
        <v>0</v>
      </c>
      <c r="AF57" s="697">
        <f ca="1">IF(EOMONTH(Enddatum,$E57+1)&lt;=AF$5,0,IF(AF$7&gt;$E57,OFFSET(Costs!AF21,0,-$E57),0))</f>
        <v>0</v>
      </c>
      <c r="AG57" s="697">
        <f ca="1">IF(EOMONTH(Enddatum,$E57+1)&lt;=AG$5,0,IF(AG$7&gt;$E57,OFFSET(Costs!AG21,0,-$E57),0))</f>
        <v>0</v>
      </c>
    </row>
    <row r="58" spans="1:33" s="878" customFormat="1" ht="16.5" customHeight="1" outlineLevel="2">
      <c r="A58" s="861"/>
      <c r="B58" s="861"/>
      <c r="C58" s="24" t="str">
        <f>Costs!C22</f>
        <v>Miscellaneous 01</v>
      </c>
      <c r="D58" s="8" t="str">
        <f t="shared" si="37"/>
        <v>USD</v>
      </c>
      <c r="E58" s="689">
        <f>Costs!F22</f>
        <v>0</v>
      </c>
      <c r="F58" s="861"/>
      <c r="G58" s="861"/>
      <c r="H58" s="861"/>
      <c r="I58" s="71">
        <f t="shared" ca="1" si="38"/>
        <v>0</v>
      </c>
      <c r="J58" s="697">
        <f ca="1">IF(EOMONTH(Enddatum,$E58+1)&lt;=J$5,0,IF(J$7&gt;$E58,OFFSET(Costs!J22,0,-$E58),0))</f>
        <v>0</v>
      </c>
      <c r="K58" s="697">
        <f ca="1">IF(EOMONTH(Enddatum,$E58+1)&lt;=K$5,0,IF(K$7&gt;$E58,OFFSET(Costs!K22,0,-$E58),0))</f>
        <v>0</v>
      </c>
      <c r="L58" s="697">
        <f ca="1">IF(EOMONTH(Enddatum,$E58+1)&lt;=L$5,0,IF(L$7&gt;$E58,OFFSET(Costs!L22,0,-$E58),0))</f>
        <v>0</v>
      </c>
      <c r="M58" s="697">
        <f ca="1">IF(EOMONTH(Enddatum,$E58+1)&lt;=M$5,0,IF(M$7&gt;$E58,OFFSET(Costs!M22,0,-$E58),0))</f>
        <v>0</v>
      </c>
      <c r="N58" s="697">
        <f ca="1">IF(EOMONTH(Enddatum,$E58+1)&lt;=N$5,0,IF(N$7&gt;$E58,OFFSET(Costs!N22,0,-$E58),0))</f>
        <v>0</v>
      </c>
      <c r="O58" s="697">
        <f ca="1">IF(EOMONTH(Enddatum,$E58+1)&lt;=O$5,0,IF(O$7&gt;$E58,OFFSET(Costs!O22,0,-$E58),0))</f>
        <v>0</v>
      </c>
      <c r="P58" s="697">
        <f ca="1">IF(EOMONTH(Enddatum,$E58+1)&lt;=P$5,0,IF(P$7&gt;$E58,OFFSET(Costs!P22,0,-$E58),0))</f>
        <v>0</v>
      </c>
      <c r="Q58" s="697">
        <f ca="1">IF(EOMONTH(Enddatum,$E58+1)&lt;=Q$5,0,IF(Q$7&gt;$E58,OFFSET(Costs!Q22,0,-$E58),0))</f>
        <v>0</v>
      </c>
      <c r="R58" s="697">
        <f ca="1">IF(EOMONTH(Enddatum,$E58+1)&lt;=R$5,0,IF(R$7&gt;$E58,OFFSET(Costs!R22,0,-$E58),0))</f>
        <v>0</v>
      </c>
      <c r="S58" s="697">
        <f ca="1">IF(EOMONTH(Enddatum,$E58+1)&lt;=S$5,0,IF(S$7&gt;$E58,OFFSET(Costs!S22,0,-$E58),0))</f>
        <v>0</v>
      </c>
      <c r="T58" s="697">
        <f ca="1">IF(EOMONTH(Enddatum,$E58+1)&lt;=T$5,0,IF(T$7&gt;$E58,OFFSET(Costs!T22,0,-$E58),0))</f>
        <v>0</v>
      </c>
      <c r="U58" s="697">
        <f ca="1">IF(EOMONTH(Enddatum,$E58+1)&lt;=U$5,0,IF(U$7&gt;$E58,OFFSET(Costs!U22,0,-$E58),0))</f>
        <v>0</v>
      </c>
      <c r="V58" s="697">
        <f ca="1">IF(EOMONTH(Enddatum,$E58+1)&lt;=V$5,0,IF(V$7&gt;$E58,OFFSET(Costs!V22,0,-$E58),0))</f>
        <v>0</v>
      </c>
      <c r="W58" s="697">
        <f ca="1">IF(EOMONTH(Enddatum,$E58+1)&lt;=W$5,0,IF(W$7&gt;$E58,OFFSET(Costs!W22,0,-$E58),0))</f>
        <v>0</v>
      </c>
      <c r="X58" s="697">
        <f ca="1">IF(EOMONTH(Enddatum,$E58+1)&lt;=X$5,0,IF(X$7&gt;$E58,OFFSET(Costs!X22,0,-$E58),0))</f>
        <v>0</v>
      </c>
      <c r="Y58" s="697">
        <f ca="1">IF(EOMONTH(Enddatum,$E58+1)&lt;=Y$5,0,IF(Y$7&gt;$E58,OFFSET(Costs!Y22,0,-$E58),0))</f>
        <v>0</v>
      </c>
      <c r="Z58" s="697">
        <f ca="1">IF(EOMONTH(Enddatum,$E58+1)&lt;=Z$5,0,IF(Z$7&gt;$E58,OFFSET(Costs!Z22,0,-$E58),0))</f>
        <v>0</v>
      </c>
      <c r="AA58" s="697">
        <f ca="1">IF(EOMONTH(Enddatum,$E58+1)&lt;=AA$5,0,IF(AA$7&gt;$E58,OFFSET(Costs!AA22,0,-$E58),0))</f>
        <v>0</v>
      </c>
      <c r="AB58" s="697">
        <f ca="1">IF(EOMONTH(Enddatum,$E58+1)&lt;=AB$5,0,IF(AB$7&gt;$E58,OFFSET(Costs!AB22,0,-$E58),0))</f>
        <v>0</v>
      </c>
      <c r="AC58" s="697">
        <f ca="1">IF(EOMONTH(Enddatum,$E58+1)&lt;=AC$5,0,IF(AC$7&gt;$E58,OFFSET(Costs!AC22,0,-$E58),0))</f>
        <v>0</v>
      </c>
      <c r="AD58" s="697">
        <f ca="1">IF(EOMONTH(Enddatum,$E58+1)&lt;=AD$5,0,IF(AD$7&gt;$E58,OFFSET(Costs!AD22,0,-$E58),0))</f>
        <v>0</v>
      </c>
      <c r="AE58" s="697">
        <f ca="1">IF(EOMONTH(Enddatum,$E58+1)&lt;=AE$5,0,IF(AE$7&gt;$E58,OFFSET(Costs!AE22,0,-$E58),0))</f>
        <v>0</v>
      </c>
      <c r="AF58" s="697">
        <f ca="1">IF(EOMONTH(Enddatum,$E58+1)&lt;=AF$5,0,IF(AF$7&gt;$E58,OFFSET(Costs!AF22,0,-$E58),0))</f>
        <v>0</v>
      </c>
      <c r="AG58" s="697">
        <f ca="1">IF(EOMONTH(Enddatum,$E58+1)&lt;=AG$5,0,IF(AG$7&gt;$E58,OFFSET(Costs!AG22,0,-$E58),0))</f>
        <v>0</v>
      </c>
    </row>
    <row r="59" spans="1:33" s="878" customFormat="1" ht="16.5" customHeight="1" outlineLevel="2">
      <c r="A59" s="861"/>
      <c r="B59" s="861"/>
      <c r="C59" s="24" t="str">
        <f>Costs!C23</f>
        <v>Miscellaneous 02</v>
      </c>
      <c r="D59" s="8" t="str">
        <f t="shared" si="37"/>
        <v>USD</v>
      </c>
      <c r="E59" s="689">
        <f>Costs!F23</f>
        <v>0</v>
      </c>
      <c r="F59" s="861"/>
      <c r="G59" s="861"/>
      <c r="H59" s="861"/>
      <c r="I59" s="71">
        <f t="shared" ca="1" si="38"/>
        <v>0</v>
      </c>
      <c r="J59" s="697">
        <f ca="1">IF(EOMONTH(Enddatum,$E59+1)&lt;=J$5,0,IF(J$7&gt;$E59,OFFSET(Costs!J23,0,-$E59),0))</f>
        <v>0</v>
      </c>
      <c r="K59" s="697">
        <f ca="1">IF(EOMONTH(Enddatum,$E59+1)&lt;=K$5,0,IF(K$7&gt;$E59,OFFSET(Costs!K23,0,-$E59),0))</f>
        <v>0</v>
      </c>
      <c r="L59" s="697">
        <f ca="1">IF(EOMONTH(Enddatum,$E59+1)&lt;=L$5,0,IF(L$7&gt;$E59,OFFSET(Costs!L23,0,-$E59),0))</f>
        <v>0</v>
      </c>
      <c r="M59" s="697">
        <f ca="1">IF(EOMONTH(Enddatum,$E59+1)&lt;=M$5,0,IF(M$7&gt;$E59,OFFSET(Costs!M23,0,-$E59),0))</f>
        <v>0</v>
      </c>
      <c r="N59" s="697">
        <f ca="1">IF(EOMONTH(Enddatum,$E59+1)&lt;=N$5,0,IF(N$7&gt;$E59,OFFSET(Costs!N23,0,-$E59),0))</f>
        <v>0</v>
      </c>
      <c r="O59" s="697">
        <f ca="1">IF(EOMONTH(Enddatum,$E59+1)&lt;=O$5,0,IF(O$7&gt;$E59,OFFSET(Costs!O23,0,-$E59),0))</f>
        <v>0</v>
      </c>
      <c r="P59" s="697">
        <f ca="1">IF(EOMONTH(Enddatum,$E59+1)&lt;=P$5,0,IF(P$7&gt;$E59,OFFSET(Costs!P23,0,-$E59),0))</f>
        <v>0</v>
      </c>
      <c r="Q59" s="697">
        <f ca="1">IF(EOMONTH(Enddatum,$E59+1)&lt;=Q$5,0,IF(Q$7&gt;$E59,OFFSET(Costs!Q23,0,-$E59),0))</f>
        <v>0</v>
      </c>
      <c r="R59" s="697">
        <f ca="1">IF(EOMONTH(Enddatum,$E59+1)&lt;=R$5,0,IF(R$7&gt;$E59,OFFSET(Costs!R23,0,-$E59),0))</f>
        <v>0</v>
      </c>
      <c r="S59" s="697">
        <f ca="1">IF(EOMONTH(Enddatum,$E59+1)&lt;=S$5,0,IF(S$7&gt;$E59,OFFSET(Costs!S23,0,-$E59),0))</f>
        <v>0</v>
      </c>
      <c r="T59" s="697">
        <f ca="1">IF(EOMONTH(Enddatum,$E59+1)&lt;=T$5,0,IF(T$7&gt;$E59,OFFSET(Costs!T23,0,-$E59),0))</f>
        <v>0</v>
      </c>
      <c r="U59" s="697">
        <f ca="1">IF(EOMONTH(Enddatum,$E59+1)&lt;=U$5,0,IF(U$7&gt;$E59,OFFSET(Costs!U23,0,-$E59),0))</f>
        <v>0</v>
      </c>
      <c r="V59" s="697">
        <f ca="1">IF(EOMONTH(Enddatum,$E59+1)&lt;=V$5,0,IF(V$7&gt;$E59,OFFSET(Costs!V23,0,-$E59),0))</f>
        <v>0</v>
      </c>
      <c r="W59" s="697">
        <f ca="1">IF(EOMONTH(Enddatum,$E59+1)&lt;=W$5,0,IF(W$7&gt;$E59,OFFSET(Costs!W23,0,-$E59),0))</f>
        <v>0</v>
      </c>
      <c r="X59" s="697">
        <f ca="1">IF(EOMONTH(Enddatum,$E59+1)&lt;=X$5,0,IF(X$7&gt;$E59,OFFSET(Costs!X23,0,-$E59),0))</f>
        <v>0</v>
      </c>
      <c r="Y59" s="697">
        <f ca="1">IF(EOMONTH(Enddatum,$E59+1)&lt;=Y$5,0,IF(Y$7&gt;$E59,OFFSET(Costs!Y23,0,-$E59),0))</f>
        <v>0</v>
      </c>
      <c r="Z59" s="697">
        <f ca="1">IF(EOMONTH(Enddatum,$E59+1)&lt;=Z$5,0,IF(Z$7&gt;$E59,OFFSET(Costs!Z23,0,-$E59),0))</f>
        <v>0</v>
      </c>
      <c r="AA59" s="697">
        <f ca="1">IF(EOMONTH(Enddatum,$E59+1)&lt;=AA$5,0,IF(AA$7&gt;$E59,OFFSET(Costs!AA23,0,-$E59),0))</f>
        <v>0</v>
      </c>
      <c r="AB59" s="697">
        <f ca="1">IF(EOMONTH(Enddatum,$E59+1)&lt;=AB$5,0,IF(AB$7&gt;$E59,OFFSET(Costs!AB23,0,-$E59),0))</f>
        <v>0</v>
      </c>
      <c r="AC59" s="697">
        <f ca="1">IF(EOMONTH(Enddatum,$E59+1)&lt;=AC$5,0,IF(AC$7&gt;$E59,OFFSET(Costs!AC23,0,-$E59),0))</f>
        <v>0</v>
      </c>
      <c r="AD59" s="697">
        <f ca="1">IF(EOMONTH(Enddatum,$E59+1)&lt;=AD$5,0,IF(AD$7&gt;$E59,OFFSET(Costs!AD23,0,-$E59),0))</f>
        <v>0</v>
      </c>
      <c r="AE59" s="697">
        <f ca="1">IF(EOMONTH(Enddatum,$E59+1)&lt;=AE$5,0,IF(AE$7&gt;$E59,OFFSET(Costs!AE23,0,-$E59),0))</f>
        <v>0</v>
      </c>
      <c r="AF59" s="697">
        <f ca="1">IF(EOMONTH(Enddatum,$E59+1)&lt;=AF$5,0,IF(AF$7&gt;$E59,OFFSET(Costs!AF23,0,-$E59),0))</f>
        <v>0</v>
      </c>
      <c r="AG59" s="697">
        <f ca="1">IF(EOMONTH(Enddatum,$E59+1)&lt;=AG$5,0,IF(AG$7&gt;$E59,OFFSET(Costs!AG23,0,-$E59),0))</f>
        <v>0</v>
      </c>
    </row>
    <row r="60" spans="1:33" s="878" customFormat="1" ht="16.5" customHeight="1" outlineLevel="2">
      <c r="A60" s="861"/>
      <c r="B60" s="861"/>
      <c r="C60" s="24" t="str">
        <f>Costs!C24</f>
        <v>Miscellaneous 03</v>
      </c>
      <c r="D60" s="8" t="str">
        <f t="shared" si="37"/>
        <v>USD</v>
      </c>
      <c r="E60" s="689">
        <f>Costs!F24</f>
        <v>0</v>
      </c>
      <c r="F60" s="861"/>
      <c r="G60" s="861"/>
      <c r="H60" s="861"/>
      <c r="I60" s="71">
        <f t="shared" ca="1" si="38"/>
        <v>0</v>
      </c>
      <c r="J60" s="697">
        <f ca="1">IF(EOMONTH(Enddatum,$E60+1)&lt;=J$5,0,IF(J$7&gt;$E60,OFFSET(Costs!J24,0,-$E60),0))</f>
        <v>0</v>
      </c>
      <c r="K60" s="697">
        <f ca="1">IF(EOMONTH(Enddatum,$E60+1)&lt;=K$5,0,IF(K$7&gt;$E60,OFFSET(Costs!K24,0,-$E60),0))</f>
        <v>0</v>
      </c>
      <c r="L60" s="697">
        <f ca="1">IF(EOMONTH(Enddatum,$E60+1)&lt;=L$5,0,IF(L$7&gt;$E60,OFFSET(Costs!L24,0,-$E60),0))</f>
        <v>0</v>
      </c>
      <c r="M60" s="697">
        <f ca="1">IF(EOMONTH(Enddatum,$E60+1)&lt;=M$5,0,IF(M$7&gt;$E60,OFFSET(Costs!M24,0,-$E60),0))</f>
        <v>0</v>
      </c>
      <c r="N60" s="697">
        <f ca="1">IF(EOMONTH(Enddatum,$E60+1)&lt;=N$5,0,IF(N$7&gt;$E60,OFFSET(Costs!N24,0,-$E60),0))</f>
        <v>0</v>
      </c>
      <c r="O60" s="697">
        <f ca="1">IF(EOMONTH(Enddatum,$E60+1)&lt;=O$5,0,IF(O$7&gt;$E60,OFFSET(Costs!O24,0,-$E60),0))</f>
        <v>0</v>
      </c>
      <c r="P60" s="697">
        <f ca="1">IF(EOMONTH(Enddatum,$E60+1)&lt;=P$5,0,IF(P$7&gt;$E60,OFFSET(Costs!P24,0,-$E60),0))</f>
        <v>0</v>
      </c>
      <c r="Q60" s="697">
        <f ca="1">IF(EOMONTH(Enddatum,$E60+1)&lt;=Q$5,0,IF(Q$7&gt;$E60,OFFSET(Costs!Q24,0,-$E60),0))</f>
        <v>0</v>
      </c>
      <c r="R60" s="697">
        <f ca="1">IF(EOMONTH(Enddatum,$E60+1)&lt;=R$5,0,IF(R$7&gt;$E60,OFFSET(Costs!R24,0,-$E60),0))</f>
        <v>0</v>
      </c>
      <c r="S60" s="697">
        <f ca="1">IF(EOMONTH(Enddatum,$E60+1)&lt;=S$5,0,IF(S$7&gt;$E60,OFFSET(Costs!S24,0,-$E60),0))</f>
        <v>0</v>
      </c>
      <c r="T60" s="697">
        <f ca="1">IF(EOMONTH(Enddatum,$E60+1)&lt;=T$5,0,IF(T$7&gt;$E60,OFFSET(Costs!T24,0,-$E60),0))</f>
        <v>0</v>
      </c>
      <c r="U60" s="697">
        <f ca="1">IF(EOMONTH(Enddatum,$E60+1)&lt;=U$5,0,IF(U$7&gt;$E60,OFFSET(Costs!U24,0,-$E60),0))</f>
        <v>0</v>
      </c>
      <c r="V60" s="697">
        <f ca="1">IF(EOMONTH(Enddatum,$E60+1)&lt;=V$5,0,IF(V$7&gt;$E60,OFFSET(Costs!V24,0,-$E60),0))</f>
        <v>0</v>
      </c>
      <c r="W60" s="697">
        <f ca="1">IF(EOMONTH(Enddatum,$E60+1)&lt;=W$5,0,IF(W$7&gt;$E60,OFFSET(Costs!W24,0,-$E60),0))</f>
        <v>0</v>
      </c>
      <c r="X60" s="697">
        <f ca="1">IF(EOMONTH(Enddatum,$E60+1)&lt;=X$5,0,IF(X$7&gt;$E60,OFFSET(Costs!X24,0,-$E60),0))</f>
        <v>0</v>
      </c>
      <c r="Y60" s="697">
        <f ca="1">IF(EOMONTH(Enddatum,$E60+1)&lt;=Y$5,0,IF(Y$7&gt;$E60,OFFSET(Costs!Y24,0,-$E60),0))</f>
        <v>0</v>
      </c>
      <c r="Z60" s="697">
        <f ca="1">IF(EOMONTH(Enddatum,$E60+1)&lt;=Z$5,0,IF(Z$7&gt;$E60,OFFSET(Costs!Z24,0,-$E60),0))</f>
        <v>0</v>
      </c>
      <c r="AA60" s="697">
        <f ca="1">IF(EOMONTH(Enddatum,$E60+1)&lt;=AA$5,0,IF(AA$7&gt;$E60,OFFSET(Costs!AA24,0,-$E60),0))</f>
        <v>0</v>
      </c>
      <c r="AB60" s="697">
        <f ca="1">IF(EOMONTH(Enddatum,$E60+1)&lt;=AB$5,0,IF(AB$7&gt;$E60,OFFSET(Costs!AB24,0,-$E60),0))</f>
        <v>0</v>
      </c>
      <c r="AC60" s="697">
        <f ca="1">IF(EOMONTH(Enddatum,$E60+1)&lt;=AC$5,0,IF(AC$7&gt;$E60,OFFSET(Costs!AC24,0,-$E60),0))</f>
        <v>0</v>
      </c>
      <c r="AD60" s="697">
        <f ca="1">IF(EOMONTH(Enddatum,$E60+1)&lt;=AD$5,0,IF(AD$7&gt;$E60,OFFSET(Costs!AD24,0,-$E60),0))</f>
        <v>0</v>
      </c>
      <c r="AE60" s="697">
        <f ca="1">IF(EOMONTH(Enddatum,$E60+1)&lt;=AE$5,0,IF(AE$7&gt;$E60,OFFSET(Costs!AE24,0,-$E60),0))</f>
        <v>0</v>
      </c>
      <c r="AF60" s="697">
        <f ca="1">IF(EOMONTH(Enddatum,$E60+1)&lt;=AF$5,0,IF(AF$7&gt;$E60,OFFSET(Costs!AF24,0,-$E60),0))</f>
        <v>0</v>
      </c>
      <c r="AG60" s="697">
        <f ca="1">IF(EOMONTH(Enddatum,$E60+1)&lt;=AG$5,0,IF(AG$7&gt;$E60,OFFSET(Costs!AG24,0,-$E60),0))</f>
        <v>0</v>
      </c>
    </row>
    <row r="61" spans="1:33" s="878" customFormat="1" ht="16.5" customHeight="1" outlineLevel="2">
      <c r="A61" s="861"/>
      <c r="B61" s="282"/>
      <c r="C61" s="692" t="str">
        <f>Costs!C59</f>
        <v>Research and Development Costs</v>
      </c>
      <c r="D61" s="282"/>
      <c r="E61" s="282"/>
      <c r="F61" s="282"/>
      <c r="G61" s="282"/>
      <c r="H61" s="282"/>
      <c r="I61" s="282"/>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row>
    <row r="62" spans="1:33" s="878" customFormat="1" ht="16.5" customHeight="1" outlineLevel="2">
      <c r="A62" s="861"/>
      <c r="B62" s="282"/>
      <c r="C62" s="24" t="str">
        <f>Costs!C61</f>
        <v>Consultancy</v>
      </c>
      <c r="D62" s="8" t="str">
        <f t="shared" ref="D62:D73" si="39">Currency_Label</f>
        <v>USD</v>
      </c>
      <c r="E62" s="689">
        <f>Costs!F61</f>
        <v>2</v>
      </c>
      <c r="F62" s="282"/>
      <c r="G62" s="282"/>
      <c r="H62" s="282"/>
      <c r="I62" s="71">
        <f t="shared" ref="I62:I73" ca="1" si="40">SUM(J62:AG62)</f>
        <v>36707.37896263814</v>
      </c>
      <c r="J62" s="697">
        <f ca="1">IF(EOMONTH(Enddatum,$E62+1)&lt;=J$5,0,IF(J$7&gt;$E62,OFFSET(Costs!J61,0,-$E62),0))</f>
        <v>0</v>
      </c>
      <c r="K62" s="697">
        <f ca="1">IF(EOMONTH(Enddatum,$E62+1)&lt;=K$5,0,IF(K$7&gt;$E62,OFFSET(Costs!K61,0,-$E62),0))</f>
        <v>0</v>
      </c>
      <c r="L62" s="697">
        <f ca="1">IF(EOMONTH(Enddatum,$E62+1)&lt;=L$5,0,IF(L$7&gt;$E62,OFFSET(Costs!L61,0,-$E62),0))</f>
        <v>1500</v>
      </c>
      <c r="M62" s="697">
        <f ca="1">IF(EOMONTH(Enddatum,$E62+1)&lt;=M$5,0,IF(M$7&gt;$E62,OFFSET(Costs!M61,0,-$E62),0))</f>
        <v>1515</v>
      </c>
      <c r="N62" s="697">
        <f ca="1">IF(EOMONTH(Enddatum,$E62+1)&lt;=N$5,0,IF(N$7&gt;$E62,OFFSET(Costs!N61,0,-$E62),0))</f>
        <v>1530.15</v>
      </c>
      <c r="O62" s="697">
        <f ca="1">IF(EOMONTH(Enddatum,$E62+1)&lt;=O$5,0,IF(O$7&gt;$E62,OFFSET(Costs!O61,0,-$E62),0))</f>
        <v>1545.4515000000001</v>
      </c>
      <c r="P62" s="697">
        <f ca="1">IF(EOMONTH(Enddatum,$E62+1)&lt;=P$5,0,IF(P$7&gt;$E62,OFFSET(Costs!P61,0,-$E62),0))</f>
        <v>1560.9060150000003</v>
      </c>
      <c r="Q62" s="697">
        <f ca="1">IF(EOMONTH(Enddatum,$E62+1)&lt;=Q$5,0,IF(Q$7&gt;$E62,OFFSET(Costs!Q61,0,-$E62),0))</f>
        <v>1576.5150751500003</v>
      </c>
      <c r="R62" s="697">
        <f ca="1">IF(EOMONTH(Enddatum,$E62+1)&lt;=R$5,0,IF(R$7&gt;$E62,OFFSET(Costs!R61,0,-$E62),0))</f>
        <v>1592.2802259015002</v>
      </c>
      <c r="S62" s="697">
        <f ca="1">IF(EOMONTH(Enddatum,$E62+1)&lt;=S$5,0,IF(S$7&gt;$E62,OFFSET(Costs!S61,0,-$E62),0))</f>
        <v>1608.2030281605153</v>
      </c>
      <c r="T62" s="697">
        <f ca="1">IF(EOMONTH(Enddatum,$E62+1)&lt;=T$5,0,IF(T$7&gt;$E62,OFFSET(Costs!T61,0,-$E62),0))</f>
        <v>1624.2850584421203</v>
      </c>
      <c r="U62" s="697">
        <f ca="1">IF(EOMONTH(Enddatum,$E62+1)&lt;=U$5,0,IF(U$7&gt;$E62,OFFSET(Costs!U61,0,-$E62),0))</f>
        <v>1640.5279090265415</v>
      </c>
      <c r="V62" s="697">
        <f ca="1">IF(EOMONTH(Enddatum,$E62+1)&lt;=V$5,0,IF(V$7&gt;$E62,OFFSET(Costs!V61,0,-$E62),0))</f>
        <v>1656.9331881168068</v>
      </c>
      <c r="W62" s="697">
        <f ca="1">IF(EOMONTH(Enddatum,$E62+1)&lt;=W$5,0,IF(W$7&gt;$E62,OFFSET(Costs!W61,0,-$E62),0))</f>
        <v>1673.502519997975</v>
      </c>
      <c r="X62" s="697">
        <f ca="1">IF(EOMONTH(Enddatum,$E62+1)&lt;=X$5,0,IF(X$7&gt;$E62,OFFSET(Costs!X61,0,-$E62),0))</f>
        <v>1690.2375451979549</v>
      </c>
      <c r="Y62" s="697">
        <f ca="1">IF(EOMONTH(Enddatum,$E62+1)&lt;=Y$5,0,IF(Y$7&gt;$E62,OFFSET(Costs!Y61,0,-$E62),0))</f>
        <v>1707.1399206499345</v>
      </c>
      <c r="Z62" s="697">
        <f ca="1">IF(EOMONTH(Enddatum,$E62+1)&lt;=Z$5,0,IF(Z$7&gt;$E62,OFFSET(Costs!Z61,0,-$E62),0))</f>
        <v>1724.2113198564339</v>
      </c>
      <c r="AA62" s="697">
        <f ca="1">IF(EOMONTH(Enddatum,$E62+1)&lt;=AA$5,0,IF(AA$7&gt;$E62,OFFSET(Costs!AA61,0,-$E62),0))</f>
        <v>1741.4534330549982</v>
      </c>
      <c r="AB62" s="697">
        <f ca="1">IF(EOMONTH(Enddatum,$E62+1)&lt;=AB$5,0,IF(AB$7&gt;$E62,OFFSET(Costs!AB61,0,-$E62),0))</f>
        <v>1758.8679673855481</v>
      </c>
      <c r="AC62" s="697">
        <f ca="1">IF(EOMONTH(Enddatum,$E62+1)&lt;=AC$5,0,IF(AC$7&gt;$E62,OFFSET(Costs!AC61,0,-$E62),0))</f>
        <v>1776.4566470594036</v>
      </c>
      <c r="AD62" s="697">
        <f ca="1">IF(EOMONTH(Enddatum,$E62+1)&lt;=AD$5,0,IF(AD$7&gt;$E62,OFFSET(Costs!AD61,0,-$E62),0))</f>
        <v>1794.2212135299976</v>
      </c>
      <c r="AE62" s="697">
        <f ca="1">IF(EOMONTH(Enddatum,$E62+1)&lt;=AE$5,0,IF(AE$7&gt;$E62,OFFSET(Costs!AE61,0,-$E62),0))</f>
        <v>1812.1634256652976</v>
      </c>
      <c r="AF62" s="697">
        <f ca="1">IF(EOMONTH(Enddatum,$E62+1)&lt;=AF$5,0,IF(AF$7&gt;$E62,OFFSET(Costs!AF61,0,-$E62),0))</f>
        <v>1830.2850599219505</v>
      </c>
      <c r="AG62" s="697">
        <f ca="1">IF(EOMONTH(Enddatum,$E62+1)&lt;=AG$5,0,IF(AG$7&gt;$E62,OFFSET(Costs!AG61,0,-$E62),0))</f>
        <v>1848.58791052117</v>
      </c>
    </row>
    <row r="63" spans="1:33" s="878" customFormat="1" ht="16.5" customHeight="1" outlineLevel="2">
      <c r="A63" s="861"/>
      <c r="B63" s="282"/>
      <c r="C63" s="24" t="str">
        <f>Costs!C62</f>
        <v>Design, construction &amp; testing of prototypes</v>
      </c>
      <c r="D63" s="8" t="str">
        <f t="shared" si="39"/>
        <v>USD</v>
      </c>
      <c r="E63" s="689">
        <f>Costs!F62</f>
        <v>0</v>
      </c>
      <c r="F63" s="282"/>
      <c r="G63" s="282"/>
      <c r="H63" s="282"/>
      <c r="I63" s="71">
        <f t="shared" ca="1" si="40"/>
        <v>0</v>
      </c>
      <c r="J63" s="697">
        <f ca="1">IF(EOMONTH(Enddatum,$E63+1)&lt;=J$5,0,IF(J$7&gt;$E63,OFFSET(Costs!J62,0,-$E63),0))</f>
        <v>0</v>
      </c>
      <c r="K63" s="697">
        <f ca="1">IF(EOMONTH(Enddatum,$E63+1)&lt;=K$5,0,IF(K$7&gt;$E63,OFFSET(Costs!K62,0,-$E63),0))</f>
        <v>0</v>
      </c>
      <c r="L63" s="697">
        <f ca="1">IF(EOMONTH(Enddatum,$E63+1)&lt;=L$5,0,IF(L$7&gt;$E63,OFFSET(Costs!L62,0,-$E63),0))</f>
        <v>0</v>
      </c>
      <c r="M63" s="697">
        <f ca="1">IF(EOMONTH(Enddatum,$E63+1)&lt;=M$5,0,IF(M$7&gt;$E63,OFFSET(Costs!M62,0,-$E63),0))</f>
        <v>0</v>
      </c>
      <c r="N63" s="697">
        <f ca="1">IF(EOMONTH(Enddatum,$E63+1)&lt;=N$5,0,IF(N$7&gt;$E63,OFFSET(Costs!N62,0,-$E63),0))</f>
        <v>0</v>
      </c>
      <c r="O63" s="697">
        <f ca="1">IF(EOMONTH(Enddatum,$E63+1)&lt;=O$5,0,IF(O$7&gt;$E63,OFFSET(Costs!O62,0,-$E63),0))</f>
        <v>0</v>
      </c>
      <c r="P63" s="697">
        <f ca="1">IF(EOMONTH(Enddatum,$E63+1)&lt;=P$5,0,IF(P$7&gt;$E63,OFFSET(Costs!P62,0,-$E63),0))</f>
        <v>0</v>
      </c>
      <c r="Q63" s="697">
        <f ca="1">IF(EOMONTH(Enddatum,$E63+1)&lt;=Q$5,0,IF(Q$7&gt;$E63,OFFSET(Costs!Q62,0,-$E63),0))</f>
        <v>0</v>
      </c>
      <c r="R63" s="697">
        <f ca="1">IF(EOMONTH(Enddatum,$E63+1)&lt;=R$5,0,IF(R$7&gt;$E63,OFFSET(Costs!R62,0,-$E63),0))</f>
        <v>0</v>
      </c>
      <c r="S63" s="697">
        <f ca="1">IF(EOMONTH(Enddatum,$E63+1)&lt;=S$5,0,IF(S$7&gt;$E63,OFFSET(Costs!S62,0,-$E63),0))</f>
        <v>0</v>
      </c>
      <c r="T63" s="697">
        <f ca="1">IF(EOMONTH(Enddatum,$E63+1)&lt;=T$5,0,IF(T$7&gt;$E63,OFFSET(Costs!T62,0,-$E63),0))</f>
        <v>0</v>
      </c>
      <c r="U63" s="697">
        <f ca="1">IF(EOMONTH(Enddatum,$E63+1)&lt;=U$5,0,IF(U$7&gt;$E63,OFFSET(Costs!U62,0,-$E63),0))</f>
        <v>0</v>
      </c>
      <c r="V63" s="697">
        <f ca="1">IF(EOMONTH(Enddatum,$E63+1)&lt;=V$5,0,IF(V$7&gt;$E63,OFFSET(Costs!V62,0,-$E63),0))</f>
        <v>0</v>
      </c>
      <c r="W63" s="697">
        <f ca="1">IF(EOMONTH(Enddatum,$E63+1)&lt;=W$5,0,IF(W$7&gt;$E63,OFFSET(Costs!W62,0,-$E63),0))</f>
        <v>0</v>
      </c>
      <c r="X63" s="697">
        <f ca="1">IF(EOMONTH(Enddatum,$E63+1)&lt;=X$5,0,IF(X$7&gt;$E63,OFFSET(Costs!X62,0,-$E63),0))</f>
        <v>0</v>
      </c>
      <c r="Y63" s="697">
        <f ca="1">IF(EOMONTH(Enddatum,$E63+1)&lt;=Y$5,0,IF(Y$7&gt;$E63,OFFSET(Costs!Y62,0,-$E63),0))</f>
        <v>0</v>
      </c>
      <c r="Z63" s="697">
        <f ca="1">IF(EOMONTH(Enddatum,$E63+1)&lt;=Z$5,0,IF(Z$7&gt;$E63,OFFSET(Costs!Z62,0,-$E63),0))</f>
        <v>0</v>
      </c>
      <c r="AA63" s="697">
        <f ca="1">IF(EOMONTH(Enddatum,$E63+1)&lt;=AA$5,0,IF(AA$7&gt;$E63,OFFSET(Costs!AA62,0,-$E63),0))</f>
        <v>0</v>
      </c>
      <c r="AB63" s="697">
        <f ca="1">IF(EOMONTH(Enddatum,$E63+1)&lt;=AB$5,0,IF(AB$7&gt;$E63,OFFSET(Costs!AB62,0,-$E63),0))</f>
        <v>0</v>
      </c>
      <c r="AC63" s="697">
        <f ca="1">IF(EOMONTH(Enddatum,$E63+1)&lt;=AC$5,0,IF(AC$7&gt;$E63,OFFSET(Costs!AC62,0,-$E63),0))</f>
        <v>0</v>
      </c>
      <c r="AD63" s="697">
        <f ca="1">IF(EOMONTH(Enddatum,$E63+1)&lt;=AD$5,0,IF(AD$7&gt;$E63,OFFSET(Costs!AD62,0,-$E63),0))</f>
        <v>0</v>
      </c>
      <c r="AE63" s="697">
        <f ca="1">IF(EOMONTH(Enddatum,$E63+1)&lt;=AE$5,0,IF(AE$7&gt;$E63,OFFSET(Costs!AE62,0,-$E63),0))</f>
        <v>0</v>
      </c>
      <c r="AF63" s="697">
        <f ca="1">IF(EOMONTH(Enddatum,$E63+1)&lt;=AF$5,0,IF(AF$7&gt;$E63,OFFSET(Costs!AF62,0,-$E63),0))</f>
        <v>0</v>
      </c>
      <c r="AG63" s="697">
        <f ca="1">IF(EOMONTH(Enddatum,$E63+1)&lt;=AG$5,0,IF(AG$7&gt;$E63,OFFSET(Costs!AG62,0,-$E63),0))</f>
        <v>0</v>
      </c>
    </row>
    <row r="64" spans="1:33" s="878" customFormat="1" ht="16.5" customHeight="1" outlineLevel="2">
      <c r="A64" s="861"/>
      <c r="B64" s="282"/>
      <c r="C64" s="24" t="str">
        <f>Costs!C63</f>
        <v>Materials</v>
      </c>
      <c r="D64" s="8" t="str">
        <f t="shared" si="39"/>
        <v>USD</v>
      </c>
      <c r="E64" s="689">
        <f>Costs!F63</f>
        <v>0</v>
      </c>
      <c r="F64" s="282"/>
      <c r="G64" s="282"/>
      <c r="H64" s="282"/>
      <c r="I64" s="71">
        <f t="shared" ca="1" si="40"/>
        <v>0</v>
      </c>
      <c r="J64" s="697">
        <f ca="1">IF(EOMONTH(Enddatum,$E64+1)&lt;=J$5,0,IF(J$7&gt;$E64,OFFSET(Costs!J63,0,-$E64),0))</f>
        <v>0</v>
      </c>
      <c r="K64" s="697">
        <f ca="1">IF(EOMONTH(Enddatum,$E64+1)&lt;=K$5,0,IF(K$7&gt;$E64,OFFSET(Costs!K63,0,-$E64),0))</f>
        <v>0</v>
      </c>
      <c r="L64" s="697">
        <f ca="1">IF(EOMONTH(Enddatum,$E64+1)&lt;=L$5,0,IF(L$7&gt;$E64,OFFSET(Costs!L63,0,-$E64),0))</f>
        <v>0</v>
      </c>
      <c r="M64" s="697">
        <f ca="1">IF(EOMONTH(Enddatum,$E64+1)&lt;=M$5,0,IF(M$7&gt;$E64,OFFSET(Costs!M63,0,-$E64),0))</f>
        <v>0</v>
      </c>
      <c r="N64" s="697">
        <f ca="1">IF(EOMONTH(Enddatum,$E64+1)&lt;=N$5,0,IF(N$7&gt;$E64,OFFSET(Costs!N63,0,-$E64),0))</f>
        <v>0</v>
      </c>
      <c r="O64" s="697">
        <f ca="1">IF(EOMONTH(Enddatum,$E64+1)&lt;=O$5,0,IF(O$7&gt;$E64,OFFSET(Costs!O63,0,-$E64),0))</f>
        <v>0</v>
      </c>
      <c r="P64" s="697">
        <f ca="1">IF(EOMONTH(Enddatum,$E64+1)&lt;=P$5,0,IF(P$7&gt;$E64,OFFSET(Costs!P63,0,-$E64),0))</f>
        <v>0</v>
      </c>
      <c r="Q64" s="697">
        <f ca="1">IF(EOMONTH(Enddatum,$E64+1)&lt;=Q$5,0,IF(Q$7&gt;$E64,OFFSET(Costs!Q63,0,-$E64),0))</f>
        <v>0</v>
      </c>
      <c r="R64" s="697">
        <f ca="1">IF(EOMONTH(Enddatum,$E64+1)&lt;=R$5,0,IF(R$7&gt;$E64,OFFSET(Costs!R63,0,-$E64),0))</f>
        <v>0</v>
      </c>
      <c r="S64" s="697">
        <f ca="1">IF(EOMONTH(Enddatum,$E64+1)&lt;=S$5,0,IF(S$7&gt;$E64,OFFSET(Costs!S63,0,-$E64),0))</f>
        <v>0</v>
      </c>
      <c r="T64" s="697">
        <f ca="1">IF(EOMONTH(Enddatum,$E64+1)&lt;=T$5,0,IF(T$7&gt;$E64,OFFSET(Costs!T63,0,-$E64),0))</f>
        <v>0</v>
      </c>
      <c r="U64" s="697">
        <f ca="1">IF(EOMONTH(Enddatum,$E64+1)&lt;=U$5,0,IF(U$7&gt;$E64,OFFSET(Costs!U63,0,-$E64),0))</f>
        <v>0</v>
      </c>
      <c r="V64" s="697">
        <f ca="1">IF(EOMONTH(Enddatum,$E64+1)&lt;=V$5,0,IF(V$7&gt;$E64,OFFSET(Costs!V63,0,-$E64),0))</f>
        <v>0</v>
      </c>
      <c r="W64" s="697">
        <f ca="1">IF(EOMONTH(Enddatum,$E64+1)&lt;=W$5,0,IF(W$7&gt;$E64,OFFSET(Costs!W63,0,-$E64),0))</f>
        <v>0</v>
      </c>
      <c r="X64" s="697">
        <f ca="1">IF(EOMONTH(Enddatum,$E64+1)&lt;=X$5,0,IF(X$7&gt;$E64,OFFSET(Costs!X63,0,-$E64),0))</f>
        <v>0</v>
      </c>
      <c r="Y64" s="697">
        <f ca="1">IF(EOMONTH(Enddatum,$E64+1)&lt;=Y$5,0,IF(Y$7&gt;$E64,OFFSET(Costs!Y63,0,-$E64),0))</f>
        <v>0</v>
      </c>
      <c r="Z64" s="697">
        <f ca="1">IF(EOMONTH(Enddatum,$E64+1)&lt;=Z$5,0,IF(Z$7&gt;$E64,OFFSET(Costs!Z63,0,-$E64),0))</f>
        <v>0</v>
      </c>
      <c r="AA64" s="697">
        <f ca="1">IF(EOMONTH(Enddatum,$E64+1)&lt;=AA$5,0,IF(AA$7&gt;$E64,OFFSET(Costs!AA63,0,-$E64),0))</f>
        <v>0</v>
      </c>
      <c r="AB64" s="697">
        <f ca="1">IF(EOMONTH(Enddatum,$E64+1)&lt;=AB$5,0,IF(AB$7&gt;$E64,OFFSET(Costs!AB63,0,-$E64),0))</f>
        <v>0</v>
      </c>
      <c r="AC64" s="697">
        <f ca="1">IF(EOMONTH(Enddatum,$E64+1)&lt;=AC$5,0,IF(AC$7&gt;$E64,OFFSET(Costs!AC63,0,-$E64),0))</f>
        <v>0</v>
      </c>
      <c r="AD64" s="697">
        <f ca="1">IF(EOMONTH(Enddatum,$E64+1)&lt;=AD$5,0,IF(AD$7&gt;$E64,OFFSET(Costs!AD63,0,-$E64),0))</f>
        <v>0</v>
      </c>
      <c r="AE64" s="697">
        <f ca="1">IF(EOMONTH(Enddatum,$E64+1)&lt;=AE$5,0,IF(AE$7&gt;$E64,OFFSET(Costs!AE63,0,-$E64),0))</f>
        <v>0</v>
      </c>
      <c r="AF64" s="697">
        <f ca="1">IF(EOMONTH(Enddatum,$E64+1)&lt;=AF$5,0,IF(AF$7&gt;$E64,OFFSET(Costs!AF63,0,-$E64),0))</f>
        <v>0</v>
      </c>
      <c r="AG64" s="697">
        <f ca="1">IF(EOMONTH(Enddatum,$E64+1)&lt;=AG$5,0,IF(AG$7&gt;$E64,OFFSET(Costs!AG63,0,-$E64),0))</f>
        <v>0</v>
      </c>
    </row>
    <row r="65" spans="1:33" s="878" customFormat="1" ht="16.5" customHeight="1" outlineLevel="2">
      <c r="A65" s="861"/>
      <c r="B65" s="282"/>
      <c r="C65" s="24" t="str">
        <f>Costs!C64</f>
        <v>Miscellaneous 01</v>
      </c>
      <c r="D65" s="8" t="str">
        <f t="shared" si="39"/>
        <v>USD</v>
      </c>
      <c r="E65" s="689">
        <f>Costs!F64</f>
        <v>0</v>
      </c>
      <c r="F65" s="282"/>
      <c r="G65" s="282"/>
      <c r="H65" s="282"/>
      <c r="I65" s="71">
        <f t="shared" ca="1" si="40"/>
        <v>0</v>
      </c>
      <c r="J65" s="697">
        <f ca="1">IF(EOMONTH(Enddatum,$E65+1)&lt;=J$5,0,IF(J$7&gt;$E65,OFFSET(Costs!J64,0,-$E65),0))</f>
        <v>0</v>
      </c>
      <c r="K65" s="697">
        <f ca="1">IF(EOMONTH(Enddatum,$E65+1)&lt;=K$5,0,IF(K$7&gt;$E65,OFFSET(Costs!K64,0,-$E65),0))</f>
        <v>0</v>
      </c>
      <c r="L65" s="697">
        <f ca="1">IF(EOMONTH(Enddatum,$E65+1)&lt;=L$5,0,IF(L$7&gt;$E65,OFFSET(Costs!L64,0,-$E65),0))</f>
        <v>0</v>
      </c>
      <c r="M65" s="697">
        <f ca="1">IF(EOMONTH(Enddatum,$E65+1)&lt;=M$5,0,IF(M$7&gt;$E65,OFFSET(Costs!M64,0,-$E65),0))</f>
        <v>0</v>
      </c>
      <c r="N65" s="697">
        <f ca="1">IF(EOMONTH(Enddatum,$E65+1)&lt;=N$5,0,IF(N$7&gt;$E65,OFFSET(Costs!N64,0,-$E65),0))</f>
        <v>0</v>
      </c>
      <c r="O65" s="697">
        <f ca="1">IF(EOMONTH(Enddatum,$E65+1)&lt;=O$5,0,IF(O$7&gt;$E65,OFFSET(Costs!O64,0,-$E65),0))</f>
        <v>0</v>
      </c>
      <c r="P65" s="697">
        <f ca="1">IF(EOMONTH(Enddatum,$E65+1)&lt;=P$5,0,IF(P$7&gt;$E65,OFFSET(Costs!P64,0,-$E65),0))</f>
        <v>0</v>
      </c>
      <c r="Q65" s="697">
        <f ca="1">IF(EOMONTH(Enddatum,$E65+1)&lt;=Q$5,0,IF(Q$7&gt;$E65,OFFSET(Costs!Q64,0,-$E65),0))</f>
        <v>0</v>
      </c>
      <c r="R65" s="697">
        <f ca="1">IF(EOMONTH(Enddatum,$E65+1)&lt;=R$5,0,IF(R$7&gt;$E65,OFFSET(Costs!R64,0,-$E65),0))</f>
        <v>0</v>
      </c>
      <c r="S65" s="697">
        <f ca="1">IF(EOMONTH(Enddatum,$E65+1)&lt;=S$5,0,IF(S$7&gt;$E65,OFFSET(Costs!S64,0,-$E65),0))</f>
        <v>0</v>
      </c>
      <c r="T65" s="697">
        <f ca="1">IF(EOMONTH(Enddatum,$E65+1)&lt;=T$5,0,IF(T$7&gt;$E65,OFFSET(Costs!T64,0,-$E65),0))</f>
        <v>0</v>
      </c>
      <c r="U65" s="697">
        <f ca="1">IF(EOMONTH(Enddatum,$E65+1)&lt;=U$5,0,IF(U$7&gt;$E65,OFFSET(Costs!U64,0,-$E65),0))</f>
        <v>0</v>
      </c>
      <c r="V65" s="697">
        <f ca="1">IF(EOMONTH(Enddatum,$E65+1)&lt;=V$5,0,IF(V$7&gt;$E65,OFFSET(Costs!V64,0,-$E65),0))</f>
        <v>0</v>
      </c>
      <c r="W65" s="697">
        <f ca="1">IF(EOMONTH(Enddatum,$E65+1)&lt;=W$5,0,IF(W$7&gt;$E65,OFFSET(Costs!W64,0,-$E65),0))</f>
        <v>0</v>
      </c>
      <c r="X65" s="697">
        <f ca="1">IF(EOMONTH(Enddatum,$E65+1)&lt;=X$5,0,IF(X$7&gt;$E65,OFFSET(Costs!X64,0,-$E65),0))</f>
        <v>0</v>
      </c>
      <c r="Y65" s="697">
        <f ca="1">IF(EOMONTH(Enddatum,$E65+1)&lt;=Y$5,0,IF(Y$7&gt;$E65,OFFSET(Costs!Y64,0,-$E65),0))</f>
        <v>0</v>
      </c>
      <c r="Z65" s="697">
        <f ca="1">IF(EOMONTH(Enddatum,$E65+1)&lt;=Z$5,0,IF(Z$7&gt;$E65,OFFSET(Costs!Z64,0,-$E65),0))</f>
        <v>0</v>
      </c>
      <c r="AA65" s="697">
        <f ca="1">IF(EOMONTH(Enddatum,$E65+1)&lt;=AA$5,0,IF(AA$7&gt;$E65,OFFSET(Costs!AA64,0,-$E65),0))</f>
        <v>0</v>
      </c>
      <c r="AB65" s="697">
        <f ca="1">IF(EOMONTH(Enddatum,$E65+1)&lt;=AB$5,0,IF(AB$7&gt;$E65,OFFSET(Costs!AB64,0,-$E65),0))</f>
        <v>0</v>
      </c>
      <c r="AC65" s="697">
        <f ca="1">IF(EOMONTH(Enddatum,$E65+1)&lt;=AC$5,0,IF(AC$7&gt;$E65,OFFSET(Costs!AC64,0,-$E65),0))</f>
        <v>0</v>
      </c>
      <c r="AD65" s="697">
        <f ca="1">IF(EOMONTH(Enddatum,$E65+1)&lt;=AD$5,0,IF(AD$7&gt;$E65,OFFSET(Costs!AD64,0,-$E65),0))</f>
        <v>0</v>
      </c>
      <c r="AE65" s="697">
        <f ca="1">IF(EOMONTH(Enddatum,$E65+1)&lt;=AE$5,0,IF(AE$7&gt;$E65,OFFSET(Costs!AE64,0,-$E65),0))</f>
        <v>0</v>
      </c>
      <c r="AF65" s="697">
        <f ca="1">IF(EOMONTH(Enddatum,$E65+1)&lt;=AF$5,0,IF(AF$7&gt;$E65,OFFSET(Costs!AF64,0,-$E65),0))</f>
        <v>0</v>
      </c>
      <c r="AG65" s="697">
        <f ca="1">IF(EOMONTH(Enddatum,$E65+1)&lt;=AG$5,0,IF(AG$7&gt;$E65,OFFSET(Costs!AG64,0,-$E65),0))</f>
        <v>0</v>
      </c>
    </row>
    <row r="66" spans="1:33" s="878" customFormat="1" ht="16.5" customHeight="1" outlineLevel="2">
      <c r="A66" s="861"/>
      <c r="B66" s="282"/>
      <c r="C66" s="24" t="str">
        <f>Costs!C65</f>
        <v>Miscellaneous 02</v>
      </c>
      <c r="D66" s="8" t="str">
        <f t="shared" si="39"/>
        <v>USD</v>
      </c>
      <c r="E66" s="689">
        <f>Costs!F65</f>
        <v>0</v>
      </c>
      <c r="F66" s="282"/>
      <c r="G66" s="282"/>
      <c r="H66" s="282"/>
      <c r="I66" s="71">
        <f t="shared" ca="1" si="40"/>
        <v>0</v>
      </c>
      <c r="J66" s="697">
        <f ca="1">IF(EOMONTH(Enddatum,$E66+1)&lt;=J$5,0,IF(J$7&gt;$E66,OFFSET(Costs!J65,0,-$E66),0))</f>
        <v>0</v>
      </c>
      <c r="K66" s="697">
        <f ca="1">IF(EOMONTH(Enddatum,$E66+1)&lt;=K$5,0,IF(K$7&gt;$E66,OFFSET(Costs!K65,0,-$E66),0))</f>
        <v>0</v>
      </c>
      <c r="L66" s="697">
        <f ca="1">IF(EOMONTH(Enddatum,$E66+1)&lt;=L$5,0,IF(L$7&gt;$E66,OFFSET(Costs!L65,0,-$E66),0))</f>
        <v>0</v>
      </c>
      <c r="M66" s="697">
        <f ca="1">IF(EOMONTH(Enddatum,$E66+1)&lt;=M$5,0,IF(M$7&gt;$E66,OFFSET(Costs!M65,0,-$E66),0))</f>
        <v>0</v>
      </c>
      <c r="N66" s="697">
        <f ca="1">IF(EOMONTH(Enddatum,$E66+1)&lt;=N$5,0,IF(N$7&gt;$E66,OFFSET(Costs!N65,0,-$E66),0))</f>
        <v>0</v>
      </c>
      <c r="O66" s="697">
        <f ca="1">IF(EOMONTH(Enddatum,$E66+1)&lt;=O$5,0,IF(O$7&gt;$E66,OFFSET(Costs!O65,0,-$E66),0))</f>
        <v>0</v>
      </c>
      <c r="P66" s="697">
        <f ca="1">IF(EOMONTH(Enddatum,$E66+1)&lt;=P$5,0,IF(P$7&gt;$E66,OFFSET(Costs!P65,0,-$E66),0))</f>
        <v>0</v>
      </c>
      <c r="Q66" s="697">
        <f ca="1">IF(EOMONTH(Enddatum,$E66+1)&lt;=Q$5,0,IF(Q$7&gt;$E66,OFFSET(Costs!Q65,0,-$E66),0))</f>
        <v>0</v>
      </c>
      <c r="R66" s="697">
        <f ca="1">IF(EOMONTH(Enddatum,$E66+1)&lt;=R$5,0,IF(R$7&gt;$E66,OFFSET(Costs!R65,0,-$E66),0))</f>
        <v>0</v>
      </c>
      <c r="S66" s="697">
        <f ca="1">IF(EOMONTH(Enddatum,$E66+1)&lt;=S$5,0,IF(S$7&gt;$E66,OFFSET(Costs!S65,0,-$E66),0))</f>
        <v>0</v>
      </c>
      <c r="T66" s="697">
        <f ca="1">IF(EOMONTH(Enddatum,$E66+1)&lt;=T$5,0,IF(T$7&gt;$E66,OFFSET(Costs!T65,0,-$E66),0))</f>
        <v>0</v>
      </c>
      <c r="U66" s="697">
        <f ca="1">IF(EOMONTH(Enddatum,$E66+1)&lt;=U$5,0,IF(U$7&gt;$E66,OFFSET(Costs!U65,0,-$E66),0))</f>
        <v>0</v>
      </c>
      <c r="V66" s="697">
        <f ca="1">IF(EOMONTH(Enddatum,$E66+1)&lt;=V$5,0,IF(V$7&gt;$E66,OFFSET(Costs!V65,0,-$E66),0))</f>
        <v>0</v>
      </c>
      <c r="W66" s="697">
        <f ca="1">IF(EOMONTH(Enddatum,$E66+1)&lt;=W$5,0,IF(W$7&gt;$E66,OFFSET(Costs!W65,0,-$E66),0))</f>
        <v>0</v>
      </c>
      <c r="X66" s="697">
        <f ca="1">IF(EOMONTH(Enddatum,$E66+1)&lt;=X$5,0,IF(X$7&gt;$E66,OFFSET(Costs!X65,0,-$E66),0))</f>
        <v>0</v>
      </c>
      <c r="Y66" s="697">
        <f ca="1">IF(EOMONTH(Enddatum,$E66+1)&lt;=Y$5,0,IF(Y$7&gt;$E66,OFFSET(Costs!Y65,0,-$E66),0))</f>
        <v>0</v>
      </c>
      <c r="Z66" s="697">
        <f ca="1">IF(EOMONTH(Enddatum,$E66+1)&lt;=Z$5,0,IF(Z$7&gt;$E66,OFFSET(Costs!Z65,0,-$E66),0))</f>
        <v>0</v>
      </c>
      <c r="AA66" s="697">
        <f ca="1">IF(EOMONTH(Enddatum,$E66+1)&lt;=AA$5,0,IF(AA$7&gt;$E66,OFFSET(Costs!AA65,0,-$E66),0))</f>
        <v>0</v>
      </c>
      <c r="AB66" s="697">
        <f ca="1">IF(EOMONTH(Enddatum,$E66+1)&lt;=AB$5,0,IF(AB$7&gt;$E66,OFFSET(Costs!AB65,0,-$E66),0))</f>
        <v>0</v>
      </c>
      <c r="AC66" s="697">
        <f ca="1">IF(EOMONTH(Enddatum,$E66+1)&lt;=AC$5,0,IF(AC$7&gt;$E66,OFFSET(Costs!AC65,0,-$E66),0))</f>
        <v>0</v>
      </c>
      <c r="AD66" s="697">
        <f ca="1">IF(EOMONTH(Enddatum,$E66+1)&lt;=AD$5,0,IF(AD$7&gt;$E66,OFFSET(Costs!AD65,0,-$E66),0))</f>
        <v>0</v>
      </c>
      <c r="AE66" s="697">
        <f ca="1">IF(EOMONTH(Enddatum,$E66+1)&lt;=AE$5,0,IF(AE$7&gt;$E66,OFFSET(Costs!AE65,0,-$E66),0))</f>
        <v>0</v>
      </c>
      <c r="AF66" s="697">
        <f ca="1">IF(EOMONTH(Enddatum,$E66+1)&lt;=AF$5,0,IF(AF$7&gt;$E66,OFFSET(Costs!AF65,0,-$E66),0))</f>
        <v>0</v>
      </c>
      <c r="AG66" s="697">
        <f ca="1">IF(EOMONTH(Enddatum,$E66+1)&lt;=AG$5,0,IF(AG$7&gt;$E66,OFFSET(Costs!AG65,0,-$E66),0))</f>
        <v>0</v>
      </c>
    </row>
    <row r="67" spans="1:33" s="878" customFormat="1" ht="16.5" customHeight="1" outlineLevel="2">
      <c r="A67" s="861"/>
      <c r="B67" s="282"/>
      <c r="C67" s="24" t="str">
        <f>Costs!C66</f>
        <v>Miscellaneous 03</v>
      </c>
      <c r="D67" s="8" t="str">
        <f t="shared" si="39"/>
        <v>USD</v>
      </c>
      <c r="E67" s="689">
        <f>Costs!F66</f>
        <v>0</v>
      </c>
      <c r="F67" s="282"/>
      <c r="G67" s="282"/>
      <c r="H67" s="282"/>
      <c r="I67" s="71">
        <f t="shared" ca="1" si="40"/>
        <v>0</v>
      </c>
      <c r="J67" s="697">
        <f ca="1">IF(EOMONTH(Enddatum,$E67+1)&lt;=J$5,0,IF(J$7&gt;$E67,OFFSET(Costs!J66,0,-$E67),0))</f>
        <v>0</v>
      </c>
      <c r="K67" s="697">
        <f ca="1">IF(EOMONTH(Enddatum,$E67+1)&lt;=K$5,0,IF(K$7&gt;$E67,OFFSET(Costs!K66,0,-$E67),0))</f>
        <v>0</v>
      </c>
      <c r="L67" s="697">
        <f ca="1">IF(EOMONTH(Enddatum,$E67+1)&lt;=L$5,0,IF(L$7&gt;$E67,OFFSET(Costs!L66,0,-$E67),0))</f>
        <v>0</v>
      </c>
      <c r="M67" s="697">
        <f ca="1">IF(EOMONTH(Enddatum,$E67+1)&lt;=M$5,0,IF(M$7&gt;$E67,OFFSET(Costs!M66,0,-$E67),0))</f>
        <v>0</v>
      </c>
      <c r="N67" s="697">
        <f ca="1">IF(EOMONTH(Enddatum,$E67+1)&lt;=N$5,0,IF(N$7&gt;$E67,OFFSET(Costs!N66,0,-$E67),0))</f>
        <v>0</v>
      </c>
      <c r="O67" s="697">
        <f ca="1">IF(EOMONTH(Enddatum,$E67+1)&lt;=O$5,0,IF(O$7&gt;$E67,OFFSET(Costs!O66,0,-$E67),0))</f>
        <v>0</v>
      </c>
      <c r="P67" s="697">
        <f ca="1">IF(EOMONTH(Enddatum,$E67+1)&lt;=P$5,0,IF(P$7&gt;$E67,OFFSET(Costs!P66,0,-$E67),0))</f>
        <v>0</v>
      </c>
      <c r="Q67" s="697">
        <f ca="1">IF(EOMONTH(Enddatum,$E67+1)&lt;=Q$5,0,IF(Q$7&gt;$E67,OFFSET(Costs!Q66,0,-$E67),0))</f>
        <v>0</v>
      </c>
      <c r="R67" s="697">
        <f ca="1">IF(EOMONTH(Enddatum,$E67+1)&lt;=R$5,0,IF(R$7&gt;$E67,OFFSET(Costs!R66,0,-$E67),0))</f>
        <v>0</v>
      </c>
      <c r="S67" s="697">
        <f ca="1">IF(EOMONTH(Enddatum,$E67+1)&lt;=S$5,0,IF(S$7&gt;$E67,OFFSET(Costs!S66,0,-$E67),0))</f>
        <v>0</v>
      </c>
      <c r="T67" s="697">
        <f ca="1">IF(EOMONTH(Enddatum,$E67+1)&lt;=T$5,0,IF(T$7&gt;$E67,OFFSET(Costs!T66,0,-$E67),0))</f>
        <v>0</v>
      </c>
      <c r="U67" s="697">
        <f ca="1">IF(EOMONTH(Enddatum,$E67+1)&lt;=U$5,0,IF(U$7&gt;$E67,OFFSET(Costs!U66,0,-$E67),0))</f>
        <v>0</v>
      </c>
      <c r="V67" s="697">
        <f ca="1">IF(EOMONTH(Enddatum,$E67+1)&lt;=V$5,0,IF(V$7&gt;$E67,OFFSET(Costs!V66,0,-$E67),0))</f>
        <v>0</v>
      </c>
      <c r="W67" s="697">
        <f ca="1">IF(EOMONTH(Enddatum,$E67+1)&lt;=W$5,0,IF(W$7&gt;$E67,OFFSET(Costs!W66,0,-$E67),0))</f>
        <v>0</v>
      </c>
      <c r="X67" s="697">
        <f ca="1">IF(EOMONTH(Enddatum,$E67+1)&lt;=X$5,0,IF(X$7&gt;$E67,OFFSET(Costs!X66,0,-$E67),0))</f>
        <v>0</v>
      </c>
      <c r="Y67" s="697">
        <f ca="1">IF(EOMONTH(Enddatum,$E67+1)&lt;=Y$5,0,IF(Y$7&gt;$E67,OFFSET(Costs!Y66,0,-$E67),0))</f>
        <v>0</v>
      </c>
      <c r="Z67" s="697">
        <f ca="1">IF(EOMONTH(Enddatum,$E67+1)&lt;=Z$5,0,IF(Z$7&gt;$E67,OFFSET(Costs!Z66,0,-$E67),0))</f>
        <v>0</v>
      </c>
      <c r="AA67" s="697">
        <f ca="1">IF(EOMONTH(Enddatum,$E67+1)&lt;=AA$5,0,IF(AA$7&gt;$E67,OFFSET(Costs!AA66,0,-$E67),0))</f>
        <v>0</v>
      </c>
      <c r="AB67" s="697">
        <f ca="1">IF(EOMONTH(Enddatum,$E67+1)&lt;=AB$5,0,IF(AB$7&gt;$E67,OFFSET(Costs!AB66,0,-$E67),0))</f>
        <v>0</v>
      </c>
      <c r="AC67" s="697">
        <f ca="1">IF(EOMONTH(Enddatum,$E67+1)&lt;=AC$5,0,IF(AC$7&gt;$E67,OFFSET(Costs!AC66,0,-$E67),0))</f>
        <v>0</v>
      </c>
      <c r="AD67" s="697">
        <f ca="1">IF(EOMONTH(Enddatum,$E67+1)&lt;=AD$5,0,IF(AD$7&gt;$E67,OFFSET(Costs!AD66,0,-$E67),0))</f>
        <v>0</v>
      </c>
      <c r="AE67" s="697">
        <f ca="1">IF(EOMONTH(Enddatum,$E67+1)&lt;=AE$5,0,IF(AE$7&gt;$E67,OFFSET(Costs!AE66,0,-$E67),0))</f>
        <v>0</v>
      </c>
      <c r="AF67" s="697">
        <f ca="1">IF(EOMONTH(Enddatum,$E67+1)&lt;=AF$5,0,IF(AF$7&gt;$E67,OFFSET(Costs!AF66,0,-$E67),0))</f>
        <v>0</v>
      </c>
      <c r="AG67" s="697">
        <f ca="1">IF(EOMONTH(Enddatum,$E67+1)&lt;=AG$5,0,IF(AG$7&gt;$E67,OFFSET(Costs!AG66,0,-$E67),0))</f>
        <v>0</v>
      </c>
    </row>
    <row r="68" spans="1:33" s="878" customFormat="1" ht="16.5" customHeight="1" outlineLevel="2">
      <c r="A68" s="861"/>
      <c r="B68" s="861"/>
      <c r="C68" s="24" t="str">
        <f>Costs!C67</f>
        <v>Miscellaneous 04</v>
      </c>
      <c r="D68" s="8" t="str">
        <f t="shared" si="39"/>
        <v>USD</v>
      </c>
      <c r="E68" s="689">
        <f>Costs!F67</f>
        <v>0</v>
      </c>
      <c r="F68" s="861"/>
      <c r="G68" s="861"/>
      <c r="H68" s="861"/>
      <c r="I68" s="71">
        <f t="shared" ca="1" si="40"/>
        <v>0</v>
      </c>
      <c r="J68" s="697">
        <f ca="1">IF(EOMONTH(Enddatum,$E68+1)&lt;=J$5,0,IF(J$7&gt;$E68,OFFSET(Costs!J67,0,-$E68),0))</f>
        <v>0</v>
      </c>
      <c r="K68" s="697">
        <f ca="1">IF(EOMONTH(Enddatum,$E68+1)&lt;=K$5,0,IF(K$7&gt;$E68,OFFSET(Costs!K67,0,-$E68),0))</f>
        <v>0</v>
      </c>
      <c r="L68" s="697">
        <f ca="1">IF(EOMONTH(Enddatum,$E68+1)&lt;=L$5,0,IF(L$7&gt;$E68,OFFSET(Costs!L67,0,-$E68),0))</f>
        <v>0</v>
      </c>
      <c r="M68" s="697">
        <f ca="1">IF(EOMONTH(Enddatum,$E68+1)&lt;=M$5,0,IF(M$7&gt;$E68,OFFSET(Costs!M67,0,-$E68),0))</f>
        <v>0</v>
      </c>
      <c r="N68" s="697">
        <f ca="1">IF(EOMONTH(Enddatum,$E68+1)&lt;=N$5,0,IF(N$7&gt;$E68,OFFSET(Costs!N67,0,-$E68),0))</f>
        <v>0</v>
      </c>
      <c r="O68" s="697">
        <f ca="1">IF(EOMONTH(Enddatum,$E68+1)&lt;=O$5,0,IF(O$7&gt;$E68,OFFSET(Costs!O67,0,-$E68),0))</f>
        <v>0</v>
      </c>
      <c r="P68" s="697">
        <f ca="1">IF(EOMONTH(Enddatum,$E68+1)&lt;=P$5,0,IF(P$7&gt;$E68,OFFSET(Costs!P67,0,-$E68),0))</f>
        <v>0</v>
      </c>
      <c r="Q68" s="697">
        <f ca="1">IF(EOMONTH(Enddatum,$E68+1)&lt;=Q$5,0,IF(Q$7&gt;$E68,OFFSET(Costs!Q67,0,-$E68),0))</f>
        <v>0</v>
      </c>
      <c r="R68" s="697">
        <f ca="1">IF(EOMONTH(Enddatum,$E68+1)&lt;=R$5,0,IF(R$7&gt;$E68,OFFSET(Costs!R67,0,-$E68),0))</f>
        <v>0</v>
      </c>
      <c r="S68" s="697">
        <f ca="1">IF(EOMONTH(Enddatum,$E68+1)&lt;=S$5,0,IF(S$7&gt;$E68,OFFSET(Costs!S67,0,-$E68),0))</f>
        <v>0</v>
      </c>
      <c r="T68" s="697">
        <f ca="1">IF(EOMONTH(Enddatum,$E68+1)&lt;=T$5,0,IF(T$7&gt;$E68,OFFSET(Costs!T67,0,-$E68),0))</f>
        <v>0</v>
      </c>
      <c r="U68" s="697">
        <f ca="1">IF(EOMONTH(Enddatum,$E68+1)&lt;=U$5,0,IF(U$7&gt;$E68,OFFSET(Costs!U67,0,-$E68),0))</f>
        <v>0</v>
      </c>
      <c r="V68" s="697">
        <f ca="1">IF(EOMONTH(Enddatum,$E68+1)&lt;=V$5,0,IF(V$7&gt;$E68,OFFSET(Costs!V67,0,-$E68),0))</f>
        <v>0</v>
      </c>
      <c r="W68" s="697">
        <f ca="1">IF(EOMONTH(Enddatum,$E68+1)&lt;=W$5,0,IF(W$7&gt;$E68,OFFSET(Costs!W67,0,-$E68),0))</f>
        <v>0</v>
      </c>
      <c r="X68" s="697">
        <f ca="1">IF(EOMONTH(Enddatum,$E68+1)&lt;=X$5,0,IF(X$7&gt;$E68,OFFSET(Costs!X67,0,-$E68),0))</f>
        <v>0</v>
      </c>
      <c r="Y68" s="697">
        <f ca="1">IF(EOMONTH(Enddatum,$E68+1)&lt;=Y$5,0,IF(Y$7&gt;$E68,OFFSET(Costs!Y67,0,-$E68),0))</f>
        <v>0</v>
      </c>
      <c r="Z68" s="697">
        <f ca="1">IF(EOMONTH(Enddatum,$E68+1)&lt;=Z$5,0,IF(Z$7&gt;$E68,OFFSET(Costs!Z67,0,-$E68),0))</f>
        <v>0</v>
      </c>
      <c r="AA68" s="697">
        <f ca="1">IF(EOMONTH(Enddatum,$E68+1)&lt;=AA$5,0,IF(AA$7&gt;$E68,OFFSET(Costs!AA67,0,-$E68),0))</f>
        <v>0</v>
      </c>
      <c r="AB68" s="697">
        <f ca="1">IF(EOMONTH(Enddatum,$E68+1)&lt;=AB$5,0,IF(AB$7&gt;$E68,OFFSET(Costs!AB67,0,-$E68),0))</f>
        <v>0</v>
      </c>
      <c r="AC68" s="697">
        <f ca="1">IF(EOMONTH(Enddatum,$E68+1)&lt;=AC$5,0,IF(AC$7&gt;$E68,OFFSET(Costs!AC67,0,-$E68),0))</f>
        <v>0</v>
      </c>
      <c r="AD68" s="697">
        <f ca="1">IF(EOMONTH(Enddatum,$E68+1)&lt;=AD$5,0,IF(AD$7&gt;$E68,OFFSET(Costs!AD67,0,-$E68),0))</f>
        <v>0</v>
      </c>
      <c r="AE68" s="697">
        <f ca="1">IF(EOMONTH(Enddatum,$E68+1)&lt;=AE$5,0,IF(AE$7&gt;$E68,OFFSET(Costs!AE67,0,-$E68),0))</f>
        <v>0</v>
      </c>
      <c r="AF68" s="697">
        <f ca="1">IF(EOMONTH(Enddatum,$E68+1)&lt;=AF$5,0,IF(AF$7&gt;$E68,OFFSET(Costs!AF67,0,-$E68),0))</f>
        <v>0</v>
      </c>
      <c r="AG68" s="697">
        <f ca="1">IF(EOMONTH(Enddatum,$E68+1)&lt;=AG$5,0,IF(AG$7&gt;$E68,OFFSET(Costs!AG67,0,-$E68),0))</f>
        <v>0</v>
      </c>
    </row>
    <row r="69" spans="1:33" s="878" customFormat="1" ht="16.5" customHeight="1" outlineLevel="2">
      <c r="A69" s="861"/>
      <c r="B69" s="861"/>
      <c r="C69" s="24" t="str">
        <f>Costs!C68</f>
        <v>Miscellaneous 05</v>
      </c>
      <c r="D69" s="8" t="str">
        <f t="shared" si="39"/>
        <v>USD</v>
      </c>
      <c r="E69" s="689">
        <f>Costs!F68</f>
        <v>0</v>
      </c>
      <c r="F69" s="861"/>
      <c r="G69" s="861"/>
      <c r="H69" s="861"/>
      <c r="I69" s="71">
        <f t="shared" ca="1" si="40"/>
        <v>0</v>
      </c>
      <c r="J69" s="697">
        <f ca="1">IF(EOMONTH(Enddatum,$E69+1)&lt;=J$5,0,IF(J$7&gt;$E69,OFFSET(Costs!J68,0,-$E69),0))</f>
        <v>0</v>
      </c>
      <c r="K69" s="697">
        <f ca="1">IF(EOMONTH(Enddatum,$E69+1)&lt;=K$5,0,IF(K$7&gt;$E69,OFFSET(Costs!K68,0,-$E69),0))</f>
        <v>0</v>
      </c>
      <c r="L69" s="697">
        <f ca="1">IF(EOMONTH(Enddatum,$E69+1)&lt;=L$5,0,IF(L$7&gt;$E69,OFFSET(Costs!L68,0,-$E69),0))</f>
        <v>0</v>
      </c>
      <c r="M69" s="697">
        <f ca="1">IF(EOMONTH(Enddatum,$E69+1)&lt;=M$5,0,IF(M$7&gt;$E69,OFFSET(Costs!M68,0,-$E69),0))</f>
        <v>0</v>
      </c>
      <c r="N69" s="697">
        <f ca="1">IF(EOMONTH(Enddatum,$E69+1)&lt;=N$5,0,IF(N$7&gt;$E69,OFFSET(Costs!N68,0,-$E69),0))</f>
        <v>0</v>
      </c>
      <c r="O69" s="697">
        <f ca="1">IF(EOMONTH(Enddatum,$E69+1)&lt;=O$5,0,IF(O$7&gt;$E69,OFFSET(Costs!O68,0,-$E69),0))</f>
        <v>0</v>
      </c>
      <c r="P69" s="697">
        <f ca="1">IF(EOMONTH(Enddatum,$E69+1)&lt;=P$5,0,IF(P$7&gt;$E69,OFFSET(Costs!P68,0,-$E69),0))</f>
        <v>0</v>
      </c>
      <c r="Q69" s="697">
        <f ca="1">IF(EOMONTH(Enddatum,$E69+1)&lt;=Q$5,0,IF(Q$7&gt;$E69,OFFSET(Costs!Q68,0,-$E69),0))</f>
        <v>0</v>
      </c>
      <c r="R69" s="697">
        <f ca="1">IF(EOMONTH(Enddatum,$E69+1)&lt;=R$5,0,IF(R$7&gt;$E69,OFFSET(Costs!R68,0,-$E69),0))</f>
        <v>0</v>
      </c>
      <c r="S69" s="697">
        <f ca="1">IF(EOMONTH(Enddatum,$E69+1)&lt;=S$5,0,IF(S$7&gt;$E69,OFFSET(Costs!S68,0,-$E69),0))</f>
        <v>0</v>
      </c>
      <c r="T69" s="697">
        <f ca="1">IF(EOMONTH(Enddatum,$E69+1)&lt;=T$5,0,IF(T$7&gt;$E69,OFFSET(Costs!T68,0,-$E69),0))</f>
        <v>0</v>
      </c>
      <c r="U69" s="697">
        <f ca="1">IF(EOMONTH(Enddatum,$E69+1)&lt;=U$5,0,IF(U$7&gt;$E69,OFFSET(Costs!U68,0,-$E69),0))</f>
        <v>0</v>
      </c>
      <c r="V69" s="697">
        <f ca="1">IF(EOMONTH(Enddatum,$E69+1)&lt;=V$5,0,IF(V$7&gt;$E69,OFFSET(Costs!V68,0,-$E69),0))</f>
        <v>0</v>
      </c>
      <c r="W69" s="697">
        <f ca="1">IF(EOMONTH(Enddatum,$E69+1)&lt;=W$5,0,IF(W$7&gt;$E69,OFFSET(Costs!W68,0,-$E69),0))</f>
        <v>0</v>
      </c>
      <c r="X69" s="697">
        <f ca="1">IF(EOMONTH(Enddatum,$E69+1)&lt;=X$5,0,IF(X$7&gt;$E69,OFFSET(Costs!X68,0,-$E69),0))</f>
        <v>0</v>
      </c>
      <c r="Y69" s="697">
        <f ca="1">IF(EOMONTH(Enddatum,$E69+1)&lt;=Y$5,0,IF(Y$7&gt;$E69,OFFSET(Costs!Y68,0,-$E69),0))</f>
        <v>0</v>
      </c>
      <c r="Z69" s="697">
        <f ca="1">IF(EOMONTH(Enddatum,$E69+1)&lt;=Z$5,0,IF(Z$7&gt;$E69,OFFSET(Costs!Z68,0,-$E69),0))</f>
        <v>0</v>
      </c>
      <c r="AA69" s="697">
        <f ca="1">IF(EOMONTH(Enddatum,$E69+1)&lt;=AA$5,0,IF(AA$7&gt;$E69,OFFSET(Costs!AA68,0,-$E69),0))</f>
        <v>0</v>
      </c>
      <c r="AB69" s="697">
        <f ca="1">IF(EOMONTH(Enddatum,$E69+1)&lt;=AB$5,0,IF(AB$7&gt;$E69,OFFSET(Costs!AB68,0,-$E69),0))</f>
        <v>0</v>
      </c>
      <c r="AC69" s="697">
        <f ca="1">IF(EOMONTH(Enddatum,$E69+1)&lt;=AC$5,0,IF(AC$7&gt;$E69,OFFSET(Costs!AC68,0,-$E69),0))</f>
        <v>0</v>
      </c>
      <c r="AD69" s="697">
        <f ca="1">IF(EOMONTH(Enddatum,$E69+1)&lt;=AD$5,0,IF(AD$7&gt;$E69,OFFSET(Costs!AD68,0,-$E69),0))</f>
        <v>0</v>
      </c>
      <c r="AE69" s="697">
        <f ca="1">IF(EOMONTH(Enddatum,$E69+1)&lt;=AE$5,0,IF(AE$7&gt;$E69,OFFSET(Costs!AE68,0,-$E69),0))</f>
        <v>0</v>
      </c>
      <c r="AF69" s="697">
        <f ca="1">IF(EOMONTH(Enddatum,$E69+1)&lt;=AF$5,0,IF(AF$7&gt;$E69,OFFSET(Costs!AF68,0,-$E69),0))</f>
        <v>0</v>
      </c>
      <c r="AG69" s="697">
        <f ca="1">IF(EOMONTH(Enddatum,$E69+1)&lt;=AG$5,0,IF(AG$7&gt;$E69,OFFSET(Costs!AG68,0,-$E69),0))</f>
        <v>0</v>
      </c>
    </row>
    <row r="70" spans="1:33" s="878" customFormat="1" ht="16.5" customHeight="1" outlineLevel="2">
      <c r="A70" s="861"/>
      <c r="B70" s="861"/>
      <c r="C70" s="24" t="str">
        <f>Costs!C69</f>
        <v>Miscellaneous 06</v>
      </c>
      <c r="D70" s="8" t="str">
        <f t="shared" si="39"/>
        <v>USD</v>
      </c>
      <c r="E70" s="689">
        <f>Costs!F69</f>
        <v>0</v>
      </c>
      <c r="F70" s="861"/>
      <c r="G70" s="861"/>
      <c r="H70" s="861"/>
      <c r="I70" s="71">
        <f t="shared" ca="1" si="40"/>
        <v>0</v>
      </c>
      <c r="J70" s="697">
        <f ca="1">IF(EOMONTH(Enddatum,$E70+1)&lt;=J$5,0,IF(J$7&gt;$E70,OFFSET(Costs!J69,0,-$E70),0))</f>
        <v>0</v>
      </c>
      <c r="K70" s="697">
        <f ca="1">IF(EOMONTH(Enddatum,$E70+1)&lt;=K$5,0,IF(K$7&gt;$E70,OFFSET(Costs!K69,0,-$E70),0))</f>
        <v>0</v>
      </c>
      <c r="L70" s="697">
        <f ca="1">IF(EOMONTH(Enddatum,$E70+1)&lt;=L$5,0,IF(L$7&gt;$E70,OFFSET(Costs!L69,0,-$E70),0))</f>
        <v>0</v>
      </c>
      <c r="M70" s="697">
        <f ca="1">IF(EOMONTH(Enddatum,$E70+1)&lt;=M$5,0,IF(M$7&gt;$E70,OFFSET(Costs!M69,0,-$E70),0))</f>
        <v>0</v>
      </c>
      <c r="N70" s="697">
        <f ca="1">IF(EOMONTH(Enddatum,$E70+1)&lt;=N$5,0,IF(N$7&gt;$E70,OFFSET(Costs!N69,0,-$E70),0))</f>
        <v>0</v>
      </c>
      <c r="O70" s="697">
        <f ca="1">IF(EOMONTH(Enddatum,$E70+1)&lt;=O$5,0,IF(O$7&gt;$E70,OFFSET(Costs!O69,0,-$E70),0))</f>
        <v>0</v>
      </c>
      <c r="P70" s="697">
        <f ca="1">IF(EOMONTH(Enddatum,$E70+1)&lt;=P$5,0,IF(P$7&gt;$E70,OFFSET(Costs!P69,0,-$E70),0))</f>
        <v>0</v>
      </c>
      <c r="Q70" s="697">
        <f ca="1">IF(EOMONTH(Enddatum,$E70+1)&lt;=Q$5,0,IF(Q$7&gt;$E70,OFFSET(Costs!Q69,0,-$E70),0))</f>
        <v>0</v>
      </c>
      <c r="R70" s="697">
        <f ca="1">IF(EOMONTH(Enddatum,$E70+1)&lt;=R$5,0,IF(R$7&gt;$E70,OFFSET(Costs!R69,0,-$E70),0))</f>
        <v>0</v>
      </c>
      <c r="S70" s="697">
        <f ca="1">IF(EOMONTH(Enddatum,$E70+1)&lt;=S$5,0,IF(S$7&gt;$E70,OFFSET(Costs!S69,0,-$E70),0))</f>
        <v>0</v>
      </c>
      <c r="T70" s="697">
        <f ca="1">IF(EOMONTH(Enddatum,$E70+1)&lt;=T$5,0,IF(T$7&gt;$E70,OFFSET(Costs!T69,0,-$E70),0))</f>
        <v>0</v>
      </c>
      <c r="U70" s="697">
        <f ca="1">IF(EOMONTH(Enddatum,$E70+1)&lt;=U$5,0,IF(U$7&gt;$E70,OFFSET(Costs!U69,0,-$E70),0))</f>
        <v>0</v>
      </c>
      <c r="V70" s="697">
        <f ca="1">IF(EOMONTH(Enddatum,$E70+1)&lt;=V$5,0,IF(V$7&gt;$E70,OFFSET(Costs!V69,0,-$E70),0))</f>
        <v>0</v>
      </c>
      <c r="W70" s="697">
        <f ca="1">IF(EOMONTH(Enddatum,$E70+1)&lt;=W$5,0,IF(W$7&gt;$E70,OFFSET(Costs!W69,0,-$E70),0))</f>
        <v>0</v>
      </c>
      <c r="X70" s="697">
        <f ca="1">IF(EOMONTH(Enddatum,$E70+1)&lt;=X$5,0,IF(X$7&gt;$E70,OFFSET(Costs!X69,0,-$E70),0))</f>
        <v>0</v>
      </c>
      <c r="Y70" s="697">
        <f ca="1">IF(EOMONTH(Enddatum,$E70+1)&lt;=Y$5,0,IF(Y$7&gt;$E70,OFFSET(Costs!Y69,0,-$E70),0))</f>
        <v>0</v>
      </c>
      <c r="Z70" s="697">
        <f ca="1">IF(EOMONTH(Enddatum,$E70+1)&lt;=Z$5,0,IF(Z$7&gt;$E70,OFFSET(Costs!Z69,0,-$E70),0))</f>
        <v>0</v>
      </c>
      <c r="AA70" s="697">
        <f ca="1">IF(EOMONTH(Enddatum,$E70+1)&lt;=AA$5,0,IF(AA$7&gt;$E70,OFFSET(Costs!AA69,0,-$E70),0))</f>
        <v>0</v>
      </c>
      <c r="AB70" s="697">
        <f ca="1">IF(EOMONTH(Enddatum,$E70+1)&lt;=AB$5,0,IF(AB$7&gt;$E70,OFFSET(Costs!AB69,0,-$E70),0))</f>
        <v>0</v>
      </c>
      <c r="AC70" s="697">
        <f ca="1">IF(EOMONTH(Enddatum,$E70+1)&lt;=AC$5,0,IF(AC$7&gt;$E70,OFFSET(Costs!AC69,0,-$E70),0))</f>
        <v>0</v>
      </c>
      <c r="AD70" s="697">
        <f ca="1">IF(EOMONTH(Enddatum,$E70+1)&lt;=AD$5,0,IF(AD$7&gt;$E70,OFFSET(Costs!AD69,0,-$E70),0))</f>
        <v>0</v>
      </c>
      <c r="AE70" s="697">
        <f ca="1">IF(EOMONTH(Enddatum,$E70+1)&lt;=AE$5,0,IF(AE$7&gt;$E70,OFFSET(Costs!AE69,0,-$E70),0))</f>
        <v>0</v>
      </c>
      <c r="AF70" s="697">
        <f ca="1">IF(EOMONTH(Enddatum,$E70+1)&lt;=AF$5,0,IF(AF$7&gt;$E70,OFFSET(Costs!AF69,0,-$E70),0))</f>
        <v>0</v>
      </c>
      <c r="AG70" s="697">
        <f ca="1">IF(EOMONTH(Enddatum,$E70+1)&lt;=AG$5,0,IF(AG$7&gt;$E70,OFFSET(Costs!AG69,0,-$E70),0))</f>
        <v>0</v>
      </c>
    </row>
    <row r="71" spans="1:33" s="878" customFormat="1" ht="16.5" customHeight="1" outlineLevel="2">
      <c r="A71" s="861"/>
      <c r="B71" s="861"/>
      <c r="C71" s="24" t="str">
        <f>Costs!C70</f>
        <v>Miscellaneous 07</v>
      </c>
      <c r="D71" s="8" t="str">
        <f t="shared" si="39"/>
        <v>USD</v>
      </c>
      <c r="E71" s="689">
        <f>Costs!F70</f>
        <v>0</v>
      </c>
      <c r="F71" s="861"/>
      <c r="G71" s="861"/>
      <c r="H71" s="861"/>
      <c r="I71" s="71">
        <f t="shared" ca="1" si="40"/>
        <v>0</v>
      </c>
      <c r="J71" s="697">
        <f ca="1">IF(EOMONTH(Enddatum,$E71+1)&lt;=J$5,0,IF(J$7&gt;$E71,OFFSET(Costs!J70,0,-$E71),0))</f>
        <v>0</v>
      </c>
      <c r="K71" s="697">
        <f ca="1">IF(EOMONTH(Enddatum,$E71+1)&lt;=K$5,0,IF(K$7&gt;$E71,OFFSET(Costs!K70,0,-$E71),0))</f>
        <v>0</v>
      </c>
      <c r="L71" s="697">
        <f ca="1">IF(EOMONTH(Enddatum,$E71+1)&lt;=L$5,0,IF(L$7&gt;$E71,OFFSET(Costs!L70,0,-$E71),0))</f>
        <v>0</v>
      </c>
      <c r="M71" s="697">
        <f ca="1">IF(EOMONTH(Enddatum,$E71+1)&lt;=M$5,0,IF(M$7&gt;$E71,OFFSET(Costs!M70,0,-$E71),0))</f>
        <v>0</v>
      </c>
      <c r="N71" s="697">
        <f ca="1">IF(EOMONTH(Enddatum,$E71+1)&lt;=N$5,0,IF(N$7&gt;$E71,OFFSET(Costs!N70,0,-$E71),0))</f>
        <v>0</v>
      </c>
      <c r="O71" s="697">
        <f ca="1">IF(EOMONTH(Enddatum,$E71+1)&lt;=O$5,0,IF(O$7&gt;$E71,OFFSET(Costs!O70,0,-$E71),0))</f>
        <v>0</v>
      </c>
      <c r="P71" s="697">
        <f ca="1">IF(EOMONTH(Enddatum,$E71+1)&lt;=P$5,0,IF(P$7&gt;$E71,OFFSET(Costs!P70,0,-$E71),0))</f>
        <v>0</v>
      </c>
      <c r="Q71" s="697">
        <f ca="1">IF(EOMONTH(Enddatum,$E71+1)&lt;=Q$5,0,IF(Q$7&gt;$E71,OFFSET(Costs!Q70,0,-$E71),0))</f>
        <v>0</v>
      </c>
      <c r="R71" s="697">
        <f ca="1">IF(EOMONTH(Enddatum,$E71+1)&lt;=R$5,0,IF(R$7&gt;$E71,OFFSET(Costs!R70,0,-$E71),0))</f>
        <v>0</v>
      </c>
      <c r="S71" s="697">
        <f ca="1">IF(EOMONTH(Enddatum,$E71+1)&lt;=S$5,0,IF(S$7&gt;$E71,OFFSET(Costs!S70,0,-$E71),0))</f>
        <v>0</v>
      </c>
      <c r="T71" s="697">
        <f ca="1">IF(EOMONTH(Enddatum,$E71+1)&lt;=T$5,0,IF(T$7&gt;$E71,OFFSET(Costs!T70,0,-$E71),0))</f>
        <v>0</v>
      </c>
      <c r="U71" s="697">
        <f ca="1">IF(EOMONTH(Enddatum,$E71+1)&lt;=U$5,0,IF(U$7&gt;$E71,OFFSET(Costs!U70,0,-$E71),0))</f>
        <v>0</v>
      </c>
      <c r="V71" s="697">
        <f ca="1">IF(EOMONTH(Enddatum,$E71+1)&lt;=V$5,0,IF(V$7&gt;$E71,OFFSET(Costs!V70,0,-$E71),0))</f>
        <v>0</v>
      </c>
      <c r="W71" s="697">
        <f ca="1">IF(EOMONTH(Enddatum,$E71+1)&lt;=W$5,0,IF(W$7&gt;$E71,OFFSET(Costs!W70,0,-$E71),0))</f>
        <v>0</v>
      </c>
      <c r="X71" s="697">
        <f ca="1">IF(EOMONTH(Enddatum,$E71+1)&lt;=X$5,0,IF(X$7&gt;$E71,OFFSET(Costs!X70,0,-$E71),0))</f>
        <v>0</v>
      </c>
      <c r="Y71" s="697">
        <f ca="1">IF(EOMONTH(Enddatum,$E71+1)&lt;=Y$5,0,IF(Y$7&gt;$E71,OFFSET(Costs!Y70,0,-$E71),0))</f>
        <v>0</v>
      </c>
      <c r="Z71" s="697">
        <f ca="1">IF(EOMONTH(Enddatum,$E71+1)&lt;=Z$5,0,IF(Z$7&gt;$E71,OFFSET(Costs!Z70,0,-$E71),0))</f>
        <v>0</v>
      </c>
      <c r="AA71" s="697">
        <f ca="1">IF(EOMONTH(Enddatum,$E71+1)&lt;=AA$5,0,IF(AA$7&gt;$E71,OFFSET(Costs!AA70,0,-$E71),0))</f>
        <v>0</v>
      </c>
      <c r="AB71" s="697">
        <f ca="1">IF(EOMONTH(Enddatum,$E71+1)&lt;=AB$5,0,IF(AB$7&gt;$E71,OFFSET(Costs!AB70,0,-$E71),0))</f>
        <v>0</v>
      </c>
      <c r="AC71" s="697">
        <f ca="1">IF(EOMONTH(Enddatum,$E71+1)&lt;=AC$5,0,IF(AC$7&gt;$E71,OFFSET(Costs!AC70,0,-$E71),0))</f>
        <v>0</v>
      </c>
      <c r="AD71" s="697">
        <f ca="1">IF(EOMONTH(Enddatum,$E71+1)&lt;=AD$5,0,IF(AD$7&gt;$E71,OFFSET(Costs!AD70,0,-$E71),0))</f>
        <v>0</v>
      </c>
      <c r="AE71" s="697">
        <f ca="1">IF(EOMONTH(Enddatum,$E71+1)&lt;=AE$5,0,IF(AE$7&gt;$E71,OFFSET(Costs!AE70,0,-$E71),0))</f>
        <v>0</v>
      </c>
      <c r="AF71" s="697">
        <f ca="1">IF(EOMONTH(Enddatum,$E71+1)&lt;=AF$5,0,IF(AF$7&gt;$E71,OFFSET(Costs!AF70,0,-$E71),0))</f>
        <v>0</v>
      </c>
      <c r="AG71" s="697">
        <f ca="1">IF(EOMONTH(Enddatum,$E71+1)&lt;=AG$5,0,IF(AG$7&gt;$E71,OFFSET(Costs!AG70,0,-$E71),0))</f>
        <v>0</v>
      </c>
    </row>
    <row r="72" spans="1:33" s="878" customFormat="1" ht="16.5" customHeight="1" outlineLevel="2">
      <c r="A72" s="861"/>
      <c r="B72" s="861"/>
      <c r="C72" s="24" t="str">
        <f>Costs!C71</f>
        <v>Miscellaneous 08</v>
      </c>
      <c r="D72" s="8" t="str">
        <f t="shared" si="39"/>
        <v>USD</v>
      </c>
      <c r="E72" s="689">
        <f>Costs!F71</f>
        <v>0</v>
      </c>
      <c r="F72" s="861"/>
      <c r="G72" s="861"/>
      <c r="H72" s="861"/>
      <c r="I72" s="71">
        <f t="shared" ca="1" si="40"/>
        <v>0</v>
      </c>
      <c r="J72" s="697">
        <f ca="1">IF(EOMONTH(Enddatum,$E72+1)&lt;=J$5,0,IF(J$7&gt;$E72,OFFSET(Costs!J71,0,-$E72),0))</f>
        <v>0</v>
      </c>
      <c r="K72" s="697">
        <f ca="1">IF(EOMONTH(Enddatum,$E72+1)&lt;=K$5,0,IF(K$7&gt;$E72,OFFSET(Costs!K71,0,-$E72),0))</f>
        <v>0</v>
      </c>
      <c r="L72" s="697">
        <f ca="1">IF(EOMONTH(Enddatum,$E72+1)&lt;=L$5,0,IF(L$7&gt;$E72,OFFSET(Costs!L71,0,-$E72),0))</f>
        <v>0</v>
      </c>
      <c r="M72" s="697">
        <f ca="1">IF(EOMONTH(Enddatum,$E72+1)&lt;=M$5,0,IF(M$7&gt;$E72,OFFSET(Costs!M71,0,-$E72),0))</f>
        <v>0</v>
      </c>
      <c r="N72" s="697">
        <f ca="1">IF(EOMONTH(Enddatum,$E72+1)&lt;=N$5,0,IF(N$7&gt;$E72,OFFSET(Costs!N71,0,-$E72),0))</f>
        <v>0</v>
      </c>
      <c r="O72" s="697">
        <f ca="1">IF(EOMONTH(Enddatum,$E72+1)&lt;=O$5,0,IF(O$7&gt;$E72,OFFSET(Costs!O71,0,-$E72),0))</f>
        <v>0</v>
      </c>
      <c r="P72" s="697">
        <f ca="1">IF(EOMONTH(Enddatum,$E72+1)&lt;=P$5,0,IF(P$7&gt;$E72,OFFSET(Costs!P71,0,-$E72),0))</f>
        <v>0</v>
      </c>
      <c r="Q72" s="697">
        <f ca="1">IF(EOMONTH(Enddatum,$E72+1)&lt;=Q$5,0,IF(Q$7&gt;$E72,OFFSET(Costs!Q71,0,-$E72),0))</f>
        <v>0</v>
      </c>
      <c r="R72" s="697">
        <f ca="1">IF(EOMONTH(Enddatum,$E72+1)&lt;=R$5,0,IF(R$7&gt;$E72,OFFSET(Costs!R71,0,-$E72),0))</f>
        <v>0</v>
      </c>
      <c r="S72" s="697">
        <f ca="1">IF(EOMONTH(Enddatum,$E72+1)&lt;=S$5,0,IF(S$7&gt;$E72,OFFSET(Costs!S71,0,-$E72),0))</f>
        <v>0</v>
      </c>
      <c r="T72" s="697">
        <f ca="1">IF(EOMONTH(Enddatum,$E72+1)&lt;=T$5,0,IF(T$7&gt;$E72,OFFSET(Costs!T71,0,-$E72),0))</f>
        <v>0</v>
      </c>
      <c r="U72" s="697">
        <f ca="1">IF(EOMONTH(Enddatum,$E72+1)&lt;=U$5,0,IF(U$7&gt;$E72,OFFSET(Costs!U71,0,-$E72),0))</f>
        <v>0</v>
      </c>
      <c r="V72" s="697">
        <f ca="1">IF(EOMONTH(Enddatum,$E72+1)&lt;=V$5,0,IF(V$7&gt;$E72,OFFSET(Costs!V71,0,-$E72),0))</f>
        <v>0</v>
      </c>
      <c r="W72" s="697">
        <f ca="1">IF(EOMONTH(Enddatum,$E72+1)&lt;=W$5,0,IF(W$7&gt;$E72,OFFSET(Costs!W71,0,-$E72),0))</f>
        <v>0</v>
      </c>
      <c r="X72" s="697">
        <f ca="1">IF(EOMONTH(Enddatum,$E72+1)&lt;=X$5,0,IF(X$7&gt;$E72,OFFSET(Costs!X71,0,-$E72),0))</f>
        <v>0</v>
      </c>
      <c r="Y72" s="697">
        <f ca="1">IF(EOMONTH(Enddatum,$E72+1)&lt;=Y$5,0,IF(Y$7&gt;$E72,OFFSET(Costs!Y71,0,-$E72),0))</f>
        <v>0</v>
      </c>
      <c r="Z72" s="697">
        <f ca="1">IF(EOMONTH(Enddatum,$E72+1)&lt;=Z$5,0,IF(Z$7&gt;$E72,OFFSET(Costs!Z71,0,-$E72),0))</f>
        <v>0</v>
      </c>
      <c r="AA72" s="697">
        <f ca="1">IF(EOMONTH(Enddatum,$E72+1)&lt;=AA$5,0,IF(AA$7&gt;$E72,OFFSET(Costs!AA71,0,-$E72),0))</f>
        <v>0</v>
      </c>
      <c r="AB72" s="697">
        <f ca="1">IF(EOMONTH(Enddatum,$E72+1)&lt;=AB$5,0,IF(AB$7&gt;$E72,OFFSET(Costs!AB71,0,-$E72),0))</f>
        <v>0</v>
      </c>
      <c r="AC72" s="697">
        <f ca="1">IF(EOMONTH(Enddatum,$E72+1)&lt;=AC$5,0,IF(AC$7&gt;$E72,OFFSET(Costs!AC71,0,-$E72),0))</f>
        <v>0</v>
      </c>
      <c r="AD72" s="697">
        <f ca="1">IF(EOMONTH(Enddatum,$E72+1)&lt;=AD$5,0,IF(AD$7&gt;$E72,OFFSET(Costs!AD71,0,-$E72),0))</f>
        <v>0</v>
      </c>
      <c r="AE72" s="697">
        <f ca="1">IF(EOMONTH(Enddatum,$E72+1)&lt;=AE$5,0,IF(AE$7&gt;$E72,OFFSET(Costs!AE71,0,-$E72),0))</f>
        <v>0</v>
      </c>
      <c r="AF72" s="697">
        <f ca="1">IF(EOMONTH(Enddatum,$E72+1)&lt;=AF$5,0,IF(AF$7&gt;$E72,OFFSET(Costs!AF71,0,-$E72),0))</f>
        <v>0</v>
      </c>
      <c r="AG72" s="697">
        <f ca="1">IF(EOMONTH(Enddatum,$E72+1)&lt;=AG$5,0,IF(AG$7&gt;$E72,OFFSET(Costs!AG71,0,-$E72),0))</f>
        <v>0</v>
      </c>
    </row>
    <row r="73" spans="1:33" s="878" customFormat="1" ht="16.5" customHeight="1" outlineLevel="2">
      <c r="A73" s="861"/>
      <c r="B73" s="861"/>
      <c r="C73" s="24" t="str">
        <f>Costs!C72</f>
        <v>Miscellaneous 09</v>
      </c>
      <c r="D73" s="8" t="str">
        <f t="shared" si="39"/>
        <v>USD</v>
      </c>
      <c r="E73" s="689">
        <f>Costs!F72</f>
        <v>0</v>
      </c>
      <c r="F73" s="861"/>
      <c r="G73" s="861"/>
      <c r="H73" s="861"/>
      <c r="I73" s="71">
        <f t="shared" ca="1" si="40"/>
        <v>0</v>
      </c>
      <c r="J73" s="697">
        <f ca="1">IF(EOMONTH(Enddatum,$E73+1)&lt;=J$5,0,IF(J$7&gt;$E73,OFFSET(Costs!J72,0,-$E73),0))</f>
        <v>0</v>
      </c>
      <c r="K73" s="697">
        <f ca="1">IF(EOMONTH(Enddatum,$E73+1)&lt;=K$5,0,IF(K$7&gt;$E73,OFFSET(Costs!K72,0,-$E73),0))</f>
        <v>0</v>
      </c>
      <c r="L73" s="697">
        <f ca="1">IF(EOMONTH(Enddatum,$E73+1)&lt;=L$5,0,IF(L$7&gt;$E73,OFFSET(Costs!L72,0,-$E73),0))</f>
        <v>0</v>
      </c>
      <c r="M73" s="697">
        <f ca="1">IF(EOMONTH(Enddatum,$E73+1)&lt;=M$5,0,IF(M$7&gt;$E73,OFFSET(Costs!M72,0,-$E73),0))</f>
        <v>0</v>
      </c>
      <c r="N73" s="697">
        <f ca="1">IF(EOMONTH(Enddatum,$E73+1)&lt;=N$5,0,IF(N$7&gt;$E73,OFFSET(Costs!N72,0,-$E73),0))</f>
        <v>0</v>
      </c>
      <c r="O73" s="697">
        <f ca="1">IF(EOMONTH(Enddatum,$E73+1)&lt;=O$5,0,IF(O$7&gt;$E73,OFFSET(Costs!O72,0,-$E73),0))</f>
        <v>0</v>
      </c>
      <c r="P73" s="697">
        <f ca="1">IF(EOMONTH(Enddatum,$E73+1)&lt;=P$5,0,IF(P$7&gt;$E73,OFFSET(Costs!P72,0,-$E73),0))</f>
        <v>0</v>
      </c>
      <c r="Q73" s="697">
        <f ca="1">IF(EOMONTH(Enddatum,$E73+1)&lt;=Q$5,0,IF(Q$7&gt;$E73,OFFSET(Costs!Q72,0,-$E73),0))</f>
        <v>0</v>
      </c>
      <c r="R73" s="697">
        <f ca="1">IF(EOMONTH(Enddatum,$E73+1)&lt;=R$5,0,IF(R$7&gt;$E73,OFFSET(Costs!R72,0,-$E73),0))</f>
        <v>0</v>
      </c>
      <c r="S73" s="697">
        <f ca="1">IF(EOMONTH(Enddatum,$E73+1)&lt;=S$5,0,IF(S$7&gt;$E73,OFFSET(Costs!S72,0,-$E73),0))</f>
        <v>0</v>
      </c>
      <c r="T73" s="697">
        <f ca="1">IF(EOMONTH(Enddatum,$E73+1)&lt;=T$5,0,IF(T$7&gt;$E73,OFFSET(Costs!T72,0,-$E73),0))</f>
        <v>0</v>
      </c>
      <c r="U73" s="697">
        <f ca="1">IF(EOMONTH(Enddatum,$E73+1)&lt;=U$5,0,IF(U$7&gt;$E73,OFFSET(Costs!U72,0,-$E73),0))</f>
        <v>0</v>
      </c>
      <c r="V73" s="697">
        <f ca="1">IF(EOMONTH(Enddatum,$E73+1)&lt;=V$5,0,IF(V$7&gt;$E73,OFFSET(Costs!V72,0,-$E73),0))</f>
        <v>0</v>
      </c>
      <c r="W73" s="697">
        <f ca="1">IF(EOMONTH(Enddatum,$E73+1)&lt;=W$5,0,IF(W$7&gt;$E73,OFFSET(Costs!W72,0,-$E73),0))</f>
        <v>0</v>
      </c>
      <c r="X73" s="697">
        <f ca="1">IF(EOMONTH(Enddatum,$E73+1)&lt;=X$5,0,IF(X$7&gt;$E73,OFFSET(Costs!X72,0,-$E73),0))</f>
        <v>0</v>
      </c>
      <c r="Y73" s="697">
        <f ca="1">IF(EOMONTH(Enddatum,$E73+1)&lt;=Y$5,0,IF(Y$7&gt;$E73,OFFSET(Costs!Y72,0,-$E73),0))</f>
        <v>0</v>
      </c>
      <c r="Z73" s="697">
        <f ca="1">IF(EOMONTH(Enddatum,$E73+1)&lt;=Z$5,0,IF(Z$7&gt;$E73,OFFSET(Costs!Z72,0,-$E73),0))</f>
        <v>0</v>
      </c>
      <c r="AA73" s="697">
        <f ca="1">IF(EOMONTH(Enddatum,$E73+1)&lt;=AA$5,0,IF(AA$7&gt;$E73,OFFSET(Costs!AA72,0,-$E73),0))</f>
        <v>0</v>
      </c>
      <c r="AB73" s="697">
        <f ca="1">IF(EOMONTH(Enddatum,$E73+1)&lt;=AB$5,0,IF(AB$7&gt;$E73,OFFSET(Costs!AB72,0,-$E73),0))</f>
        <v>0</v>
      </c>
      <c r="AC73" s="697">
        <f ca="1">IF(EOMONTH(Enddatum,$E73+1)&lt;=AC$5,0,IF(AC$7&gt;$E73,OFFSET(Costs!AC72,0,-$E73),0))</f>
        <v>0</v>
      </c>
      <c r="AD73" s="697">
        <f ca="1">IF(EOMONTH(Enddatum,$E73+1)&lt;=AD$5,0,IF(AD$7&gt;$E73,OFFSET(Costs!AD72,0,-$E73),0))</f>
        <v>0</v>
      </c>
      <c r="AE73" s="697">
        <f ca="1">IF(EOMONTH(Enddatum,$E73+1)&lt;=AE$5,0,IF(AE$7&gt;$E73,OFFSET(Costs!AE72,0,-$E73),0))</f>
        <v>0</v>
      </c>
      <c r="AF73" s="697">
        <f ca="1">IF(EOMONTH(Enddatum,$E73+1)&lt;=AF$5,0,IF(AF$7&gt;$E73,OFFSET(Costs!AF72,0,-$E73),0))</f>
        <v>0</v>
      </c>
      <c r="AG73" s="697">
        <f ca="1">IF(EOMONTH(Enddatum,$E73+1)&lt;=AG$5,0,IF(AG$7&gt;$E73,OFFSET(Costs!AG72,0,-$E73),0))</f>
        <v>0</v>
      </c>
    </row>
    <row r="74" spans="1:33" s="878" customFormat="1" ht="16.5" customHeight="1" outlineLevel="2">
      <c r="A74" s="861"/>
      <c r="B74" s="282"/>
      <c r="C74" s="692" t="str">
        <f>Costs!C75</f>
        <v>General and Administration Costs</v>
      </c>
      <c r="D74" s="282"/>
      <c r="E74" s="282"/>
      <c r="F74" s="282"/>
      <c r="G74" s="282"/>
      <c r="H74" s="282"/>
      <c r="I74" s="282"/>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row>
    <row r="75" spans="1:33" s="878" customFormat="1" ht="16.5" customHeight="1" outlineLevel="2">
      <c r="A75" s="861"/>
      <c r="B75" s="282"/>
      <c r="C75" s="24" t="str">
        <f>Costs!C77</f>
        <v>Rent and rates</v>
      </c>
      <c r="D75" s="8" t="str">
        <f t="shared" ref="D75:D86" si="41">Currency_Label</f>
        <v>USD</v>
      </c>
      <c r="E75" s="689">
        <f>Costs!F77</f>
        <v>1</v>
      </c>
      <c r="F75" s="282"/>
      <c r="G75" s="282"/>
      <c r="H75" s="282"/>
      <c r="I75" s="71">
        <f t="shared" ref="I75:I87" ca="1" si="42">SUM(J75:AG75)</f>
        <v>72000</v>
      </c>
      <c r="J75" s="697">
        <f ca="1">IF(EOMONTH(Enddatum,$E75+1)&lt;=J$5,0,IF(J$7&gt;$E75,OFFSET(Costs!J77,0,-$E75),0))</f>
        <v>0</v>
      </c>
      <c r="K75" s="697">
        <f ca="1">IF(EOMONTH(Enddatum,$E75+1)&lt;=K$5,0,IF(K$7&gt;$E75,OFFSET(Costs!K77,0,-$E75),0))</f>
        <v>3000</v>
      </c>
      <c r="L75" s="697">
        <f ca="1">IF(EOMONTH(Enddatum,$E75+1)&lt;=L$5,0,IF(L$7&gt;$E75,OFFSET(Costs!L77,0,-$E75),0))</f>
        <v>3000</v>
      </c>
      <c r="M75" s="697">
        <f ca="1">IF(EOMONTH(Enddatum,$E75+1)&lt;=M$5,0,IF(M$7&gt;$E75,OFFSET(Costs!M77,0,-$E75),0))</f>
        <v>3000</v>
      </c>
      <c r="N75" s="697">
        <f ca="1">IF(EOMONTH(Enddatum,$E75+1)&lt;=N$5,0,IF(N$7&gt;$E75,OFFSET(Costs!N77,0,-$E75),0))</f>
        <v>3000</v>
      </c>
      <c r="O75" s="697">
        <f ca="1">IF(EOMONTH(Enddatum,$E75+1)&lt;=O$5,0,IF(O$7&gt;$E75,OFFSET(Costs!O77,0,-$E75),0))</f>
        <v>3000</v>
      </c>
      <c r="P75" s="697">
        <f ca="1">IF(EOMONTH(Enddatum,$E75+1)&lt;=P$5,0,IF(P$7&gt;$E75,OFFSET(Costs!P77,0,-$E75),0))</f>
        <v>3000</v>
      </c>
      <c r="Q75" s="697">
        <f ca="1">IF(EOMONTH(Enddatum,$E75+1)&lt;=Q$5,0,IF(Q$7&gt;$E75,OFFSET(Costs!Q77,0,-$E75),0))</f>
        <v>3000</v>
      </c>
      <c r="R75" s="697">
        <f ca="1">IF(EOMONTH(Enddatum,$E75+1)&lt;=R$5,0,IF(R$7&gt;$E75,OFFSET(Costs!R77,0,-$E75),0))</f>
        <v>3000</v>
      </c>
      <c r="S75" s="697">
        <f ca="1">IF(EOMONTH(Enddatum,$E75+1)&lt;=S$5,0,IF(S$7&gt;$E75,OFFSET(Costs!S77,0,-$E75),0))</f>
        <v>3000</v>
      </c>
      <c r="T75" s="697">
        <f ca="1">IF(EOMONTH(Enddatum,$E75+1)&lt;=T$5,0,IF(T$7&gt;$E75,OFFSET(Costs!T77,0,-$E75),0))</f>
        <v>3000</v>
      </c>
      <c r="U75" s="697">
        <f ca="1">IF(EOMONTH(Enddatum,$E75+1)&lt;=U$5,0,IF(U$7&gt;$E75,OFFSET(Costs!U77,0,-$E75),0))</f>
        <v>3000</v>
      </c>
      <c r="V75" s="697">
        <f ca="1">IF(EOMONTH(Enddatum,$E75+1)&lt;=V$5,0,IF(V$7&gt;$E75,OFFSET(Costs!V77,0,-$E75),0))</f>
        <v>3000</v>
      </c>
      <c r="W75" s="697">
        <f ca="1">IF(EOMONTH(Enddatum,$E75+1)&lt;=W$5,0,IF(W$7&gt;$E75,OFFSET(Costs!W77,0,-$E75),0))</f>
        <v>3000</v>
      </c>
      <c r="X75" s="697">
        <f ca="1">IF(EOMONTH(Enddatum,$E75+1)&lt;=X$5,0,IF(X$7&gt;$E75,OFFSET(Costs!X77,0,-$E75),0))</f>
        <v>3000</v>
      </c>
      <c r="Y75" s="697">
        <f ca="1">IF(EOMONTH(Enddatum,$E75+1)&lt;=Y$5,0,IF(Y$7&gt;$E75,OFFSET(Costs!Y77,0,-$E75),0))</f>
        <v>3000</v>
      </c>
      <c r="Z75" s="697">
        <f ca="1">IF(EOMONTH(Enddatum,$E75+1)&lt;=Z$5,0,IF(Z$7&gt;$E75,OFFSET(Costs!Z77,0,-$E75),0))</f>
        <v>3000</v>
      </c>
      <c r="AA75" s="697">
        <f ca="1">IF(EOMONTH(Enddatum,$E75+1)&lt;=AA$5,0,IF(AA$7&gt;$E75,OFFSET(Costs!AA77,0,-$E75),0))</f>
        <v>4000</v>
      </c>
      <c r="AB75" s="697">
        <f ca="1">IF(EOMONTH(Enddatum,$E75+1)&lt;=AB$5,0,IF(AB$7&gt;$E75,OFFSET(Costs!AB77,0,-$E75),0))</f>
        <v>4000</v>
      </c>
      <c r="AC75" s="697">
        <f ca="1">IF(EOMONTH(Enddatum,$E75+1)&lt;=AC$5,0,IF(AC$7&gt;$E75,OFFSET(Costs!AC77,0,-$E75),0))</f>
        <v>4000</v>
      </c>
      <c r="AD75" s="697">
        <f ca="1">IF(EOMONTH(Enddatum,$E75+1)&lt;=AD$5,0,IF(AD$7&gt;$E75,OFFSET(Costs!AD77,0,-$E75),0))</f>
        <v>4000</v>
      </c>
      <c r="AE75" s="697">
        <f ca="1">IF(EOMONTH(Enddatum,$E75+1)&lt;=AE$5,0,IF(AE$7&gt;$E75,OFFSET(Costs!AE77,0,-$E75),0))</f>
        <v>4000</v>
      </c>
      <c r="AF75" s="697">
        <f ca="1">IF(EOMONTH(Enddatum,$E75+1)&lt;=AF$5,0,IF(AF$7&gt;$E75,OFFSET(Costs!AF77,0,-$E75),0))</f>
        <v>4000</v>
      </c>
      <c r="AG75" s="697">
        <f ca="1">IF(EOMONTH(Enddatum,$E75+1)&lt;=AG$5,0,IF(AG$7&gt;$E75,OFFSET(Costs!AG77,0,-$E75),0))</f>
        <v>0</v>
      </c>
    </row>
    <row r="76" spans="1:33" s="878" customFormat="1" ht="16.5" customHeight="1" outlineLevel="2">
      <c r="A76" s="861"/>
      <c r="B76" s="282"/>
      <c r="C76" s="24" t="str">
        <f>Costs!C78</f>
        <v>Additional property expenses (Power, Heat, Light etc.)</v>
      </c>
      <c r="D76" s="8" t="str">
        <f t="shared" si="41"/>
        <v>USD</v>
      </c>
      <c r="E76" s="689">
        <f>Costs!F78</f>
        <v>1</v>
      </c>
      <c r="F76" s="282"/>
      <c r="G76" s="282"/>
      <c r="H76" s="282"/>
      <c r="I76" s="71">
        <f t="shared" ca="1" si="42"/>
        <v>21600</v>
      </c>
      <c r="J76" s="697">
        <f ca="1">IF(EOMONTH(Enddatum,$E76+1)&lt;=J$5,0,IF(J$7&gt;$E76,OFFSET(Costs!J78,0,-$E76),0))</f>
        <v>0</v>
      </c>
      <c r="K76" s="697">
        <f ca="1">IF(EOMONTH(Enddatum,$E76+1)&lt;=K$5,0,IF(K$7&gt;$E76,OFFSET(Costs!K78,0,-$E76),0))</f>
        <v>900</v>
      </c>
      <c r="L76" s="697">
        <f ca="1">IF(EOMONTH(Enddatum,$E76+1)&lt;=L$5,0,IF(L$7&gt;$E76,OFFSET(Costs!L78,0,-$E76),0))</f>
        <v>900</v>
      </c>
      <c r="M76" s="697">
        <f ca="1">IF(EOMONTH(Enddatum,$E76+1)&lt;=M$5,0,IF(M$7&gt;$E76,OFFSET(Costs!M78,0,-$E76),0))</f>
        <v>900</v>
      </c>
      <c r="N76" s="697">
        <f ca="1">IF(EOMONTH(Enddatum,$E76+1)&lt;=N$5,0,IF(N$7&gt;$E76,OFFSET(Costs!N78,0,-$E76),0))</f>
        <v>900</v>
      </c>
      <c r="O76" s="697">
        <f ca="1">IF(EOMONTH(Enddatum,$E76+1)&lt;=O$5,0,IF(O$7&gt;$E76,OFFSET(Costs!O78,0,-$E76),0))</f>
        <v>900</v>
      </c>
      <c r="P76" s="697">
        <f ca="1">IF(EOMONTH(Enddatum,$E76+1)&lt;=P$5,0,IF(P$7&gt;$E76,OFFSET(Costs!P78,0,-$E76),0))</f>
        <v>900</v>
      </c>
      <c r="Q76" s="697">
        <f ca="1">IF(EOMONTH(Enddatum,$E76+1)&lt;=Q$5,0,IF(Q$7&gt;$E76,OFFSET(Costs!Q78,0,-$E76),0))</f>
        <v>900</v>
      </c>
      <c r="R76" s="697">
        <f ca="1">IF(EOMONTH(Enddatum,$E76+1)&lt;=R$5,0,IF(R$7&gt;$E76,OFFSET(Costs!R78,0,-$E76),0))</f>
        <v>900</v>
      </c>
      <c r="S76" s="697">
        <f ca="1">IF(EOMONTH(Enddatum,$E76+1)&lt;=S$5,0,IF(S$7&gt;$E76,OFFSET(Costs!S78,0,-$E76),0))</f>
        <v>900</v>
      </c>
      <c r="T76" s="697">
        <f ca="1">IF(EOMONTH(Enddatum,$E76+1)&lt;=T$5,0,IF(T$7&gt;$E76,OFFSET(Costs!T78,0,-$E76),0))</f>
        <v>900</v>
      </c>
      <c r="U76" s="697">
        <f ca="1">IF(EOMONTH(Enddatum,$E76+1)&lt;=U$5,0,IF(U$7&gt;$E76,OFFSET(Costs!U78,0,-$E76),0))</f>
        <v>900</v>
      </c>
      <c r="V76" s="697">
        <f ca="1">IF(EOMONTH(Enddatum,$E76+1)&lt;=V$5,0,IF(V$7&gt;$E76,OFFSET(Costs!V78,0,-$E76),0))</f>
        <v>900</v>
      </c>
      <c r="W76" s="697">
        <f ca="1">IF(EOMONTH(Enddatum,$E76+1)&lt;=W$5,0,IF(W$7&gt;$E76,OFFSET(Costs!W78,0,-$E76),0))</f>
        <v>900</v>
      </c>
      <c r="X76" s="697">
        <f ca="1">IF(EOMONTH(Enddatum,$E76+1)&lt;=X$5,0,IF(X$7&gt;$E76,OFFSET(Costs!X78,0,-$E76),0))</f>
        <v>900</v>
      </c>
      <c r="Y76" s="697">
        <f ca="1">IF(EOMONTH(Enddatum,$E76+1)&lt;=Y$5,0,IF(Y$7&gt;$E76,OFFSET(Costs!Y78,0,-$E76),0))</f>
        <v>900</v>
      </c>
      <c r="Z76" s="697">
        <f ca="1">IF(EOMONTH(Enddatum,$E76+1)&lt;=Z$5,0,IF(Z$7&gt;$E76,OFFSET(Costs!Z78,0,-$E76),0))</f>
        <v>900</v>
      </c>
      <c r="AA76" s="697">
        <f ca="1">IF(EOMONTH(Enddatum,$E76+1)&lt;=AA$5,0,IF(AA$7&gt;$E76,OFFSET(Costs!AA78,0,-$E76),0))</f>
        <v>1200</v>
      </c>
      <c r="AB76" s="697">
        <f ca="1">IF(EOMONTH(Enddatum,$E76+1)&lt;=AB$5,0,IF(AB$7&gt;$E76,OFFSET(Costs!AB78,0,-$E76),0))</f>
        <v>1200</v>
      </c>
      <c r="AC76" s="697">
        <f ca="1">IF(EOMONTH(Enddatum,$E76+1)&lt;=AC$5,0,IF(AC$7&gt;$E76,OFFSET(Costs!AC78,0,-$E76),0))</f>
        <v>1200</v>
      </c>
      <c r="AD76" s="697">
        <f ca="1">IF(EOMONTH(Enddatum,$E76+1)&lt;=AD$5,0,IF(AD$7&gt;$E76,OFFSET(Costs!AD78,0,-$E76),0))</f>
        <v>1200</v>
      </c>
      <c r="AE76" s="697">
        <f ca="1">IF(EOMONTH(Enddatum,$E76+1)&lt;=AE$5,0,IF(AE$7&gt;$E76,OFFSET(Costs!AE78,0,-$E76),0))</f>
        <v>1200</v>
      </c>
      <c r="AF76" s="697">
        <f ca="1">IF(EOMONTH(Enddatum,$E76+1)&lt;=AF$5,0,IF(AF$7&gt;$E76,OFFSET(Costs!AF78,0,-$E76),0))</f>
        <v>1200</v>
      </c>
      <c r="AG76" s="697">
        <f ca="1">IF(EOMONTH(Enddatum,$E76+1)&lt;=AG$5,0,IF(AG$7&gt;$E76,OFFSET(Costs!AG78,0,-$E76),0))</f>
        <v>0</v>
      </c>
    </row>
    <row r="77" spans="1:33" s="878" customFormat="1" ht="16.5" customHeight="1" outlineLevel="2">
      <c r="A77" s="861"/>
      <c r="B77" s="282"/>
      <c r="C77" s="24" t="str">
        <f>Costs!C79</f>
        <v>Professional fees (Legal, Tax, Audit etc.)</v>
      </c>
      <c r="D77" s="8" t="str">
        <f t="shared" si="41"/>
        <v>USD</v>
      </c>
      <c r="E77" s="689">
        <f>Costs!F79</f>
        <v>2</v>
      </c>
      <c r="F77" s="282"/>
      <c r="G77" s="282"/>
      <c r="H77" s="282"/>
      <c r="I77" s="71">
        <f t="shared" ca="1" si="42"/>
        <v>6000</v>
      </c>
      <c r="J77" s="697">
        <f ca="1">IF(EOMONTH(Enddatum,$E77+1)&lt;=J$5,0,IF(J$7&gt;$E77,OFFSET(Costs!J79,0,-$E77),0))</f>
        <v>0</v>
      </c>
      <c r="K77" s="697">
        <f ca="1">IF(EOMONTH(Enddatum,$E77+1)&lt;=K$5,0,IF(K$7&gt;$E77,OFFSET(Costs!K79,0,-$E77),0))</f>
        <v>0</v>
      </c>
      <c r="L77" s="697">
        <f ca="1">IF(EOMONTH(Enddatum,$E77+1)&lt;=L$5,0,IF(L$7&gt;$E77,OFFSET(Costs!L79,0,-$E77),0))</f>
        <v>0</v>
      </c>
      <c r="M77" s="697">
        <f ca="1">IF(EOMONTH(Enddatum,$E77+1)&lt;=M$5,0,IF(M$7&gt;$E77,OFFSET(Costs!M79,0,-$E77),0))</f>
        <v>0</v>
      </c>
      <c r="N77" s="697">
        <f ca="1">IF(EOMONTH(Enddatum,$E77+1)&lt;=N$5,0,IF(N$7&gt;$E77,OFFSET(Costs!N79,0,-$E77),0))</f>
        <v>0</v>
      </c>
      <c r="O77" s="697">
        <f ca="1">IF(EOMONTH(Enddatum,$E77+1)&lt;=O$5,0,IF(O$7&gt;$E77,OFFSET(Costs!O79,0,-$E77),0))</f>
        <v>0</v>
      </c>
      <c r="P77" s="697">
        <f ca="1">IF(EOMONTH(Enddatum,$E77+1)&lt;=P$5,0,IF(P$7&gt;$E77,OFFSET(Costs!P79,0,-$E77),0))</f>
        <v>1500</v>
      </c>
      <c r="Q77" s="697">
        <f ca="1">IF(EOMONTH(Enddatum,$E77+1)&lt;=Q$5,0,IF(Q$7&gt;$E77,OFFSET(Costs!Q79,0,-$E77),0))</f>
        <v>0</v>
      </c>
      <c r="R77" s="697">
        <f ca="1">IF(EOMONTH(Enddatum,$E77+1)&lt;=R$5,0,IF(R$7&gt;$E77,OFFSET(Costs!R79,0,-$E77),0))</f>
        <v>0</v>
      </c>
      <c r="S77" s="697">
        <f ca="1">IF(EOMONTH(Enddatum,$E77+1)&lt;=S$5,0,IF(S$7&gt;$E77,OFFSET(Costs!S79,0,-$E77),0))</f>
        <v>0</v>
      </c>
      <c r="T77" s="697">
        <f ca="1">IF(EOMONTH(Enddatum,$E77+1)&lt;=T$5,0,IF(T$7&gt;$E77,OFFSET(Costs!T79,0,-$E77),0))</f>
        <v>0</v>
      </c>
      <c r="U77" s="697">
        <f ca="1">IF(EOMONTH(Enddatum,$E77+1)&lt;=U$5,0,IF(U$7&gt;$E77,OFFSET(Costs!U79,0,-$E77),0))</f>
        <v>1500</v>
      </c>
      <c r="V77" s="697">
        <f ca="1">IF(EOMONTH(Enddatum,$E77+1)&lt;=V$5,0,IF(V$7&gt;$E77,OFFSET(Costs!V79,0,-$E77),0))</f>
        <v>0</v>
      </c>
      <c r="W77" s="697">
        <f ca="1">IF(EOMONTH(Enddatum,$E77+1)&lt;=W$5,0,IF(W$7&gt;$E77,OFFSET(Costs!W79,0,-$E77),0))</f>
        <v>0</v>
      </c>
      <c r="X77" s="697">
        <f ca="1">IF(EOMONTH(Enddatum,$E77+1)&lt;=X$5,0,IF(X$7&gt;$E77,OFFSET(Costs!X79,0,-$E77),0))</f>
        <v>0</v>
      </c>
      <c r="Y77" s="697">
        <f ca="1">IF(EOMONTH(Enddatum,$E77+1)&lt;=Y$5,0,IF(Y$7&gt;$E77,OFFSET(Costs!Y79,0,-$E77),0))</f>
        <v>0</v>
      </c>
      <c r="Z77" s="697">
        <f ca="1">IF(EOMONTH(Enddatum,$E77+1)&lt;=Z$5,0,IF(Z$7&gt;$E77,OFFSET(Costs!Z79,0,-$E77),0))</f>
        <v>1500</v>
      </c>
      <c r="AA77" s="697">
        <f ca="1">IF(EOMONTH(Enddatum,$E77+1)&lt;=AA$5,0,IF(AA$7&gt;$E77,OFFSET(Costs!AA79,0,-$E77),0))</f>
        <v>0</v>
      </c>
      <c r="AB77" s="697">
        <f ca="1">IF(EOMONTH(Enddatum,$E77+1)&lt;=AB$5,0,IF(AB$7&gt;$E77,OFFSET(Costs!AB79,0,-$E77),0))</f>
        <v>0</v>
      </c>
      <c r="AC77" s="697">
        <f ca="1">IF(EOMONTH(Enddatum,$E77+1)&lt;=AC$5,0,IF(AC$7&gt;$E77,OFFSET(Costs!AC79,0,-$E77),0))</f>
        <v>0</v>
      </c>
      <c r="AD77" s="697">
        <f ca="1">IF(EOMONTH(Enddatum,$E77+1)&lt;=AD$5,0,IF(AD$7&gt;$E77,OFFSET(Costs!AD79,0,-$E77),0))</f>
        <v>0</v>
      </c>
      <c r="AE77" s="697">
        <f ca="1">IF(EOMONTH(Enddatum,$E77+1)&lt;=AE$5,0,IF(AE$7&gt;$E77,OFFSET(Costs!AE79,0,-$E77),0))</f>
        <v>1500</v>
      </c>
      <c r="AF77" s="697">
        <f ca="1">IF(EOMONTH(Enddatum,$E77+1)&lt;=AF$5,0,IF(AF$7&gt;$E77,OFFSET(Costs!AF79,0,-$E77),0))</f>
        <v>0</v>
      </c>
      <c r="AG77" s="697">
        <f ca="1">IF(EOMONTH(Enddatum,$E77+1)&lt;=AG$5,0,IF(AG$7&gt;$E77,OFFSET(Costs!AG79,0,-$E77),0))</f>
        <v>0</v>
      </c>
    </row>
    <row r="78" spans="1:33" s="878" customFormat="1" ht="16.5" customHeight="1" outlineLevel="2">
      <c r="A78" s="861"/>
      <c r="B78" s="282"/>
      <c r="C78" s="24" t="str">
        <f>Costs!C80</f>
        <v>Insurances  / charges / contributions</v>
      </c>
      <c r="D78" s="8" t="str">
        <f t="shared" si="41"/>
        <v>USD</v>
      </c>
      <c r="E78" s="689">
        <f>Costs!F80</f>
        <v>0</v>
      </c>
      <c r="F78" s="282"/>
      <c r="G78" s="282"/>
      <c r="H78" s="282"/>
      <c r="I78" s="71">
        <f t="shared" ca="1" si="42"/>
        <v>0</v>
      </c>
      <c r="J78" s="697">
        <f ca="1">IF(EOMONTH(Enddatum,$E78+1)&lt;=J$5,0,IF(J$7&gt;$E78,OFFSET(Costs!J80,0,-$E78),0))</f>
        <v>0</v>
      </c>
      <c r="K78" s="697">
        <f ca="1">IF(EOMONTH(Enddatum,$E78+1)&lt;=K$5,0,IF(K$7&gt;$E78,OFFSET(Costs!K80,0,-$E78),0))</f>
        <v>0</v>
      </c>
      <c r="L78" s="697">
        <f ca="1">IF(EOMONTH(Enddatum,$E78+1)&lt;=L$5,0,IF(L$7&gt;$E78,OFFSET(Costs!L80,0,-$E78),0))</f>
        <v>0</v>
      </c>
      <c r="M78" s="697">
        <f ca="1">IF(EOMONTH(Enddatum,$E78+1)&lt;=M$5,0,IF(M$7&gt;$E78,OFFSET(Costs!M80,0,-$E78),0))</f>
        <v>0</v>
      </c>
      <c r="N78" s="697">
        <f ca="1">IF(EOMONTH(Enddatum,$E78+1)&lt;=N$5,0,IF(N$7&gt;$E78,OFFSET(Costs!N80,0,-$E78),0))</f>
        <v>0</v>
      </c>
      <c r="O78" s="697">
        <f ca="1">IF(EOMONTH(Enddatum,$E78+1)&lt;=O$5,0,IF(O$7&gt;$E78,OFFSET(Costs!O80,0,-$E78),0))</f>
        <v>0</v>
      </c>
      <c r="P78" s="697">
        <f ca="1">IF(EOMONTH(Enddatum,$E78+1)&lt;=P$5,0,IF(P$7&gt;$E78,OFFSET(Costs!P80,0,-$E78),0))</f>
        <v>0</v>
      </c>
      <c r="Q78" s="697">
        <f ca="1">IF(EOMONTH(Enddatum,$E78+1)&lt;=Q$5,0,IF(Q$7&gt;$E78,OFFSET(Costs!Q80,0,-$E78),0))</f>
        <v>0</v>
      </c>
      <c r="R78" s="697">
        <f ca="1">IF(EOMONTH(Enddatum,$E78+1)&lt;=R$5,0,IF(R$7&gt;$E78,OFFSET(Costs!R80,0,-$E78),0))</f>
        <v>0</v>
      </c>
      <c r="S78" s="697">
        <f ca="1">IF(EOMONTH(Enddatum,$E78+1)&lt;=S$5,0,IF(S$7&gt;$E78,OFFSET(Costs!S80,0,-$E78),0))</f>
        <v>0</v>
      </c>
      <c r="T78" s="697">
        <f ca="1">IF(EOMONTH(Enddatum,$E78+1)&lt;=T$5,0,IF(T$7&gt;$E78,OFFSET(Costs!T80,0,-$E78),0))</f>
        <v>0</v>
      </c>
      <c r="U78" s="697">
        <f ca="1">IF(EOMONTH(Enddatum,$E78+1)&lt;=U$5,0,IF(U$7&gt;$E78,OFFSET(Costs!U80,0,-$E78),0))</f>
        <v>0</v>
      </c>
      <c r="V78" s="697">
        <f ca="1">IF(EOMONTH(Enddatum,$E78+1)&lt;=V$5,0,IF(V$7&gt;$E78,OFFSET(Costs!V80,0,-$E78),0))</f>
        <v>0</v>
      </c>
      <c r="W78" s="697">
        <f ca="1">IF(EOMONTH(Enddatum,$E78+1)&lt;=W$5,0,IF(W$7&gt;$E78,OFFSET(Costs!W80,0,-$E78),0))</f>
        <v>0</v>
      </c>
      <c r="X78" s="697">
        <f ca="1">IF(EOMONTH(Enddatum,$E78+1)&lt;=X$5,0,IF(X$7&gt;$E78,OFFSET(Costs!X80,0,-$E78),0))</f>
        <v>0</v>
      </c>
      <c r="Y78" s="697">
        <f ca="1">IF(EOMONTH(Enddatum,$E78+1)&lt;=Y$5,0,IF(Y$7&gt;$E78,OFFSET(Costs!Y80,0,-$E78),0))</f>
        <v>0</v>
      </c>
      <c r="Z78" s="697">
        <f ca="1">IF(EOMONTH(Enddatum,$E78+1)&lt;=Z$5,0,IF(Z$7&gt;$E78,OFFSET(Costs!Z80,0,-$E78),0))</f>
        <v>0</v>
      </c>
      <c r="AA78" s="697">
        <f ca="1">IF(EOMONTH(Enddatum,$E78+1)&lt;=AA$5,0,IF(AA$7&gt;$E78,OFFSET(Costs!AA80,0,-$E78),0))</f>
        <v>0</v>
      </c>
      <c r="AB78" s="697">
        <f ca="1">IF(EOMONTH(Enddatum,$E78+1)&lt;=AB$5,0,IF(AB$7&gt;$E78,OFFSET(Costs!AB80,0,-$E78),0))</f>
        <v>0</v>
      </c>
      <c r="AC78" s="697">
        <f ca="1">IF(EOMONTH(Enddatum,$E78+1)&lt;=AC$5,0,IF(AC$7&gt;$E78,OFFSET(Costs!AC80,0,-$E78),0))</f>
        <v>0</v>
      </c>
      <c r="AD78" s="697">
        <f ca="1">IF(EOMONTH(Enddatum,$E78+1)&lt;=AD$5,0,IF(AD$7&gt;$E78,OFFSET(Costs!AD80,0,-$E78),0))</f>
        <v>0</v>
      </c>
      <c r="AE78" s="697">
        <f ca="1">IF(EOMONTH(Enddatum,$E78+1)&lt;=AE$5,0,IF(AE$7&gt;$E78,OFFSET(Costs!AE80,0,-$E78),0))</f>
        <v>0</v>
      </c>
      <c r="AF78" s="697">
        <f ca="1">IF(EOMONTH(Enddatum,$E78+1)&lt;=AF$5,0,IF(AF$7&gt;$E78,OFFSET(Costs!AF80,0,-$E78),0))</f>
        <v>0</v>
      </c>
      <c r="AG78" s="697">
        <f ca="1">IF(EOMONTH(Enddatum,$E78+1)&lt;=AG$5,0,IF(AG$7&gt;$E78,OFFSET(Costs!AG80,0,-$E78),0))</f>
        <v>0</v>
      </c>
    </row>
    <row r="79" spans="1:33" s="878" customFormat="1" ht="16.5" customHeight="1" outlineLevel="2">
      <c r="A79" s="861"/>
      <c r="B79" s="282"/>
      <c r="C79" s="24" t="str">
        <f>Costs!C81</f>
        <v>Patents, Trademarks and Licence Fees</v>
      </c>
      <c r="D79" s="8" t="str">
        <f t="shared" si="41"/>
        <v>USD</v>
      </c>
      <c r="E79" s="689">
        <f>Costs!F81</f>
        <v>0</v>
      </c>
      <c r="F79" s="282"/>
      <c r="G79" s="282"/>
      <c r="H79" s="282"/>
      <c r="I79" s="71">
        <f t="shared" ca="1" si="42"/>
        <v>0</v>
      </c>
      <c r="J79" s="697">
        <f ca="1">IF(EOMONTH(Enddatum,$E79+1)&lt;=J$5,0,IF(J$7&gt;$E79,OFFSET(Costs!J81,0,-$E79),0))</f>
        <v>0</v>
      </c>
      <c r="K79" s="697">
        <f ca="1">IF(EOMONTH(Enddatum,$E79+1)&lt;=K$5,0,IF(K$7&gt;$E79,OFFSET(Costs!K81,0,-$E79),0))</f>
        <v>0</v>
      </c>
      <c r="L79" s="697">
        <f ca="1">IF(EOMONTH(Enddatum,$E79+1)&lt;=L$5,0,IF(L$7&gt;$E79,OFFSET(Costs!L81,0,-$E79),0))</f>
        <v>0</v>
      </c>
      <c r="M79" s="697">
        <f ca="1">IF(EOMONTH(Enddatum,$E79+1)&lt;=M$5,0,IF(M$7&gt;$E79,OFFSET(Costs!M81,0,-$E79),0))</f>
        <v>0</v>
      </c>
      <c r="N79" s="697">
        <f ca="1">IF(EOMONTH(Enddatum,$E79+1)&lt;=N$5,0,IF(N$7&gt;$E79,OFFSET(Costs!N81,0,-$E79),0))</f>
        <v>0</v>
      </c>
      <c r="O79" s="697">
        <f ca="1">IF(EOMONTH(Enddatum,$E79+1)&lt;=O$5,0,IF(O$7&gt;$E79,OFFSET(Costs!O81,0,-$E79),0))</f>
        <v>0</v>
      </c>
      <c r="P79" s="697">
        <f ca="1">IF(EOMONTH(Enddatum,$E79+1)&lt;=P$5,0,IF(P$7&gt;$E79,OFFSET(Costs!P81,0,-$E79),0))</f>
        <v>0</v>
      </c>
      <c r="Q79" s="697">
        <f ca="1">IF(EOMONTH(Enddatum,$E79+1)&lt;=Q$5,0,IF(Q$7&gt;$E79,OFFSET(Costs!Q81,0,-$E79),0))</f>
        <v>0</v>
      </c>
      <c r="R79" s="697">
        <f ca="1">IF(EOMONTH(Enddatum,$E79+1)&lt;=R$5,0,IF(R$7&gt;$E79,OFFSET(Costs!R81,0,-$E79),0))</f>
        <v>0</v>
      </c>
      <c r="S79" s="697">
        <f ca="1">IF(EOMONTH(Enddatum,$E79+1)&lt;=S$5,0,IF(S$7&gt;$E79,OFFSET(Costs!S81,0,-$E79),0))</f>
        <v>0</v>
      </c>
      <c r="T79" s="697">
        <f ca="1">IF(EOMONTH(Enddatum,$E79+1)&lt;=T$5,0,IF(T$7&gt;$E79,OFFSET(Costs!T81,0,-$E79),0))</f>
        <v>0</v>
      </c>
      <c r="U79" s="697">
        <f ca="1">IF(EOMONTH(Enddatum,$E79+1)&lt;=U$5,0,IF(U$7&gt;$E79,OFFSET(Costs!U81,0,-$E79),0))</f>
        <v>0</v>
      </c>
      <c r="V79" s="697">
        <f ca="1">IF(EOMONTH(Enddatum,$E79+1)&lt;=V$5,0,IF(V$7&gt;$E79,OFFSET(Costs!V81,0,-$E79),0))</f>
        <v>0</v>
      </c>
      <c r="W79" s="697">
        <f ca="1">IF(EOMONTH(Enddatum,$E79+1)&lt;=W$5,0,IF(W$7&gt;$E79,OFFSET(Costs!W81,0,-$E79),0))</f>
        <v>0</v>
      </c>
      <c r="X79" s="697">
        <f ca="1">IF(EOMONTH(Enddatum,$E79+1)&lt;=X$5,0,IF(X$7&gt;$E79,OFFSET(Costs!X81,0,-$E79),0))</f>
        <v>0</v>
      </c>
      <c r="Y79" s="697">
        <f ca="1">IF(EOMONTH(Enddatum,$E79+1)&lt;=Y$5,0,IF(Y$7&gt;$E79,OFFSET(Costs!Y81,0,-$E79),0))</f>
        <v>0</v>
      </c>
      <c r="Z79" s="697">
        <f ca="1">IF(EOMONTH(Enddatum,$E79+1)&lt;=Z$5,0,IF(Z$7&gt;$E79,OFFSET(Costs!Z81,0,-$E79),0))</f>
        <v>0</v>
      </c>
      <c r="AA79" s="697">
        <f ca="1">IF(EOMONTH(Enddatum,$E79+1)&lt;=AA$5,0,IF(AA$7&gt;$E79,OFFSET(Costs!AA81,0,-$E79),0))</f>
        <v>0</v>
      </c>
      <c r="AB79" s="697">
        <f ca="1">IF(EOMONTH(Enddatum,$E79+1)&lt;=AB$5,0,IF(AB$7&gt;$E79,OFFSET(Costs!AB81,0,-$E79),0))</f>
        <v>0</v>
      </c>
      <c r="AC79" s="697">
        <f ca="1">IF(EOMONTH(Enddatum,$E79+1)&lt;=AC$5,0,IF(AC$7&gt;$E79,OFFSET(Costs!AC81,0,-$E79),0))</f>
        <v>0</v>
      </c>
      <c r="AD79" s="697">
        <f ca="1">IF(EOMONTH(Enddatum,$E79+1)&lt;=AD$5,0,IF(AD$7&gt;$E79,OFFSET(Costs!AD81,0,-$E79),0))</f>
        <v>0</v>
      </c>
      <c r="AE79" s="697">
        <f ca="1">IF(EOMONTH(Enddatum,$E79+1)&lt;=AE$5,0,IF(AE$7&gt;$E79,OFFSET(Costs!AE81,0,-$E79),0))</f>
        <v>0</v>
      </c>
      <c r="AF79" s="697">
        <f ca="1">IF(EOMONTH(Enddatum,$E79+1)&lt;=AF$5,0,IF(AF$7&gt;$E79,OFFSET(Costs!AF81,0,-$E79),0))</f>
        <v>0</v>
      </c>
      <c r="AG79" s="697">
        <f ca="1">IF(EOMONTH(Enddatum,$E79+1)&lt;=AG$5,0,IF(AG$7&gt;$E79,OFFSET(Costs!AG81,0,-$E79),0))</f>
        <v>0</v>
      </c>
    </row>
    <row r="80" spans="1:33" s="878" customFormat="1" ht="16.5" customHeight="1" outlineLevel="2">
      <c r="A80" s="861"/>
      <c r="B80" s="282"/>
      <c r="C80" s="24" t="str">
        <f>Costs!C82</f>
        <v xml:space="preserve">Repairs and maintenance </v>
      </c>
      <c r="D80" s="8" t="str">
        <f t="shared" si="41"/>
        <v>USD</v>
      </c>
      <c r="E80" s="689">
        <f>Costs!F82</f>
        <v>0</v>
      </c>
      <c r="F80" s="282"/>
      <c r="G80" s="282"/>
      <c r="H80" s="282"/>
      <c r="I80" s="71">
        <f t="shared" ca="1" si="42"/>
        <v>0</v>
      </c>
      <c r="J80" s="697">
        <f ca="1">IF(EOMONTH(Enddatum,$E80+1)&lt;=J$5,0,IF(J$7&gt;$E80,OFFSET(Costs!J82,0,-$E80),0))</f>
        <v>0</v>
      </c>
      <c r="K80" s="697">
        <f ca="1">IF(EOMONTH(Enddatum,$E80+1)&lt;=K$5,0,IF(K$7&gt;$E80,OFFSET(Costs!K82,0,-$E80),0))</f>
        <v>0</v>
      </c>
      <c r="L80" s="697">
        <f ca="1">IF(EOMONTH(Enddatum,$E80+1)&lt;=L$5,0,IF(L$7&gt;$E80,OFFSET(Costs!L82,0,-$E80),0))</f>
        <v>0</v>
      </c>
      <c r="M80" s="697">
        <f ca="1">IF(EOMONTH(Enddatum,$E80+1)&lt;=M$5,0,IF(M$7&gt;$E80,OFFSET(Costs!M82,0,-$E80),0))</f>
        <v>0</v>
      </c>
      <c r="N80" s="697">
        <f ca="1">IF(EOMONTH(Enddatum,$E80+1)&lt;=N$5,0,IF(N$7&gt;$E80,OFFSET(Costs!N82,0,-$E80),0))</f>
        <v>0</v>
      </c>
      <c r="O80" s="697">
        <f ca="1">IF(EOMONTH(Enddatum,$E80+1)&lt;=O$5,0,IF(O$7&gt;$E80,OFFSET(Costs!O82,0,-$E80),0))</f>
        <v>0</v>
      </c>
      <c r="P80" s="697">
        <f ca="1">IF(EOMONTH(Enddatum,$E80+1)&lt;=P$5,0,IF(P$7&gt;$E80,OFFSET(Costs!P82,0,-$E80),0))</f>
        <v>0</v>
      </c>
      <c r="Q80" s="697">
        <f ca="1">IF(EOMONTH(Enddatum,$E80+1)&lt;=Q$5,0,IF(Q$7&gt;$E80,OFFSET(Costs!Q82,0,-$E80),0))</f>
        <v>0</v>
      </c>
      <c r="R80" s="697">
        <f ca="1">IF(EOMONTH(Enddatum,$E80+1)&lt;=R$5,0,IF(R$7&gt;$E80,OFFSET(Costs!R82,0,-$E80),0))</f>
        <v>0</v>
      </c>
      <c r="S80" s="697">
        <f ca="1">IF(EOMONTH(Enddatum,$E80+1)&lt;=S$5,0,IF(S$7&gt;$E80,OFFSET(Costs!S82,0,-$E80),0))</f>
        <v>0</v>
      </c>
      <c r="T80" s="697">
        <f ca="1">IF(EOMONTH(Enddatum,$E80+1)&lt;=T$5,0,IF(T$7&gt;$E80,OFFSET(Costs!T82,0,-$E80),0))</f>
        <v>0</v>
      </c>
      <c r="U80" s="697">
        <f ca="1">IF(EOMONTH(Enddatum,$E80+1)&lt;=U$5,0,IF(U$7&gt;$E80,OFFSET(Costs!U82,0,-$E80),0))</f>
        <v>0</v>
      </c>
      <c r="V80" s="697">
        <f ca="1">IF(EOMONTH(Enddatum,$E80+1)&lt;=V$5,0,IF(V$7&gt;$E80,OFFSET(Costs!V82,0,-$E80),0))</f>
        <v>0</v>
      </c>
      <c r="W80" s="697">
        <f ca="1">IF(EOMONTH(Enddatum,$E80+1)&lt;=W$5,0,IF(W$7&gt;$E80,OFFSET(Costs!W82,0,-$E80),0))</f>
        <v>0</v>
      </c>
      <c r="X80" s="697">
        <f ca="1">IF(EOMONTH(Enddatum,$E80+1)&lt;=X$5,0,IF(X$7&gt;$E80,OFFSET(Costs!X82,0,-$E80),0))</f>
        <v>0</v>
      </c>
      <c r="Y80" s="697">
        <f ca="1">IF(EOMONTH(Enddatum,$E80+1)&lt;=Y$5,0,IF(Y$7&gt;$E80,OFFSET(Costs!Y82,0,-$E80),0))</f>
        <v>0</v>
      </c>
      <c r="Z80" s="697">
        <f ca="1">IF(EOMONTH(Enddatum,$E80+1)&lt;=Z$5,0,IF(Z$7&gt;$E80,OFFSET(Costs!Z82,0,-$E80),0))</f>
        <v>0</v>
      </c>
      <c r="AA80" s="697">
        <f ca="1">IF(EOMONTH(Enddatum,$E80+1)&lt;=AA$5,0,IF(AA$7&gt;$E80,OFFSET(Costs!AA82,0,-$E80),0))</f>
        <v>0</v>
      </c>
      <c r="AB80" s="697">
        <f ca="1">IF(EOMONTH(Enddatum,$E80+1)&lt;=AB$5,0,IF(AB$7&gt;$E80,OFFSET(Costs!AB82,0,-$E80),0))</f>
        <v>0</v>
      </c>
      <c r="AC80" s="697">
        <f ca="1">IF(EOMONTH(Enddatum,$E80+1)&lt;=AC$5,0,IF(AC$7&gt;$E80,OFFSET(Costs!AC82,0,-$E80),0))</f>
        <v>0</v>
      </c>
      <c r="AD80" s="697">
        <f ca="1">IF(EOMONTH(Enddatum,$E80+1)&lt;=AD$5,0,IF(AD$7&gt;$E80,OFFSET(Costs!AD82,0,-$E80),0))</f>
        <v>0</v>
      </c>
      <c r="AE80" s="697">
        <f ca="1">IF(EOMONTH(Enddatum,$E80+1)&lt;=AE$5,0,IF(AE$7&gt;$E80,OFFSET(Costs!AE82,0,-$E80),0))</f>
        <v>0</v>
      </c>
      <c r="AF80" s="697">
        <f ca="1">IF(EOMONTH(Enddatum,$E80+1)&lt;=AF$5,0,IF(AF$7&gt;$E80,OFFSET(Costs!AF82,0,-$E80),0))</f>
        <v>0</v>
      </c>
      <c r="AG80" s="697">
        <f ca="1">IF(EOMONTH(Enddatum,$E80+1)&lt;=AG$5,0,IF(AG$7&gt;$E80,OFFSET(Costs!AG82,0,-$E80),0))</f>
        <v>0</v>
      </c>
    </row>
    <row r="81" spans="1:33" s="878" customFormat="1" ht="16.5" customHeight="1" outlineLevel="2">
      <c r="A81" s="861"/>
      <c r="B81" s="282"/>
      <c r="C81" s="24" t="str">
        <f>Costs!C83</f>
        <v>Communication (Internet, Phone, Mobile etc.)</v>
      </c>
      <c r="D81" s="8" t="str">
        <f t="shared" si="41"/>
        <v>USD</v>
      </c>
      <c r="E81" s="689">
        <f>Costs!F83</f>
        <v>0</v>
      </c>
      <c r="F81" s="861"/>
      <c r="G81" s="861"/>
      <c r="H81" s="861"/>
      <c r="I81" s="71">
        <f t="shared" ca="1" si="42"/>
        <v>0</v>
      </c>
      <c r="J81" s="697">
        <f ca="1">IF(EOMONTH(Enddatum,$E81+1)&lt;=J$5,0,IF(J$7&gt;$E81,OFFSET(Costs!J83,0,-$E81),0))</f>
        <v>0</v>
      </c>
      <c r="K81" s="697">
        <f ca="1">IF(EOMONTH(Enddatum,$E81+1)&lt;=K$5,0,IF(K$7&gt;$E81,OFFSET(Costs!K83,0,-$E81),0))</f>
        <v>0</v>
      </c>
      <c r="L81" s="697">
        <f ca="1">IF(EOMONTH(Enddatum,$E81+1)&lt;=L$5,0,IF(L$7&gt;$E81,OFFSET(Costs!L83,0,-$E81),0))</f>
        <v>0</v>
      </c>
      <c r="M81" s="697">
        <f ca="1">IF(EOMONTH(Enddatum,$E81+1)&lt;=M$5,0,IF(M$7&gt;$E81,OFFSET(Costs!M83,0,-$E81),0))</f>
        <v>0</v>
      </c>
      <c r="N81" s="697">
        <f ca="1">IF(EOMONTH(Enddatum,$E81+1)&lt;=N$5,0,IF(N$7&gt;$E81,OFFSET(Costs!N83,0,-$E81),0))</f>
        <v>0</v>
      </c>
      <c r="O81" s="697">
        <f ca="1">IF(EOMONTH(Enddatum,$E81+1)&lt;=O$5,0,IF(O$7&gt;$E81,OFFSET(Costs!O83,0,-$E81),0))</f>
        <v>0</v>
      </c>
      <c r="P81" s="697">
        <f ca="1">IF(EOMONTH(Enddatum,$E81+1)&lt;=P$5,0,IF(P$7&gt;$E81,OFFSET(Costs!P83,0,-$E81),0))</f>
        <v>0</v>
      </c>
      <c r="Q81" s="697">
        <f ca="1">IF(EOMONTH(Enddatum,$E81+1)&lt;=Q$5,0,IF(Q$7&gt;$E81,OFFSET(Costs!Q83,0,-$E81),0))</f>
        <v>0</v>
      </c>
      <c r="R81" s="697">
        <f ca="1">IF(EOMONTH(Enddatum,$E81+1)&lt;=R$5,0,IF(R$7&gt;$E81,OFFSET(Costs!R83,0,-$E81),0))</f>
        <v>0</v>
      </c>
      <c r="S81" s="697">
        <f ca="1">IF(EOMONTH(Enddatum,$E81+1)&lt;=S$5,0,IF(S$7&gt;$E81,OFFSET(Costs!S83,0,-$E81),0))</f>
        <v>0</v>
      </c>
      <c r="T81" s="697">
        <f ca="1">IF(EOMONTH(Enddatum,$E81+1)&lt;=T$5,0,IF(T$7&gt;$E81,OFFSET(Costs!T83,0,-$E81),0))</f>
        <v>0</v>
      </c>
      <c r="U81" s="697">
        <f ca="1">IF(EOMONTH(Enddatum,$E81+1)&lt;=U$5,0,IF(U$7&gt;$E81,OFFSET(Costs!U83,0,-$E81),0))</f>
        <v>0</v>
      </c>
      <c r="V81" s="697">
        <f ca="1">IF(EOMONTH(Enddatum,$E81+1)&lt;=V$5,0,IF(V$7&gt;$E81,OFFSET(Costs!V83,0,-$E81),0))</f>
        <v>0</v>
      </c>
      <c r="W81" s="697">
        <f ca="1">IF(EOMONTH(Enddatum,$E81+1)&lt;=W$5,0,IF(W$7&gt;$E81,OFFSET(Costs!W83,0,-$E81),0))</f>
        <v>0</v>
      </c>
      <c r="X81" s="697">
        <f ca="1">IF(EOMONTH(Enddatum,$E81+1)&lt;=X$5,0,IF(X$7&gt;$E81,OFFSET(Costs!X83,0,-$E81),0))</f>
        <v>0</v>
      </c>
      <c r="Y81" s="697">
        <f ca="1">IF(EOMONTH(Enddatum,$E81+1)&lt;=Y$5,0,IF(Y$7&gt;$E81,OFFSET(Costs!Y83,0,-$E81),0))</f>
        <v>0</v>
      </c>
      <c r="Z81" s="697">
        <f ca="1">IF(EOMONTH(Enddatum,$E81+1)&lt;=Z$5,0,IF(Z$7&gt;$E81,OFFSET(Costs!Z83,0,-$E81),0))</f>
        <v>0</v>
      </c>
      <c r="AA81" s="697">
        <f ca="1">IF(EOMONTH(Enddatum,$E81+1)&lt;=AA$5,0,IF(AA$7&gt;$E81,OFFSET(Costs!AA83,0,-$E81),0))</f>
        <v>0</v>
      </c>
      <c r="AB81" s="697">
        <f ca="1">IF(EOMONTH(Enddatum,$E81+1)&lt;=AB$5,0,IF(AB$7&gt;$E81,OFFSET(Costs!AB83,0,-$E81),0))</f>
        <v>0</v>
      </c>
      <c r="AC81" s="697">
        <f ca="1">IF(EOMONTH(Enddatum,$E81+1)&lt;=AC$5,0,IF(AC$7&gt;$E81,OFFSET(Costs!AC83,0,-$E81),0))</f>
        <v>0</v>
      </c>
      <c r="AD81" s="697">
        <f ca="1">IF(EOMONTH(Enddatum,$E81+1)&lt;=AD$5,0,IF(AD$7&gt;$E81,OFFSET(Costs!AD83,0,-$E81),0))</f>
        <v>0</v>
      </c>
      <c r="AE81" s="697">
        <f ca="1">IF(EOMONTH(Enddatum,$E81+1)&lt;=AE$5,0,IF(AE$7&gt;$E81,OFFSET(Costs!AE83,0,-$E81),0))</f>
        <v>0</v>
      </c>
      <c r="AF81" s="697">
        <f ca="1">IF(EOMONTH(Enddatum,$E81+1)&lt;=AF$5,0,IF(AF$7&gt;$E81,OFFSET(Costs!AF83,0,-$E81),0))</f>
        <v>0</v>
      </c>
      <c r="AG81" s="697">
        <f ca="1">IF(EOMONTH(Enddatum,$E81+1)&lt;=AG$5,0,IF(AG$7&gt;$E81,OFFSET(Costs!AG83,0,-$E81),0))</f>
        <v>0</v>
      </c>
    </row>
    <row r="82" spans="1:33" s="878" customFormat="1" ht="16.5" customHeight="1" outlineLevel="2">
      <c r="A82" s="861"/>
      <c r="B82" s="282"/>
      <c r="C82" s="24" t="str">
        <f>Costs!C84</f>
        <v>Office Supplies</v>
      </c>
      <c r="D82" s="8" t="str">
        <f t="shared" si="41"/>
        <v>USD</v>
      </c>
      <c r="E82" s="689">
        <f>Costs!F84</f>
        <v>0</v>
      </c>
      <c r="F82" s="861"/>
      <c r="G82" s="861"/>
      <c r="H82" s="861"/>
      <c r="I82" s="71">
        <f t="shared" ca="1" si="42"/>
        <v>0</v>
      </c>
      <c r="J82" s="697">
        <f ca="1">IF(EOMONTH(Enddatum,$E82+1)&lt;=J$5,0,IF(J$7&gt;$E82,OFFSET(Costs!J84,0,-$E82),0))</f>
        <v>0</v>
      </c>
      <c r="K82" s="697">
        <f ca="1">IF(EOMONTH(Enddatum,$E82+1)&lt;=K$5,0,IF(K$7&gt;$E82,OFFSET(Costs!K84,0,-$E82),0))</f>
        <v>0</v>
      </c>
      <c r="L82" s="697">
        <f ca="1">IF(EOMONTH(Enddatum,$E82+1)&lt;=L$5,0,IF(L$7&gt;$E82,OFFSET(Costs!L84,0,-$E82),0))</f>
        <v>0</v>
      </c>
      <c r="M82" s="697">
        <f ca="1">IF(EOMONTH(Enddatum,$E82+1)&lt;=M$5,0,IF(M$7&gt;$E82,OFFSET(Costs!M84,0,-$E82),0))</f>
        <v>0</v>
      </c>
      <c r="N82" s="697">
        <f ca="1">IF(EOMONTH(Enddatum,$E82+1)&lt;=N$5,0,IF(N$7&gt;$E82,OFFSET(Costs!N84,0,-$E82),0))</f>
        <v>0</v>
      </c>
      <c r="O82" s="697">
        <f ca="1">IF(EOMONTH(Enddatum,$E82+1)&lt;=O$5,0,IF(O$7&gt;$E82,OFFSET(Costs!O84,0,-$E82),0))</f>
        <v>0</v>
      </c>
      <c r="P82" s="697">
        <f ca="1">IF(EOMONTH(Enddatum,$E82+1)&lt;=P$5,0,IF(P$7&gt;$E82,OFFSET(Costs!P84,0,-$E82),0))</f>
        <v>0</v>
      </c>
      <c r="Q82" s="697">
        <f ca="1">IF(EOMONTH(Enddatum,$E82+1)&lt;=Q$5,0,IF(Q$7&gt;$E82,OFFSET(Costs!Q84,0,-$E82),0))</f>
        <v>0</v>
      </c>
      <c r="R82" s="697">
        <f ca="1">IF(EOMONTH(Enddatum,$E82+1)&lt;=R$5,0,IF(R$7&gt;$E82,OFFSET(Costs!R84,0,-$E82),0))</f>
        <v>0</v>
      </c>
      <c r="S82" s="697">
        <f ca="1">IF(EOMONTH(Enddatum,$E82+1)&lt;=S$5,0,IF(S$7&gt;$E82,OFFSET(Costs!S84,0,-$E82),0))</f>
        <v>0</v>
      </c>
      <c r="T82" s="697">
        <f ca="1">IF(EOMONTH(Enddatum,$E82+1)&lt;=T$5,0,IF(T$7&gt;$E82,OFFSET(Costs!T84,0,-$E82),0))</f>
        <v>0</v>
      </c>
      <c r="U82" s="697">
        <f ca="1">IF(EOMONTH(Enddatum,$E82+1)&lt;=U$5,0,IF(U$7&gt;$E82,OFFSET(Costs!U84,0,-$E82),0))</f>
        <v>0</v>
      </c>
      <c r="V82" s="697">
        <f ca="1">IF(EOMONTH(Enddatum,$E82+1)&lt;=V$5,0,IF(V$7&gt;$E82,OFFSET(Costs!V84,0,-$E82),0))</f>
        <v>0</v>
      </c>
      <c r="W82" s="697">
        <f ca="1">IF(EOMONTH(Enddatum,$E82+1)&lt;=W$5,0,IF(W$7&gt;$E82,OFFSET(Costs!W84,0,-$E82),0))</f>
        <v>0</v>
      </c>
      <c r="X82" s="697">
        <f ca="1">IF(EOMONTH(Enddatum,$E82+1)&lt;=X$5,0,IF(X$7&gt;$E82,OFFSET(Costs!X84,0,-$E82),0))</f>
        <v>0</v>
      </c>
      <c r="Y82" s="697">
        <f ca="1">IF(EOMONTH(Enddatum,$E82+1)&lt;=Y$5,0,IF(Y$7&gt;$E82,OFFSET(Costs!Y84,0,-$E82),0))</f>
        <v>0</v>
      </c>
      <c r="Z82" s="697">
        <f ca="1">IF(EOMONTH(Enddatum,$E82+1)&lt;=Z$5,0,IF(Z$7&gt;$E82,OFFSET(Costs!Z84,0,-$E82),0))</f>
        <v>0</v>
      </c>
      <c r="AA82" s="697">
        <f ca="1">IF(EOMONTH(Enddatum,$E82+1)&lt;=AA$5,0,IF(AA$7&gt;$E82,OFFSET(Costs!AA84,0,-$E82),0))</f>
        <v>0</v>
      </c>
      <c r="AB82" s="697">
        <f ca="1">IF(EOMONTH(Enddatum,$E82+1)&lt;=AB$5,0,IF(AB$7&gt;$E82,OFFSET(Costs!AB84,0,-$E82),0))</f>
        <v>0</v>
      </c>
      <c r="AC82" s="697">
        <f ca="1">IF(EOMONTH(Enddatum,$E82+1)&lt;=AC$5,0,IF(AC$7&gt;$E82,OFFSET(Costs!AC84,0,-$E82),0))</f>
        <v>0</v>
      </c>
      <c r="AD82" s="697">
        <f ca="1">IF(EOMONTH(Enddatum,$E82+1)&lt;=AD$5,0,IF(AD$7&gt;$E82,OFFSET(Costs!AD84,0,-$E82),0))</f>
        <v>0</v>
      </c>
      <c r="AE82" s="697">
        <f ca="1">IF(EOMONTH(Enddatum,$E82+1)&lt;=AE$5,0,IF(AE$7&gt;$E82,OFFSET(Costs!AE84,0,-$E82),0))</f>
        <v>0</v>
      </c>
      <c r="AF82" s="697">
        <f ca="1">IF(EOMONTH(Enddatum,$E82+1)&lt;=AF$5,0,IF(AF$7&gt;$E82,OFFSET(Costs!AF84,0,-$E82),0))</f>
        <v>0</v>
      </c>
      <c r="AG82" s="697">
        <f ca="1">IF(EOMONTH(Enddatum,$E82+1)&lt;=AG$5,0,IF(AG$7&gt;$E82,OFFSET(Costs!AG84,0,-$E82),0))</f>
        <v>0</v>
      </c>
    </row>
    <row r="83" spans="1:33" s="878" customFormat="1" ht="16.5" customHeight="1" outlineLevel="2">
      <c r="A83" s="861"/>
      <c r="B83" s="282"/>
      <c r="C83" s="24" t="str">
        <f>Costs!C85</f>
        <v>Travel &amp; Entertainment</v>
      </c>
      <c r="D83" s="8" t="str">
        <f t="shared" si="41"/>
        <v>USD</v>
      </c>
      <c r="E83" s="689">
        <f>Costs!F85</f>
        <v>0</v>
      </c>
      <c r="F83" s="861"/>
      <c r="G83" s="861"/>
      <c r="H83" s="861"/>
      <c r="I83" s="71">
        <f t="shared" ca="1" si="42"/>
        <v>0</v>
      </c>
      <c r="J83" s="697">
        <f ca="1">IF(EOMONTH(Enddatum,$E83+1)&lt;=J$5,0,IF(J$7&gt;$E83,OFFSET(Costs!J85,0,-$E83),0))</f>
        <v>0</v>
      </c>
      <c r="K83" s="697">
        <f ca="1">IF(EOMONTH(Enddatum,$E83+1)&lt;=K$5,0,IF(K$7&gt;$E83,OFFSET(Costs!K85,0,-$E83),0))</f>
        <v>0</v>
      </c>
      <c r="L83" s="697">
        <f ca="1">IF(EOMONTH(Enddatum,$E83+1)&lt;=L$5,0,IF(L$7&gt;$E83,OFFSET(Costs!L85,0,-$E83),0))</f>
        <v>0</v>
      </c>
      <c r="M83" s="697">
        <f ca="1">IF(EOMONTH(Enddatum,$E83+1)&lt;=M$5,0,IF(M$7&gt;$E83,OFFSET(Costs!M85,0,-$E83),0))</f>
        <v>0</v>
      </c>
      <c r="N83" s="697">
        <f ca="1">IF(EOMONTH(Enddatum,$E83+1)&lt;=N$5,0,IF(N$7&gt;$E83,OFFSET(Costs!N85,0,-$E83),0))</f>
        <v>0</v>
      </c>
      <c r="O83" s="697">
        <f ca="1">IF(EOMONTH(Enddatum,$E83+1)&lt;=O$5,0,IF(O$7&gt;$E83,OFFSET(Costs!O85,0,-$E83),0))</f>
        <v>0</v>
      </c>
      <c r="P83" s="697">
        <f ca="1">IF(EOMONTH(Enddatum,$E83+1)&lt;=P$5,0,IF(P$7&gt;$E83,OFFSET(Costs!P85,0,-$E83),0))</f>
        <v>0</v>
      </c>
      <c r="Q83" s="697">
        <f ca="1">IF(EOMONTH(Enddatum,$E83+1)&lt;=Q$5,0,IF(Q$7&gt;$E83,OFFSET(Costs!Q85,0,-$E83),0))</f>
        <v>0</v>
      </c>
      <c r="R83" s="697">
        <f ca="1">IF(EOMONTH(Enddatum,$E83+1)&lt;=R$5,0,IF(R$7&gt;$E83,OFFSET(Costs!R85,0,-$E83),0))</f>
        <v>0</v>
      </c>
      <c r="S83" s="697">
        <f ca="1">IF(EOMONTH(Enddatum,$E83+1)&lt;=S$5,0,IF(S$7&gt;$E83,OFFSET(Costs!S85,0,-$E83),0))</f>
        <v>0</v>
      </c>
      <c r="T83" s="697">
        <f ca="1">IF(EOMONTH(Enddatum,$E83+1)&lt;=T$5,0,IF(T$7&gt;$E83,OFFSET(Costs!T85,0,-$E83),0))</f>
        <v>0</v>
      </c>
      <c r="U83" s="697">
        <f ca="1">IF(EOMONTH(Enddatum,$E83+1)&lt;=U$5,0,IF(U$7&gt;$E83,OFFSET(Costs!U85,0,-$E83),0))</f>
        <v>0</v>
      </c>
      <c r="V83" s="697">
        <f ca="1">IF(EOMONTH(Enddatum,$E83+1)&lt;=V$5,0,IF(V$7&gt;$E83,OFFSET(Costs!V85,0,-$E83),0))</f>
        <v>0</v>
      </c>
      <c r="W83" s="697">
        <f ca="1">IF(EOMONTH(Enddatum,$E83+1)&lt;=W$5,0,IF(W$7&gt;$E83,OFFSET(Costs!W85,0,-$E83),0))</f>
        <v>0</v>
      </c>
      <c r="X83" s="697">
        <f ca="1">IF(EOMONTH(Enddatum,$E83+1)&lt;=X$5,0,IF(X$7&gt;$E83,OFFSET(Costs!X85,0,-$E83),0))</f>
        <v>0</v>
      </c>
      <c r="Y83" s="697">
        <f ca="1">IF(EOMONTH(Enddatum,$E83+1)&lt;=Y$5,0,IF(Y$7&gt;$E83,OFFSET(Costs!Y85,0,-$E83),0))</f>
        <v>0</v>
      </c>
      <c r="Z83" s="697">
        <f ca="1">IF(EOMONTH(Enddatum,$E83+1)&lt;=Z$5,0,IF(Z$7&gt;$E83,OFFSET(Costs!Z85,0,-$E83),0))</f>
        <v>0</v>
      </c>
      <c r="AA83" s="697">
        <f ca="1">IF(EOMONTH(Enddatum,$E83+1)&lt;=AA$5,0,IF(AA$7&gt;$E83,OFFSET(Costs!AA85,0,-$E83),0))</f>
        <v>0</v>
      </c>
      <c r="AB83" s="697">
        <f ca="1">IF(EOMONTH(Enddatum,$E83+1)&lt;=AB$5,0,IF(AB$7&gt;$E83,OFFSET(Costs!AB85,0,-$E83),0))</f>
        <v>0</v>
      </c>
      <c r="AC83" s="697">
        <f ca="1">IF(EOMONTH(Enddatum,$E83+1)&lt;=AC$5,0,IF(AC$7&gt;$E83,OFFSET(Costs!AC85,0,-$E83),0))</f>
        <v>0</v>
      </c>
      <c r="AD83" s="697">
        <f ca="1">IF(EOMONTH(Enddatum,$E83+1)&lt;=AD$5,0,IF(AD$7&gt;$E83,OFFSET(Costs!AD85,0,-$E83),0))</f>
        <v>0</v>
      </c>
      <c r="AE83" s="697">
        <f ca="1">IF(EOMONTH(Enddatum,$E83+1)&lt;=AE$5,0,IF(AE$7&gt;$E83,OFFSET(Costs!AE85,0,-$E83),0))</f>
        <v>0</v>
      </c>
      <c r="AF83" s="697">
        <f ca="1">IF(EOMONTH(Enddatum,$E83+1)&lt;=AF$5,0,IF(AF$7&gt;$E83,OFFSET(Costs!AF85,0,-$E83),0))</f>
        <v>0</v>
      </c>
      <c r="AG83" s="697">
        <f ca="1">IF(EOMONTH(Enddatum,$E83+1)&lt;=AG$5,0,IF(AG$7&gt;$E83,OFFSET(Costs!AG85,0,-$E83),0))</f>
        <v>0</v>
      </c>
    </row>
    <row r="84" spans="1:33" s="878" customFormat="1" ht="16.5" customHeight="1" outlineLevel="2">
      <c r="A84" s="861"/>
      <c r="B84" s="861"/>
      <c r="C84" s="24" t="str">
        <f>Costs!C86</f>
        <v>Vehicle's costs</v>
      </c>
      <c r="D84" s="8" t="str">
        <f t="shared" si="41"/>
        <v>USD</v>
      </c>
      <c r="E84" s="689">
        <f>Costs!F86</f>
        <v>0</v>
      </c>
      <c r="F84" s="861"/>
      <c r="G84" s="861"/>
      <c r="H84" s="861"/>
      <c r="I84" s="71">
        <f t="shared" ca="1" si="42"/>
        <v>0</v>
      </c>
      <c r="J84" s="697">
        <f ca="1">IF(EOMONTH(Enddatum,$E84+1)&lt;=J$5,0,IF(J$7&gt;$E84,OFFSET(Costs!J86,0,-$E84),0))</f>
        <v>0</v>
      </c>
      <c r="K84" s="697">
        <f ca="1">IF(EOMONTH(Enddatum,$E84+1)&lt;=K$5,0,IF(K$7&gt;$E84,OFFSET(Costs!K86,0,-$E84),0))</f>
        <v>0</v>
      </c>
      <c r="L84" s="697">
        <f ca="1">IF(EOMONTH(Enddatum,$E84+1)&lt;=L$5,0,IF(L$7&gt;$E84,OFFSET(Costs!L86,0,-$E84),0))</f>
        <v>0</v>
      </c>
      <c r="M84" s="697">
        <f ca="1">IF(EOMONTH(Enddatum,$E84+1)&lt;=M$5,0,IF(M$7&gt;$E84,OFFSET(Costs!M86,0,-$E84),0))</f>
        <v>0</v>
      </c>
      <c r="N84" s="697">
        <f ca="1">IF(EOMONTH(Enddatum,$E84+1)&lt;=N$5,0,IF(N$7&gt;$E84,OFFSET(Costs!N86,0,-$E84),0))</f>
        <v>0</v>
      </c>
      <c r="O84" s="697">
        <f ca="1">IF(EOMONTH(Enddatum,$E84+1)&lt;=O$5,0,IF(O$7&gt;$E84,OFFSET(Costs!O86,0,-$E84),0))</f>
        <v>0</v>
      </c>
      <c r="P84" s="697">
        <f ca="1">IF(EOMONTH(Enddatum,$E84+1)&lt;=P$5,0,IF(P$7&gt;$E84,OFFSET(Costs!P86,0,-$E84),0))</f>
        <v>0</v>
      </c>
      <c r="Q84" s="697">
        <f ca="1">IF(EOMONTH(Enddatum,$E84+1)&lt;=Q$5,0,IF(Q$7&gt;$E84,OFFSET(Costs!Q86,0,-$E84),0))</f>
        <v>0</v>
      </c>
      <c r="R84" s="697">
        <f ca="1">IF(EOMONTH(Enddatum,$E84+1)&lt;=R$5,0,IF(R$7&gt;$E84,OFFSET(Costs!R86,0,-$E84),0))</f>
        <v>0</v>
      </c>
      <c r="S84" s="697">
        <f ca="1">IF(EOMONTH(Enddatum,$E84+1)&lt;=S$5,0,IF(S$7&gt;$E84,OFFSET(Costs!S86,0,-$E84),0))</f>
        <v>0</v>
      </c>
      <c r="T84" s="697">
        <f ca="1">IF(EOMONTH(Enddatum,$E84+1)&lt;=T$5,0,IF(T$7&gt;$E84,OFFSET(Costs!T86,0,-$E84),0))</f>
        <v>0</v>
      </c>
      <c r="U84" s="697">
        <f ca="1">IF(EOMONTH(Enddatum,$E84+1)&lt;=U$5,0,IF(U$7&gt;$E84,OFFSET(Costs!U86,0,-$E84),0))</f>
        <v>0</v>
      </c>
      <c r="V84" s="697">
        <f ca="1">IF(EOMONTH(Enddatum,$E84+1)&lt;=V$5,0,IF(V$7&gt;$E84,OFFSET(Costs!V86,0,-$E84),0))</f>
        <v>0</v>
      </c>
      <c r="W84" s="697">
        <f ca="1">IF(EOMONTH(Enddatum,$E84+1)&lt;=W$5,0,IF(W$7&gt;$E84,OFFSET(Costs!W86,0,-$E84),0))</f>
        <v>0</v>
      </c>
      <c r="X84" s="697">
        <f ca="1">IF(EOMONTH(Enddatum,$E84+1)&lt;=X$5,0,IF(X$7&gt;$E84,OFFSET(Costs!X86,0,-$E84),0))</f>
        <v>0</v>
      </c>
      <c r="Y84" s="697">
        <f ca="1">IF(EOMONTH(Enddatum,$E84+1)&lt;=Y$5,0,IF(Y$7&gt;$E84,OFFSET(Costs!Y86,0,-$E84),0))</f>
        <v>0</v>
      </c>
      <c r="Z84" s="697">
        <f ca="1">IF(EOMONTH(Enddatum,$E84+1)&lt;=Z$5,0,IF(Z$7&gt;$E84,OFFSET(Costs!Z86,0,-$E84),0))</f>
        <v>0</v>
      </c>
      <c r="AA84" s="697">
        <f ca="1">IF(EOMONTH(Enddatum,$E84+1)&lt;=AA$5,0,IF(AA$7&gt;$E84,OFFSET(Costs!AA86,0,-$E84),0))</f>
        <v>0</v>
      </c>
      <c r="AB84" s="697">
        <f ca="1">IF(EOMONTH(Enddatum,$E84+1)&lt;=AB$5,0,IF(AB$7&gt;$E84,OFFSET(Costs!AB86,0,-$E84),0))</f>
        <v>0</v>
      </c>
      <c r="AC84" s="697">
        <f ca="1">IF(EOMONTH(Enddatum,$E84+1)&lt;=AC$5,0,IF(AC$7&gt;$E84,OFFSET(Costs!AC86,0,-$E84),0))</f>
        <v>0</v>
      </c>
      <c r="AD84" s="697">
        <f ca="1">IF(EOMONTH(Enddatum,$E84+1)&lt;=AD$5,0,IF(AD$7&gt;$E84,OFFSET(Costs!AD86,0,-$E84),0))</f>
        <v>0</v>
      </c>
      <c r="AE84" s="697">
        <f ca="1">IF(EOMONTH(Enddatum,$E84+1)&lt;=AE$5,0,IF(AE$7&gt;$E84,OFFSET(Costs!AE86,0,-$E84),0))</f>
        <v>0</v>
      </c>
      <c r="AF84" s="697">
        <f ca="1">IF(EOMONTH(Enddatum,$E84+1)&lt;=AF$5,0,IF(AF$7&gt;$E84,OFFSET(Costs!AF86,0,-$E84),0))</f>
        <v>0</v>
      </c>
      <c r="AG84" s="697">
        <f ca="1">IF(EOMONTH(Enddatum,$E84+1)&lt;=AG$5,0,IF(AG$7&gt;$E84,OFFSET(Costs!AG86,0,-$E84),0))</f>
        <v>0</v>
      </c>
    </row>
    <row r="85" spans="1:33" s="878" customFormat="1" ht="16.5" customHeight="1" outlineLevel="2">
      <c r="A85" s="861"/>
      <c r="B85" s="861"/>
      <c r="C85" s="24" t="str">
        <f>Costs!C87</f>
        <v>Establishment (Start-up costs)</v>
      </c>
      <c r="D85" s="8" t="str">
        <f t="shared" si="41"/>
        <v>USD</v>
      </c>
      <c r="E85" s="689">
        <f>Costs!F87</f>
        <v>0</v>
      </c>
      <c r="F85" s="861"/>
      <c r="G85" s="861"/>
      <c r="H85" s="861"/>
      <c r="I85" s="71">
        <f t="shared" ca="1" si="42"/>
        <v>0</v>
      </c>
      <c r="J85" s="697">
        <f ca="1">IF(EOMONTH(Enddatum,$E85+1)&lt;=J$5,0,IF(J$7&gt;$E85,OFFSET(Costs!J87,0,-$E85),0))</f>
        <v>0</v>
      </c>
      <c r="K85" s="697">
        <f ca="1">IF(EOMONTH(Enddatum,$E85+1)&lt;=K$5,0,IF(K$7&gt;$E85,OFFSET(Costs!K87,0,-$E85),0))</f>
        <v>0</v>
      </c>
      <c r="L85" s="697">
        <f ca="1">IF(EOMONTH(Enddatum,$E85+1)&lt;=L$5,0,IF(L$7&gt;$E85,OFFSET(Costs!L87,0,-$E85),0))</f>
        <v>0</v>
      </c>
      <c r="M85" s="697">
        <f ca="1">IF(EOMONTH(Enddatum,$E85+1)&lt;=M$5,0,IF(M$7&gt;$E85,OFFSET(Costs!M87,0,-$E85),0))</f>
        <v>0</v>
      </c>
      <c r="N85" s="697">
        <f ca="1">IF(EOMONTH(Enddatum,$E85+1)&lt;=N$5,0,IF(N$7&gt;$E85,OFFSET(Costs!N87,0,-$E85),0))</f>
        <v>0</v>
      </c>
      <c r="O85" s="697">
        <f ca="1">IF(EOMONTH(Enddatum,$E85+1)&lt;=O$5,0,IF(O$7&gt;$E85,OFFSET(Costs!O87,0,-$E85),0))</f>
        <v>0</v>
      </c>
      <c r="P85" s="697">
        <f ca="1">IF(EOMONTH(Enddatum,$E85+1)&lt;=P$5,0,IF(P$7&gt;$E85,OFFSET(Costs!P87,0,-$E85),0))</f>
        <v>0</v>
      </c>
      <c r="Q85" s="697">
        <f ca="1">IF(EOMONTH(Enddatum,$E85+1)&lt;=Q$5,0,IF(Q$7&gt;$E85,OFFSET(Costs!Q87,0,-$E85),0))</f>
        <v>0</v>
      </c>
      <c r="R85" s="697">
        <f ca="1">IF(EOMONTH(Enddatum,$E85+1)&lt;=R$5,0,IF(R$7&gt;$E85,OFFSET(Costs!R87,0,-$E85),0))</f>
        <v>0</v>
      </c>
      <c r="S85" s="697">
        <f ca="1">IF(EOMONTH(Enddatum,$E85+1)&lt;=S$5,0,IF(S$7&gt;$E85,OFFSET(Costs!S87,0,-$E85),0))</f>
        <v>0</v>
      </c>
      <c r="T85" s="697">
        <f ca="1">IF(EOMONTH(Enddatum,$E85+1)&lt;=T$5,0,IF(T$7&gt;$E85,OFFSET(Costs!T87,0,-$E85),0))</f>
        <v>0</v>
      </c>
      <c r="U85" s="697">
        <f ca="1">IF(EOMONTH(Enddatum,$E85+1)&lt;=U$5,0,IF(U$7&gt;$E85,OFFSET(Costs!U87,0,-$E85),0))</f>
        <v>0</v>
      </c>
      <c r="V85" s="697">
        <f ca="1">IF(EOMONTH(Enddatum,$E85+1)&lt;=V$5,0,IF(V$7&gt;$E85,OFFSET(Costs!V87,0,-$E85),0))</f>
        <v>0</v>
      </c>
      <c r="W85" s="697">
        <f ca="1">IF(EOMONTH(Enddatum,$E85+1)&lt;=W$5,0,IF(W$7&gt;$E85,OFFSET(Costs!W87,0,-$E85),0))</f>
        <v>0</v>
      </c>
      <c r="X85" s="697">
        <f ca="1">IF(EOMONTH(Enddatum,$E85+1)&lt;=X$5,0,IF(X$7&gt;$E85,OFFSET(Costs!X87,0,-$E85),0))</f>
        <v>0</v>
      </c>
      <c r="Y85" s="697">
        <f ca="1">IF(EOMONTH(Enddatum,$E85+1)&lt;=Y$5,0,IF(Y$7&gt;$E85,OFFSET(Costs!Y87,0,-$E85),0))</f>
        <v>0</v>
      </c>
      <c r="Z85" s="697">
        <f ca="1">IF(EOMONTH(Enddatum,$E85+1)&lt;=Z$5,0,IF(Z$7&gt;$E85,OFFSET(Costs!Z87,0,-$E85),0))</f>
        <v>0</v>
      </c>
      <c r="AA85" s="697">
        <f ca="1">IF(EOMONTH(Enddatum,$E85+1)&lt;=AA$5,0,IF(AA$7&gt;$E85,OFFSET(Costs!AA87,0,-$E85),0))</f>
        <v>0</v>
      </c>
      <c r="AB85" s="697">
        <f ca="1">IF(EOMONTH(Enddatum,$E85+1)&lt;=AB$5,0,IF(AB$7&gt;$E85,OFFSET(Costs!AB87,0,-$E85),0))</f>
        <v>0</v>
      </c>
      <c r="AC85" s="697">
        <f ca="1">IF(EOMONTH(Enddatum,$E85+1)&lt;=AC$5,0,IF(AC$7&gt;$E85,OFFSET(Costs!AC87,0,-$E85),0))</f>
        <v>0</v>
      </c>
      <c r="AD85" s="697">
        <f ca="1">IF(EOMONTH(Enddatum,$E85+1)&lt;=AD$5,0,IF(AD$7&gt;$E85,OFFSET(Costs!AD87,0,-$E85),0))</f>
        <v>0</v>
      </c>
      <c r="AE85" s="697">
        <f ca="1">IF(EOMONTH(Enddatum,$E85+1)&lt;=AE$5,0,IF(AE$7&gt;$E85,OFFSET(Costs!AE87,0,-$E85),0))</f>
        <v>0</v>
      </c>
      <c r="AF85" s="697">
        <f ca="1">IF(EOMONTH(Enddatum,$E85+1)&lt;=AF$5,0,IF(AF$7&gt;$E85,OFFSET(Costs!AF87,0,-$E85),0))</f>
        <v>0</v>
      </c>
      <c r="AG85" s="697">
        <f ca="1">IF(EOMONTH(Enddatum,$E85+1)&lt;=AG$5,0,IF(AG$7&gt;$E85,OFFSET(Costs!AG87,0,-$E85),0))</f>
        <v>0</v>
      </c>
    </row>
    <row r="86" spans="1:33" s="878" customFormat="1" ht="16.5" customHeight="1" outlineLevel="2">
      <c r="A86" s="861"/>
      <c r="B86" s="861"/>
      <c r="C86" s="24" t="str">
        <f>Costs!C88</f>
        <v>Miscellaneous 01</v>
      </c>
      <c r="D86" s="8" t="str">
        <f t="shared" si="41"/>
        <v>USD</v>
      </c>
      <c r="E86" s="689">
        <f>Costs!F88</f>
        <v>0</v>
      </c>
      <c r="F86" s="861"/>
      <c r="G86" s="861"/>
      <c r="H86" s="861"/>
      <c r="I86" s="71">
        <f t="shared" ca="1" si="42"/>
        <v>0</v>
      </c>
      <c r="J86" s="697">
        <f ca="1">IF(EOMONTH(Enddatum,$E86+1)&lt;=J$5,0,IF(J$7&gt;$E86,OFFSET(Costs!J88,0,-$E86),0))</f>
        <v>0</v>
      </c>
      <c r="K86" s="697">
        <f ca="1">IF(EOMONTH(Enddatum,$E86+1)&lt;=K$5,0,IF(K$7&gt;$E86,OFFSET(Costs!K88,0,-$E86),0))</f>
        <v>0</v>
      </c>
      <c r="L86" s="697">
        <f ca="1">IF(EOMONTH(Enddatum,$E86+1)&lt;=L$5,0,IF(L$7&gt;$E86,OFFSET(Costs!L88,0,-$E86),0))</f>
        <v>0</v>
      </c>
      <c r="M86" s="697">
        <f ca="1">IF(EOMONTH(Enddatum,$E86+1)&lt;=M$5,0,IF(M$7&gt;$E86,OFFSET(Costs!M88,0,-$E86),0))</f>
        <v>0</v>
      </c>
      <c r="N86" s="697">
        <f ca="1">IF(EOMONTH(Enddatum,$E86+1)&lt;=N$5,0,IF(N$7&gt;$E86,OFFSET(Costs!N88,0,-$E86),0))</f>
        <v>0</v>
      </c>
      <c r="O86" s="697">
        <f ca="1">IF(EOMONTH(Enddatum,$E86+1)&lt;=O$5,0,IF(O$7&gt;$E86,OFFSET(Costs!O88,0,-$E86),0))</f>
        <v>0</v>
      </c>
      <c r="P86" s="697">
        <f ca="1">IF(EOMONTH(Enddatum,$E86+1)&lt;=P$5,0,IF(P$7&gt;$E86,OFFSET(Costs!P88,0,-$E86),0))</f>
        <v>0</v>
      </c>
      <c r="Q86" s="697">
        <f ca="1">IF(EOMONTH(Enddatum,$E86+1)&lt;=Q$5,0,IF(Q$7&gt;$E86,OFFSET(Costs!Q88,0,-$E86),0))</f>
        <v>0</v>
      </c>
      <c r="R86" s="697">
        <f ca="1">IF(EOMONTH(Enddatum,$E86+1)&lt;=R$5,0,IF(R$7&gt;$E86,OFFSET(Costs!R88,0,-$E86),0))</f>
        <v>0</v>
      </c>
      <c r="S86" s="697">
        <f ca="1">IF(EOMONTH(Enddatum,$E86+1)&lt;=S$5,0,IF(S$7&gt;$E86,OFFSET(Costs!S88,0,-$E86),0))</f>
        <v>0</v>
      </c>
      <c r="T86" s="697">
        <f ca="1">IF(EOMONTH(Enddatum,$E86+1)&lt;=T$5,0,IF(T$7&gt;$E86,OFFSET(Costs!T88,0,-$E86),0))</f>
        <v>0</v>
      </c>
      <c r="U86" s="697">
        <f ca="1">IF(EOMONTH(Enddatum,$E86+1)&lt;=U$5,0,IF(U$7&gt;$E86,OFFSET(Costs!U88,0,-$E86),0))</f>
        <v>0</v>
      </c>
      <c r="V86" s="697">
        <f ca="1">IF(EOMONTH(Enddatum,$E86+1)&lt;=V$5,0,IF(V$7&gt;$E86,OFFSET(Costs!V88,0,-$E86),0))</f>
        <v>0</v>
      </c>
      <c r="W86" s="697">
        <f ca="1">IF(EOMONTH(Enddatum,$E86+1)&lt;=W$5,0,IF(W$7&gt;$E86,OFFSET(Costs!W88,0,-$E86),0))</f>
        <v>0</v>
      </c>
      <c r="X86" s="697">
        <f ca="1">IF(EOMONTH(Enddatum,$E86+1)&lt;=X$5,0,IF(X$7&gt;$E86,OFFSET(Costs!X88,0,-$E86),0))</f>
        <v>0</v>
      </c>
      <c r="Y86" s="697">
        <f ca="1">IF(EOMONTH(Enddatum,$E86+1)&lt;=Y$5,0,IF(Y$7&gt;$E86,OFFSET(Costs!Y88,0,-$E86),0))</f>
        <v>0</v>
      </c>
      <c r="Z86" s="697">
        <f ca="1">IF(EOMONTH(Enddatum,$E86+1)&lt;=Z$5,0,IF(Z$7&gt;$E86,OFFSET(Costs!Z88,0,-$E86),0))</f>
        <v>0</v>
      </c>
      <c r="AA86" s="697">
        <f ca="1">IF(EOMONTH(Enddatum,$E86+1)&lt;=AA$5,0,IF(AA$7&gt;$E86,OFFSET(Costs!AA88,0,-$E86),0))</f>
        <v>0</v>
      </c>
      <c r="AB86" s="697">
        <f ca="1">IF(EOMONTH(Enddatum,$E86+1)&lt;=AB$5,0,IF(AB$7&gt;$E86,OFFSET(Costs!AB88,0,-$E86),0))</f>
        <v>0</v>
      </c>
      <c r="AC86" s="697">
        <f ca="1">IF(EOMONTH(Enddatum,$E86+1)&lt;=AC$5,0,IF(AC$7&gt;$E86,OFFSET(Costs!AC88,0,-$E86),0))</f>
        <v>0</v>
      </c>
      <c r="AD86" s="697">
        <f ca="1">IF(EOMONTH(Enddatum,$E86+1)&lt;=AD$5,0,IF(AD$7&gt;$E86,OFFSET(Costs!AD88,0,-$E86),0))</f>
        <v>0</v>
      </c>
      <c r="AE86" s="697">
        <f ca="1">IF(EOMONTH(Enddatum,$E86+1)&lt;=AE$5,0,IF(AE$7&gt;$E86,OFFSET(Costs!AE88,0,-$E86),0))</f>
        <v>0</v>
      </c>
      <c r="AF86" s="697">
        <f ca="1">IF(EOMONTH(Enddatum,$E86+1)&lt;=AF$5,0,IF(AF$7&gt;$E86,OFFSET(Costs!AF88,0,-$E86),0))</f>
        <v>0</v>
      </c>
      <c r="AG86" s="697">
        <f ca="1">IF(EOMONTH(Enddatum,$E86+1)&lt;=AG$5,0,IF(AG$7&gt;$E86,OFFSET(Costs!AG88,0,-$E86),0))</f>
        <v>0</v>
      </c>
    </row>
    <row r="87" spans="1:33" s="878" customFormat="1" ht="16.5" customHeight="1" outlineLevel="2" thickBot="1">
      <c r="A87" s="861"/>
      <c r="B87" s="282"/>
      <c r="C87" s="120" t="s">
        <v>269</v>
      </c>
      <c r="D87" s="8" t="str">
        <f t="shared" ref="D87" si="43">Currency_Label</f>
        <v>USD</v>
      </c>
      <c r="E87" s="8"/>
      <c r="F87" s="8"/>
      <c r="G87" s="8"/>
      <c r="H87" s="8"/>
      <c r="I87" s="71">
        <f t="shared" ca="1" si="42"/>
        <v>217558.81343166128</v>
      </c>
      <c r="J87" s="509">
        <f t="shared" ref="J87:AG87" ca="1" si="44">SUM(J49:J86)</f>
        <v>750</v>
      </c>
      <c r="K87" s="509">
        <f t="shared" ca="1" si="44"/>
        <v>5080</v>
      </c>
      <c r="L87" s="509">
        <f t="shared" ca="1" si="44"/>
        <v>7960</v>
      </c>
      <c r="M87" s="509">
        <f t="shared" ca="1" si="44"/>
        <v>11840</v>
      </c>
      <c r="N87" s="509">
        <f t="shared" ca="1" si="44"/>
        <v>15248.15</v>
      </c>
      <c r="O87" s="509">
        <f t="shared" ca="1" si="44"/>
        <v>8308.1715000000004</v>
      </c>
      <c r="P87" s="509">
        <f t="shared" ca="1" si="44"/>
        <v>9870.1348150000013</v>
      </c>
      <c r="Q87" s="509">
        <f t="shared" ca="1" si="44"/>
        <v>8534.1130271500006</v>
      </c>
      <c r="R87" s="509">
        <f t="shared" ca="1" si="44"/>
        <v>7550.1820959815004</v>
      </c>
      <c r="S87" s="509">
        <f t="shared" ca="1" si="44"/>
        <v>7618.420973043716</v>
      </c>
      <c r="T87" s="509">
        <f t="shared" ca="1" si="44"/>
        <v>7688.9117211206485</v>
      </c>
      <c r="U87" s="509">
        <f t="shared" ca="1" si="44"/>
        <v>9261.7396382122115</v>
      </c>
      <c r="V87" s="509">
        <f t="shared" ca="1" si="44"/>
        <v>7836.9933864699033</v>
      </c>
      <c r="W87" s="509">
        <f t="shared" ca="1" si="44"/>
        <v>9964.7651262851959</v>
      </c>
      <c r="X87" s="509">
        <f t="shared" ca="1" si="44"/>
        <v>7995.1506557366638</v>
      </c>
      <c r="Y87" s="509">
        <f t="shared" ca="1" si="44"/>
        <v>10578.249555610193</v>
      </c>
      <c r="Z87" s="509">
        <f t="shared" ca="1" si="44"/>
        <v>9664.1653402151023</v>
      </c>
      <c r="AA87" s="509">
        <f t="shared" ca="1" si="44"/>
        <v>9553.0056142280118</v>
      </c>
      <c r="AB87" s="509">
        <f t="shared" ca="1" si="44"/>
        <v>15644.882235805482</v>
      </c>
      <c r="AC87" s="509">
        <f t="shared" ca="1" si="44"/>
        <v>10739.911486216137</v>
      </c>
      <c r="AD87" s="509">
        <f t="shared" ca="1" si="44"/>
        <v>11888.214246252999</v>
      </c>
      <c r="AE87" s="509">
        <f t="shared" ca="1" si="44"/>
        <v>12439.91617969722</v>
      </c>
      <c r="AF87" s="509">
        <f t="shared" ca="1" si="44"/>
        <v>9495.1479241151501</v>
      </c>
      <c r="AG87" s="509">
        <f t="shared" ca="1" si="44"/>
        <v>2048.5879105211698</v>
      </c>
    </row>
    <row r="88" spans="1:33" s="878" customFormat="1" ht="16.5" customHeight="1" outlineLevel="2" thickTop="1">
      <c r="A88" s="861"/>
      <c r="B88" s="282"/>
      <c r="C88" s="268"/>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row>
    <row r="89" spans="1:33" s="878" customFormat="1" ht="16.5" customHeight="1" outlineLevel="2">
      <c r="A89" s="861"/>
      <c r="B89" s="861"/>
      <c r="C89" s="632" t="str">
        <f>CHOOSE(language,"Phasing out of opening BS (Trade Creditors)","Phasing out of opening BS (Accounts Payables)")</f>
        <v>Phasing out of opening BS (Accounts Payables)</v>
      </c>
      <c r="D89" s="8" t="str">
        <f t="shared" ref="D89" si="45">Currency_Label</f>
        <v>USD</v>
      </c>
      <c r="E89" s="144">
        <f>Inputs!F273</f>
        <v>6000</v>
      </c>
      <c r="F89" s="673">
        <f>Inputs!J273</f>
        <v>2</v>
      </c>
      <c r="G89" s="632" t="s">
        <v>409</v>
      </c>
      <c r="H89" s="199"/>
      <c r="I89" s="71">
        <f>SUM(J89:AG89)</f>
        <v>6000</v>
      </c>
      <c r="J89" s="697">
        <f>IF(J$7=1,$E89/$F89,IF(SUM(I89:$J89)&gt;=$E89,0,$E89/$F89))</f>
        <v>3000</v>
      </c>
      <c r="K89" s="697">
        <f>IF(K$7=1,$E89/$F89,IF(SUM(J89:$J89)&gt;=$E89,0,$E89/$F89))</f>
        <v>3000</v>
      </c>
      <c r="L89" s="697">
        <f>IF(L$7=1,$E89/$F89,IF(SUM($J89:K89)&gt;=$E89,0,$E89/$F89))</f>
        <v>0</v>
      </c>
      <c r="M89" s="697">
        <f>IF(M$7=1,$E89/$F89,IF(SUM($J89:L89)&gt;=$E89,0,$E89/$F89))</f>
        <v>0</v>
      </c>
      <c r="N89" s="697">
        <f>IF(N$7=1,$E89/$F89,IF(SUM($J89:M89)&gt;=$E89,0,$E89/$F89))</f>
        <v>0</v>
      </c>
      <c r="O89" s="697">
        <f>IF(O$7=1,$E89/$F89,IF(SUM($J89:N89)&gt;=$E89,0,$E89/$F89))</f>
        <v>0</v>
      </c>
      <c r="P89" s="697">
        <f>IF(P$7=1,$E89/$F89,IF(SUM($J89:O89)&gt;=$E89,0,$E89/$F89))</f>
        <v>0</v>
      </c>
      <c r="Q89" s="697">
        <f>IF(Q$7=1,$E89/$F89,IF(SUM($J89:P89)&gt;=$E89,0,$E89/$F89))</f>
        <v>0</v>
      </c>
      <c r="R89" s="697">
        <f>IF(R$7=1,$E89/$F89,IF(SUM($J89:Q89)&gt;=$E89,0,$E89/$F89))</f>
        <v>0</v>
      </c>
      <c r="S89" s="697">
        <f>IF(S$7=1,$E89/$F89,IF(SUM($J89:R89)&gt;=$E89,0,$E89/$F89))</f>
        <v>0</v>
      </c>
      <c r="T89" s="697">
        <f>IF(T$7=1,$E89/$F89,IF(SUM($J89:S89)&gt;=$E89,0,$E89/$F89))</f>
        <v>0</v>
      </c>
      <c r="U89" s="697">
        <f>IF(U$7=1,$E89/$F89,IF(SUM($J89:T89)&gt;=$E89,0,$E89/$F89))</f>
        <v>0</v>
      </c>
      <c r="V89" s="697">
        <f>IF(V$7=1,$E89/$F89,IF(SUM($J89:U89)&gt;=$E89,0,$E89/$F89))</f>
        <v>0</v>
      </c>
      <c r="W89" s="697">
        <f>IF(W$7=1,$E89/$F89,IF(SUM($J89:V89)&gt;=$E89,0,$E89/$F89))</f>
        <v>0</v>
      </c>
      <c r="X89" s="697">
        <f>IF(X$7=1,$E89/$F89,IF(SUM($J89:W89)&gt;=$E89,0,$E89/$F89))</f>
        <v>0</v>
      </c>
      <c r="Y89" s="697">
        <f>IF(Y$7=1,$E89/$F89,IF(SUM($J89:X89)&gt;=$E89,0,$E89/$F89))</f>
        <v>0</v>
      </c>
      <c r="Z89" s="697">
        <f>IF(Z$7=1,$E89/$F89,IF(SUM($J89:Y89)&gt;=$E89,0,$E89/$F89))</f>
        <v>0</v>
      </c>
      <c r="AA89" s="697">
        <f>IF(AA$7=1,$E89/$F89,IF(SUM($J89:Z89)&gt;=$E89,0,$E89/$F89))</f>
        <v>0</v>
      </c>
      <c r="AB89" s="697">
        <f>IF(AB$7=1,$E89/$F89,IF(SUM($J89:AA89)&gt;=$E89,0,$E89/$F89))</f>
        <v>0</v>
      </c>
      <c r="AC89" s="697">
        <f>IF(AC$7=1,$E89/$F89,IF(SUM($J89:AB89)&gt;=$E89,0,$E89/$F89))</f>
        <v>0</v>
      </c>
      <c r="AD89" s="697">
        <f>IF(AD$7=1,$E89/$F89,IF(SUM($J89:AC89)&gt;=$E89,0,$E89/$F89))</f>
        <v>0</v>
      </c>
      <c r="AE89" s="697">
        <f>IF(AE$7=1,$E89/$F89,IF(SUM($J89:AD89)&gt;=$E89,0,$E89/$F89))</f>
        <v>0</v>
      </c>
      <c r="AF89" s="697">
        <f>IF(AF$7=1,$E89/$F89,IF(SUM($J89:AE89)&gt;=$E89,0,$E89/$F89))</f>
        <v>0</v>
      </c>
      <c r="AG89" s="697">
        <f>IF(AG$7=1,$E89/$F89,IF(SUM($J89:AF89)&gt;=$E89,0,$E89/$F89))</f>
        <v>0</v>
      </c>
    </row>
    <row r="90" spans="1:33" s="878" customFormat="1" ht="16.5" customHeight="1" outlineLevel="2">
      <c r="A90" s="861"/>
      <c r="B90" s="861"/>
      <c r="C90" s="268"/>
      <c r="D90" s="861"/>
      <c r="E90" s="861"/>
      <c r="F90" s="861"/>
      <c r="G90" s="861"/>
      <c r="H90" s="861"/>
      <c r="I90" s="861"/>
      <c r="J90" s="861"/>
      <c r="K90" s="861"/>
      <c r="L90" s="861"/>
      <c r="M90" s="861"/>
      <c r="N90" s="861"/>
      <c r="O90" s="861"/>
      <c r="P90" s="861"/>
      <c r="Q90" s="861"/>
      <c r="R90" s="861"/>
      <c r="S90" s="861"/>
      <c r="T90" s="861"/>
      <c r="U90" s="861"/>
      <c r="V90" s="861"/>
      <c r="W90" s="861"/>
      <c r="X90" s="861"/>
      <c r="Y90" s="861"/>
      <c r="Z90" s="861"/>
      <c r="AA90" s="861"/>
      <c r="AB90" s="861"/>
      <c r="AC90" s="861"/>
      <c r="AD90" s="861"/>
      <c r="AE90" s="861"/>
      <c r="AF90" s="861"/>
      <c r="AG90" s="861"/>
    </row>
    <row r="91" spans="1:33" s="878" customFormat="1" ht="16.5" customHeight="1" outlineLevel="2">
      <c r="A91" s="861"/>
      <c r="B91" s="282"/>
      <c r="C91" s="320" t="str">
        <f>CHOOSE(language,"BS Account: Trade Creditors","BS Account: Accounts Payables")</f>
        <v>BS Account: Accounts Payables</v>
      </c>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row>
    <row r="92" spans="1:33" s="878" customFormat="1" ht="16.5" customHeight="1" outlineLevel="2">
      <c r="A92" s="861"/>
      <c r="B92" s="282"/>
      <c r="C92" s="632" t="s">
        <v>140</v>
      </c>
      <c r="D92" s="8" t="str">
        <f>Currency_Label</f>
        <v>USD</v>
      </c>
      <c r="E92" s="40"/>
      <c r="F92" s="40"/>
      <c r="G92" s="40"/>
      <c r="H92" s="40"/>
      <c r="I92" s="121"/>
      <c r="J92" s="695">
        <f t="shared" ref="J92" si="46">I95</f>
        <v>6000</v>
      </c>
      <c r="K92" s="695">
        <f t="shared" ref="K92:AG92" ca="1" si="47">J95</f>
        <v>9780</v>
      </c>
      <c r="L92" s="695">
        <f t="shared" ca="1" si="47"/>
        <v>10825</v>
      </c>
      <c r="M92" s="695">
        <f t="shared" ca="1" si="47"/>
        <v>18070.149999999998</v>
      </c>
      <c r="N92" s="695">
        <f t="shared" ca="1" si="47"/>
        <v>16993.601499999997</v>
      </c>
      <c r="O92" s="695">
        <f t="shared" ca="1" si="47"/>
        <v>11569.077514999999</v>
      </c>
      <c r="P92" s="695">
        <f t="shared" ca="1" si="47"/>
        <v>11746.649890150002</v>
      </c>
      <c r="Q92" s="695">
        <f t="shared" ca="1" si="47"/>
        <v>9376.3932530515049</v>
      </c>
      <c r="R92" s="695">
        <f t="shared" ca="1" si="47"/>
        <v>8408.3851241420198</v>
      </c>
      <c r="S92" s="695">
        <f t="shared" ca="1" si="47"/>
        <v>8492.7060314858354</v>
      </c>
      <c r="T92" s="695">
        <f t="shared" ca="1" si="47"/>
        <v>10079.439630147192</v>
      </c>
      <c r="U92" s="695">
        <f t="shared" ca="1" si="47"/>
        <v>10168.672826329019</v>
      </c>
      <c r="V92" s="695">
        <f t="shared" ca="1" si="47"/>
        <v>10810.495906467879</v>
      </c>
      <c r="W92" s="695">
        <f t="shared" ca="1" si="47"/>
        <v>10905.002671483157</v>
      </c>
      <c r="X92" s="695">
        <f t="shared" ca="1" si="47"/>
        <v>8952.2905763866056</v>
      </c>
      <c r="Y92" s="695">
        <f t="shared" ca="1" si="47"/>
        <v>10552.460875466637</v>
      </c>
      <c r="Z92" s="695">
        <f t="shared" ca="1" si="47"/>
        <v>10655.618773270111</v>
      </c>
      <c r="AA92" s="695">
        <f t="shared" ca="1" si="47"/>
        <v>16561.873581613574</v>
      </c>
      <c r="AB92" s="695">
        <f t="shared" ca="1" si="47"/>
        <v>17671.3388828649</v>
      </c>
      <c r="AC92" s="695">
        <f t="shared" ca="1" si="47"/>
        <v>13834.132699746147</v>
      </c>
      <c r="AD92" s="695">
        <f t="shared" ca="1" si="47"/>
        <v>15450.377671918312</v>
      </c>
      <c r="AE92" s="695">
        <f t="shared" ca="1" si="47"/>
        <v>13720.201239619179</v>
      </c>
      <c r="AF92" s="695">
        <f t="shared" ca="1" si="47"/>
        <v>11543.73583463632</v>
      </c>
      <c r="AG92" s="695">
        <f t="shared" ca="1" si="47"/>
        <v>2048.5879105211698</v>
      </c>
    </row>
    <row r="93" spans="1:33" s="878" customFormat="1" ht="16.5" customHeight="1" outlineLevel="2">
      <c r="A93" s="861"/>
      <c r="B93" s="282"/>
      <c r="C93" s="92" t="s">
        <v>209</v>
      </c>
      <c r="D93" s="8" t="str">
        <f>Currency_Label</f>
        <v>USD</v>
      </c>
      <c r="E93" s="40"/>
      <c r="F93" s="40"/>
      <c r="G93" s="40"/>
      <c r="H93" s="40"/>
      <c r="I93" s="71">
        <f ca="1">SUM(J93:AG93)</f>
        <v>217558.81343166128</v>
      </c>
      <c r="J93" s="695">
        <f ca="1">Costs!J94</f>
        <v>7529.9999999999991</v>
      </c>
      <c r="K93" s="695">
        <f ca="1">Costs!K94</f>
        <v>9125</v>
      </c>
      <c r="L93" s="695">
        <f ca="1">Costs!L94</f>
        <v>15205.149999999998</v>
      </c>
      <c r="M93" s="695">
        <f ca="1">Costs!M94</f>
        <v>10763.451499999999</v>
      </c>
      <c r="N93" s="695">
        <f ca="1">Costs!N94</f>
        <v>9823.6260150000016</v>
      </c>
      <c r="O93" s="695">
        <f ca="1">Costs!O94</f>
        <v>8485.7438751500031</v>
      </c>
      <c r="P93" s="695">
        <f ca="1">Costs!P94</f>
        <v>7499.8781779015062</v>
      </c>
      <c r="Q93" s="695">
        <f ca="1">Costs!Q94</f>
        <v>7566.1048982405155</v>
      </c>
      <c r="R93" s="695">
        <f ca="1">Costs!R94</f>
        <v>7634.503003325317</v>
      </c>
      <c r="S93" s="695">
        <f ca="1">Costs!S94</f>
        <v>9205.1545717050703</v>
      </c>
      <c r="T93" s="695">
        <f ca="1">Costs!T94</f>
        <v>7778.1449173024776</v>
      </c>
      <c r="U93" s="695">
        <f ca="1">Costs!U94</f>
        <v>9903.5627183510715</v>
      </c>
      <c r="V93" s="695">
        <f ca="1">Costs!V94</f>
        <v>7931.500151485181</v>
      </c>
      <c r="W93" s="695">
        <f ca="1">Costs!W94</f>
        <v>8012.0530311886469</v>
      </c>
      <c r="X93" s="695">
        <f ca="1">Costs!X94</f>
        <v>9595.3209548166924</v>
      </c>
      <c r="Y93" s="695">
        <f ca="1">Costs!Y94</f>
        <v>10681.407453413667</v>
      </c>
      <c r="Z93" s="695">
        <f ca="1">Costs!Z94</f>
        <v>15570.420148558565</v>
      </c>
      <c r="AA93" s="695">
        <f ca="1">Costs!AA94</f>
        <v>10662.470915479338</v>
      </c>
      <c r="AB93" s="695">
        <f ca="1">Costs!AB94</f>
        <v>11807.676052686729</v>
      </c>
      <c r="AC93" s="695">
        <f ca="1">Costs!AC94</f>
        <v>12356.156458388301</v>
      </c>
      <c r="AD93" s="695">
        <f ca="1">Costs!AD94</f>
        <v>10158.037813953866</v>
      </c>
      <c r="AE93" s="695">
        <f ca="1">Costs!AE94</f>
        <v>10263.450774714362</v>
      </c>
      <c r="AF93" s="695">
        <f ca="1">Costs!AF94</f>
        <v>0</v>
      </c>
      <c r="AG93" s="695">
        <f ca="1">Costs!AG94</f>
        <v>0</v>
      </c>
    </row>
    <row r="94" spans="1:33" s="878" customFormat="1" ht="16.5" customHeight="1" outlineLevel="2">
      <c r="A94" s="861"/>
      <c r="B94" s="282"/>
      <c r="C94" s="24" t="s">
        <v>600</v>
      </c>
      <c r="D94" s="8" t="str">
        <f>Currency_Label</f>
        <v>USD</v>
      </c>
      <c r="E94" s="40"/>
      <c r="F94" s="40"/>
      <c r="G94" s="40"/>
      <c r="H94" s="40"/>
      <c r="I94" s="71">
        <f ca="1">SUM(J94:AG94)</f>
        <v>-223558.81343166128</v>
      </c>
      <c r="J94" s="697">
        <f ca="1">-(J87+J89)</f>
        <v>-3750</v>
      </c>
      <c r="K94" s="697">
        <f t="shared" ref="K94:AG94" ca="1" si="48">-(K87+K89)</f>
        <v>-8080</v>
      </c>
      <c r="L94" s="697">
        <f t="shared" ca="1" si="48"/>
        <v>-7960</v>
      </c>
      <c r="M94" s="697">
        <f t="shared" ca="1" si="48"/>
        <v>-11840</v>
      </c>
      <c r="N94" s="697">
        <f t="shared" ca="1" si="48"/>
        <v>-15248.15</v>
      </c>
      <c r="O94" s="697">
        <f t="shared" ca="1" si="48"/>
        <v>-8308.1715000000004</v>
      </c>
      <c r="P94" s="697">
        <f t="shared" ca="1" si="48"/>
        <v>-9870.1348150000013</v>
      </c>
      <c r="Q94" s="697">
        <f t="shared" ca="1" si="48"/>
        <v>-8534.1130271500006</v>
      </c>
      <c r="R94" s="697">
        <f t="shared" ca="1" si="48"/>
        <v>-7550.1820959815004</v>
      </c>
      <c r="S94" s="697">
        <f t="shared" ca="1" si="48"/>
        <v>-7618.420973043716</v>
      </c>
      <c r="T94" s="697">
        <f t="shared" ca="1" si="48"/>
        <v>-7688.9117211206485</v>
      </c>
      <c r="U94" s="697">
        <f t="shared" ca="1" si="48"/>
        <v>-9261.7396382122115</v>
      </c>
      <c r="V94" s="697">
        <f t="shared" ca="1" si="48"/>
        <v>-7836.9933864699033</v>
      </c>
      <c r="W94" s="697">
        <f t="shared" ca="1" si="48"/>
        <v>-9964.7651262851959</v>
      </c>
      <c r="X94" s="697">
        <f t="shared" ca="1" si="48"/>
        <v>-7995.1506557366638</v>
      </c>
      <c r="Y94" s="697">
        <f t="shared" ca="1" si="48"/>
        <v>-10578.249555610193</v>
      </c>
      <c r="Z94" s="697">
        <f t="shared" ca="1" si="48"/>
        <v>-9664.1653402151023</v>
      </c>
      <c r="AA94" s="697">
        <f t="shared" ca="1" si="48"/>
        <v>-9553.0056142280118</v>
      </c>
      <c r="AB94" s="697">
        <f t="shared" ca="1" si="48"/>
        <v>-15644.882235805482</v>
      </c>
      <c r="AC94" s="697">
        <f t="shared" ca="1" si="48"/>
        <v>-10739.911486216137</v>
      </c>
      <c r="AD94" s="697">
        <f t="shared" ca="1" si="48"/>
        <v>-11888.214246252999</v>
      </c>
      <c r="AE94" s="697">
        <f t="shared" ca="1" si="48"/>
        <v>-12439.91617969722</v>
      </c>
      <c r="AF94" s="697">
        <f t="shared" ca="1" si="48"/>
        <v>-9495.1479241151501</v>
      </c>
      <c r="AG94" s="697">
        <f t="shared" ca="1" si="48"/>
        <v>-2048.5879105211698</v>
      </c>
    </row>
    <row r="95" spans="1:33" s="878" customFormat="1" ht="16.5" customHeight="1" outlineLevel="2" thickBot="1">
      <c r="A95" s="861"/>
      <c r="B95" s="282"/>
      <c r="C95" s="632" t="s">
        <v>141</v>
      </c>
      <c r="D95" s="8" t="str">
        <f>Currency_Label</f>
        <v>USD</v>
      </c>
      <c r="E95" s="675" t="s">
        <v>204</v>
      </c>
      <c r="F95" s="668">
        <f ca="1">ROUND(SUM(I93:I94)+I95,4)</f>
        <v>0</v>
      </c>
      <c r="G95" s="40"/>
      <c r="H95" s="675" t="s">
        <v>210</v>
      </c>
      <c r="I95" s="144">
        <f>Inputs!F273</f>
        <v>6000</v>
      </c>
      <c r="J95" s="509">
        <f t="shared" ref="J95:AG95" ca="1" si="49">IF(ABS(SUM(J92:J94))&lt;0.001,0,SUM(J92:J94))</f>
        <v>9780</v>
      </c>
      <c r="K95" s="509">
        <f t="shared" ca="1" si="49"/>
        <v>10825</v>
      </c>
      <c r="L95" s="509">
        <f t="shared" ca="1" si="49"/>
        <v>18070.149999999998</v>
      </c>
      <c r="M95" s="509">
        <f t="shared" ca="1" si="49"/>
        <v>16993.601499999997</v>
      </c>
      <c r="N95" s="509">
        <f t="shared" ca="1" si="49"/>
        <v>11569.077514999999</v>
      </c>
      <c r="O95" s="509">
        <f t="shared" ca="1" si="49"/>
        <v>11746.649890150002</v>
      </c>
      <c r="P95" s="509">
        <f t="shared" ca="1" si="49"/>
        <v>9376.3932530515049</v>
      </c>
      <c r="Q95" s="509">
        <f t="shared" ca="1" si="49"/>
        <v>8408.3851241420198</v>
      </c>
      <c r="R95" s="509">
        <f t="shared" ca="1" si="49"/>
        <v>8492.7060314858354</v>
      </c>
      <c r="S95" s="509">
        <f t="shared" ca="1" si="49"/>
        <v>10079.439630147192</v>
      </c>
      <c r="T95" s="509">
        <f t="shared" ca="1" si="49"/>
        <v>10168.672826329019</v>
      </c>
      <c r="U95" s="509">
        <f t="shared" ca="1" si="49"/>
        <v>10810.495906467879</v>
      </c>
      <c r="V95" s="509">
        <f t="shared" ca="1" si="49"/>
        <v>10905.002671483157</v>
      </c>
      <c r="W95" s="509">
        <f t="shared" ca="1" si="49"/>
        <v>8952.2905763866056</v>
      </c>
      <c r="X95" s="509">
        <f t="shared" ca="1" si="49"/>
        <v>10552.460875466637</v>
      </c>
      <c r="Y95" s="509">
        <f t="shared" ca="1" si="49"/>
        <v>10655.618773270111</v>
      </c>
      <c r="Z95" s="509">
        <f t="shared" ca="1" si="49"/>
        <v>16561.873581613574</v>
      </c>
      <c r="AA95" s="509">
        <f t="shared" ca="1" si="49"/>
        <v>17671.3388828649</v>
      </c>
      <c r="AB95" s="509">
        <f t="shared" ca="1" si="49"/>
        <v>13834.132699746147</v>
      </c>
      <c r="AC95" s="509">
        <f t="shared" ca="1" si="49"/>
        <v>15450.377671918312</v>
      </c>
      <c r="AD95" s="509">
        <f t="shared" ca="1" si="49"/>
        <v>13720.201239619179</v>
      </c>
      <c r="AE95" s="509">
        <f t="shared" ca="1" si="49"/>
        <v>11543.73583463632</v>
      </c>
      <c r="AF95" s="509">
        <f t="shared" ca="1" si="49"/>
        <v>2048.5879105211698</v>
      </c>
      <c r="AG95" s="509">
        <f t="shared" ca="1" si="49"/>
        <v>0</v>
      </c>
    </row>
    <row r="96" spans="1:33" s="878" customFormat="1" ht="16.5" customHeight="1" outlineLevel="2" thickTop="1">
      <c r="A96" s="861"/>
      <c r="B96" s="282"/>
      <c r="C96" s="268"/>
      <c r="D96" s="282"/>
      <c r="E96" s="861"/>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row>
    <row r="97" spans="1:33" s="878" customFormat="1" ht="16.5" customHeight="1" outlineLevel="2">
      <c r="A97" s="861"/>
      <c r="B97" s="282"/>
      <c r="C97" s="268" t="str">
        <f>Name_VAT &amp;" payments (overheads)"</f>
        <v>VAT payments (overheads)</v>
      </c>
      <c r="D97" s="274"/>
      <c r="E97" s="282" t="s">
        <v>213</v>
      </c>
      <c r="F97" s="282"/>
      <c r="G97" s="517" t="str">
        <f>Name_VAT &amp; " Rate"</f>
        <v>VAT Rate</v>
      </c>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row>
    <row r="98" spans="1:33" s="878" customFormat="1" ht="16.5" customHeight="1" outlineLevel="2">
      <c r="A98" s="861"/>
      <c r="B98" s="282"/>
      <c r="C98" s="24" t="str">
        <f>Name_VAT &amp;" on overheads (on cash paid basis)"</f>
        <v>VAT on overheads (on cash paid basis)</v>
      </c>
      <c r="D98" s="8" t="str">
        <f t="shared" ref="D98" si="50">Currency_Label</f>
        <v>USD</v>
      </c>
      <c r="E98" s="84">
        <f>Inputs!F220</f>
        <v>1</v>
      </c>
      <c r="F98" s="333"/>
      <c r="G98" s="84">
        <f>Inputs!I220</f>
        <v>0.2</v>
      </c>
      <c r="H98" s="333"/>
      <c r="I98" s="71">
        <f ca="1">SUM(J98:AG98)</f>
        <v>43511.762686332266</v>
      </c>
      <c r="J98" s="79">
        <f t="shared" ref="J98:AG98" ca="1" si="51">$E98*$G98*MAX(0,J87)</f>
        <v>150</v>
      </c>
      <c r="K98" s="79">
        <f t="shared" ca="1" si="51"/>
        <v>1016</v>
      </c>
      <c r="L98" s="79">
        <f t="shared" ca="1" si="51"/>
        <v>1592</v>
      </c>
      <c r="M98" s="79">
        <f t="shared" ca="1" si="51"/>
        <v>2368</v>
      </c>
      <c r="N98" s="79">
        <f t="shared" ca="1" si="51"/>
        <v>3049.63</v>
      </c>
      <c r="O98" s="79">
        <f t="shared" ca="1" si="51"/>
        <v>1661.6343000000002</v>
      </c>
      <c r="P98" s="79">
        <f t="shared" ca="1" si="51"/>
        <v>1974.0269630000003</v>
      </c>
      <c r="Q98" s="79">
        <f t="shared" ca="1" si="51"/>
        <v>1706.8226054300003</v>
      </c>
      <c r="R98" s="79">
        <f t="shared" ca="1" si="51"/>
        <v>1510.0364191963001</v>
      </c>
      <c r="S98" s="79">
        <f t="shared" ca="1" si="51"/>
        <v>1523.6841946087434</v>
      </c>
      <c r="T98" s="79">
        <f t="shared" ca="1" si="51"/>
        <v>1537.7823442241297</v>
      </c>
      <c r="U98" s="79">
        <f t="shared" ca="1" si="51"/>
        <v>1852.3479276424423</v>
      </c>
      <c r="V98" s="79">
        <f t="shared" ca="1" si="51"/>
        <v>1567.3986772939807</v>
      </c>
      <c r="W98" s="79">
        <f t="shared" ca="1" si="51"/>
        <v>1992.9530252570394</v>
      </c>
      <c r="X98" s="79">
        <f t="shared" ca="1" si="51"/>
        <v>1599.0301311473329</v>
      </c>
      <c r="Y98" s="79">
        <f t="shared" ca="1" si="51"/>
        <v>2115.6499111220387</v>
      </c>
      <c r="Z98" s="79">
        <f t="shared" ca="1" si="51"/>
        <v>1932.8330680430206</v>
      </c>
      <c r="AA98" s="79">
        <f t="shared" ca="1" si="51"/>
        <v>1910.6011228456025</v>
      </c>
      <c r="AB98" s="79">
        <f t="shared" ca="1" si="51"/>
        <v>3128.9764471610965</v>
      </c>
      <c r="AC98" s="79">
        <f t="shared" ca="1" si="51"/>
        <v>2147.9822972432275</v>
      </c>
      <c r="AD98" s="79">
        <f t="shared" ca="1" si="51"/>
        <v>2377.6428492505997</v>
      </c>
      <c r="AE98" s="79">
        <f t="shared" ca="1" si="51"/>
        <v>2487.9832359394441</v>
      </c>
      <c r="AF98" s="79">
        <f t="shared" ca="1" si="51"/>
        <v>1899.0295848230301</v>
      </c>
      <c r="AG98" s="79">
        <f t="shared" ca="1" si="51"/>
        <v>409.717582104234</v>
      </c>
    </row>
    <row r="99" spans="1:33" s="878" customFormat="1" ht="16.5" customHeight="1" outlineLevel="2">
      <c r="A99" s="861"/>
      <c r="B99" s="274"/>
      <c r="C99" s="274"/>
      <c r="D99" s="270"/>
      <c r="E99" s="127"/>
      <c r="F99" s="127"/>
      <c r="G99" s="127"/>
      <c r="H99" s="127"/>
      <c r="I99" s="127"/>
      <c r="J99" s="127"/>
      <c r="K99" s="127"/>
      <c r="L99" s="127"/>
      <c r="M99" s="127"/>
      <c r="N99" s="127"/>
      <c r="O99" s="321"/>
      <c r="P99" s="321"/>
      <c r="Q99" s="321"/>
      <c r="R99" s="321"/>
      <c r="S99" s="321"/>
      <c r="T99" s="321"/>
      <c r="U99" s="321"/>
      <c r="V99" s="321"/>
      <c r="W99" s="321"/>
      <c r="X99" s="321"/>
      <c r="Y99" s="321"/>
      <c r="Z99" s="321"/>
      <c r="AA99" s="321"/>
      <c r="AB99" s="321"/>
      <c r="AC99" s="321"/>
      <c r="AD99" s="321"/>
      <c r="AE99" s="321"/>
      <c r="AF99" s="321"/>
      <c r="AG99" s="321"/>
    </row>
    <row r="100" spans="1:33" s="632" customFormat="1" ht="18" customHeight="1" outlineLevel="1">
      <c r="A100" s="861"/>
      <c r="B100" s="274">
        <v>2</v>
      </c>
      <c r="C100" s="274" t="s">
        <v>286</v>
      </c>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row>
    <row r="101" spans="1:33" s="632" customFormat="1" ht="18" customHeight="1" outlineLevel="2">
      <c r="A101" s="861"/>
      <c r="B101" s="274"/>
      <c r="C101" s="268" t="s">
        <v>249</v>
      </c>
      <c r="D101" s="330"/>
      <c r="E101" s="861"/>
      <c r="F101" s="1017" t="s">
        <v>957</v>
      </c>
      <c r="G101" s="861"/>
      <c r="H101" s="861"/>
      <c r="I101" s="502" t="s">
        <v>46</v>
      </c>
      <c r="J101" s="331"/>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row>
    <row r="102" spans="1:33" s="632" customFormat="1" ht="18" customHeight="1" outlineLevel="2">
      <c r="A102" s="861"/>
      <c r="B102" s="235"/>
      <c r="C102" s="40" t="str">
        <f>"Product/Service 1: "&amp;PS_01</f>
        <v>Product/Service 1: WonderApp</v>
      </c>
      <c r="D102" s="8" t="str">
        <f t="shared" ref="D102:D103" si="52">Currency_Label</f>
        <v>USD</v>
      </c>
      <c r="E102" s="990" t="s">
        <v>761</v>
      </c>
      <c r="F102" s="679">
        <f>IF(Inputs!G54=1,1,0)</f>
        <v>0</v>
      </c>
      <c r="G102" s="8"/>
      <c r="H102" s="8"/>
      <c r="I102" s="71">
        <f ca="1">SUM(J102:AG102)</f>
        <v>0</v>
      </c>
      <c r="J102" s="697">
        <f ca="1">'Offering 1'!J78</f>
        <v>0</v>
      </c>
      <c r="K102" s="697">
        <f ca="1">'Offering 1'!K78</f>
        <v>0</v>
      </c>
      <c r="L102" s="697">
        <f ca="1">'Offering 1'!L78</f>
        <v>0</v>
      </c>
      <c r="M102" s="697">
        <f ca="1">'Offering 1'!M78</f>
        <v>0</v>
      </c>
      <c r="N102" s="697">
        <f ca="1">'Offering 1'!N78</f>
        <v>0</v>
      </c>
      <c r="O102" s="697">
        <f ca="1">'Offering 1'!O78</f>
        <v>0</v>
      </c>
      <c r="P102" s="697">
        <f ca="1">'Offering 1'!P78</f>
        <v>0</v>
      </c>
      <c r="Q102" s="697">
        <f ca="1">'Offering 1'!Q78</f>
        <v>0</v>
      </c>
      <c r="R102" s="697">
        <f ca="1">'Offering 1'!R78</f>
        <v>0</v>
      </c>
      <c r="S102" s="697">
        <f ca="1">'Offering 1'!S78</f>
        <v>0</v>
      </c>
      <c r="T102" s="697">
        <f ca="1">'Offering 1'!T78</f>
        <v>0</v>
      </c>
      <c r="U102" s="697">
        <f ca="1">'Offering 1'!U78</f>
        <v>0</v>
      </c>
      <c r="V102" s="697">
        <f ca="1">'Offering 1'!V78</f>
        <v>0</v>
      </c>
      <c r="W102" s="697">
        <f ca="1">'Offering 1'!W78</f>
        <v>0</v>
      </c>
      <c r="X102" s="697">
        <f ca="1">'Offering 1'!X78</f>
        <v>0</v>
      </c>
      <c r="Y102" s="697">
        <f ca="1">'Offering 1'!Y78</f>
        <v>0</v>
      </c>
      <c r="Z102" s="697">
        <f ca="1">'Offering 1'!Z78</f>
        <v>0</v>
      </c>
      <c r="AA102" s="697">
        <f ca="1">'Offering 1'!AA78</f>
        <v>0</v>
      </c>
      <c r="AB102" s="697">
        <f ca="1">'Offering 1'!AB78</f>
        <v>0</v>
      </c>
      <c r="AC102" s="697">
        <f ca="1">'Offering 1'!AC78</f>
        <v>0</v>
      </c>
      <c r="AD102" s="697">
        <f ca="1">'Offering 1'!AD78</f>
        <v>0</v>
      </c>
      <c r="AE102" s="697">
        <f ca="1">'Offering 1'!AE78</f>
        <v>0</v>
      </c>
      <c r="AF102" s="697">
        <f ca="1">'Offering 1'!AF78</f>
        <v>0</v>
      </c>
      <c r="AG102" s="697">
        <f ca="1">'Offering 1'!AG78</f>
        <v>0</v>
      </c>
    </row>
    <row r="103" spans="1:33" s="632" customFormat="1" ht="18" customHeight="1" outlineLevel="2" thickBot="1">
      <c r="A103" s="861"/>
      <c r="B103" s="235"/>
      <c r="C103" s="120" t="s">
        <v>248</v>
      </c>
      <c r="D103" s="8" t="str">
        <f t="shared" si="52"/>
        <v>USD</v>
      </c>
      <c r="E103" s="8"/>
      <c r="F103" s="8"/>
      <c r="G103" s="8"/>
      <c r="H103" s="8"/>
      <c r="I103" s="71">
        <f ca="1">SUM(J103:AG103)</f>
        <v>0</v>
      </c>
      <c r="J103" s="509">
        <f t="shared" ref="J103:AG103" ca="1" si="53">SUM(J102:J102)</f>
        <v>0</v>
      </c>
      <c r="K103" s="509">
        <f t="shared" ca="1" si="53"/>
        <v>0</v>
      </c>
      <c r="L103" s="509">
        <f t="shared" ca="1" si="53"/>
        <v>0</v>
      </c>
      <c r="M103" s="509">
        <f t="shared" ca="1" si="53"/>
        <v>0</v>
      </c>
      <c r="N103" s="509">
        <f t="shared" ca="1" si="53"/>
        <v>0</v>
      </c>
      <c r="O103" s="509">
        <f t="shared" ca="1" si="53"/>
        <v>0</v>
      </c>
      <c r="P103" s="509">
        <f t="shared" ca="1" si="53"/>
        <v>0</v>
      </c>
      <c r="Q103" s="509">
        <f t="shared" ca="1" si="53"/>
        <v>0</v>
      </c>
      <c r="R103" s="509">
        <f t="shared" ca="1" si="53"/>
        <v>0</v>
      </c>
      <c r="S103" s="509">
        <f t="shared" ca="1" si="53"/>
        <v>0</v>
      </c>
      <c r="T103" s="509">
        <f t="shared" ca="1" si="53"/>
        <v>0</v>
      </c>
      <c r="U103" s="509">
        <f t="shared" ca="1" si="53"/>
        <v>0</v>
      </c>
      <c r="V103" s="509">
        <f t="shared" ca="1" si="53"/>
        <v>0</v>
      </c>
      <c r="W103" s="509">
        <f t="shared" ca="1" si="53"/>
        <v>0</v>
      </c>
      <c r="X103" s="509">
        <f t="shared" ca="1" si="53"/>
        <v>0</v>
      </c>
      <c r="Y103" s="509">
        <f t="shared" ca="1" si="53"/>
        <v>0</v>
      </c>
      <c r="Z103" s="509">
        <f t="shared" ca="1" si="53"/>
        <v>0</v>
      </c>
      <c r="AA103" s="509">
        <f t="shared" ca="1" si="53"/>
        <v>0</v>
      </c>
      <c r="AB103" s="509">
        <f t="shared" ca="1" si="53"/>
        <v>0</v>
      </c>
      <c r="AC103" s="509">
        <f t="shared" ca="1" si="53"/>
        <v>0</v>
      </c>
      <c r="AD103" s="509">
        <f t="shared" ca="1" si="53"/>
        <v>0</v>
      </c>
      <c r="AE103" s="509">
        <f t="shared" ca="1" si="53"/>
        <v>0</v>
      </c>
      <c r="AF103" s="509">
        <f t="shared" ca="1" si="53"/>
        <v>0</v>
      </c>
      <c r="AG103" s="509">
        <f t="shared" ca="1" si="53"/>
        <v>0</v>
      </c>
    </row>
    <row r="104" spans="1:33" s="632" customFormat="1" ht="18" customHeight="1" outlineLevel="2" thickTop="1">
      <c r="A104" s="861"/>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row>
    <row r="105" spans="1:33" s="632" customFormat="1" ht="18" customHeight="1" outlineLevel="2">
      <c r="A105" s="861"/>
      <c r="B105" s="235"/>
      <c r="C105" s="268" t="s">
        <v>247</v>
      </c>
      <c r="D105" s="235"/>
      <c r="E105" s="235"/>
      <c r="F105" s="235"/>
      <c r="G105" s="235"/>
      <c r="H105" s="235"/>
      <c r="I105" s="235"/>
      <c r="J105" s="282"/>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row>
    <row r="106" spans="1:33" s="632" customFormat="1" ht="18" customHeight="1" outlineLevel="2">
      <c r="A106" s="861"/>
      <c r="B106" s="235"/>
      <c r="C106" s="632" t="s">
        <v>140</v>
      </c>
      <c r="D106" s="8" t="str">
        <f>Currency_Label</f>
        <v>USD</v>
      </c>
      <c r="E106" s="40"/>
      <c r="F106" s="40"/>
      <c r="G106" s="40"/>
      <c r="H106" s="40"/>
      <c r="I106" s="121"/>
      <c r="J106" s="695">
        <f t="shared" ref="J106" si="54">I109</f>
        <v>0</v>
      </c>
      <c r="K106" s="695">
        <f t="shared" ref="K106:AG106" ca="1" si="55">J109</f>
        <v>0</v>
      </c>
      <c r="L106" s="695">
        <f t="shared" ca="1" si="55"/>
        <v>0</v>
      </c>
      <c r="M106" s="695">
        <f t="shared" ca="1" si="55"/>
        <v>0</v>
      </c>
      <c r="N106" s="695">
        <f t="shared" ca="1" si="55"/>
        <v>0</v>
      </c>
      <c r="O106" s="695">
        <f t="shared" ca="1" si="55"/>
        <v>0</v>
      </c>
      <c r="P106" s="695">
        <f t="shared" ca="1" si="55"/>
        <v>0</v>
      </c>
      <c r="Q106" s="695">
        <f t="shared" ca="1" si="55"/>
        <v>0</v>
      </c>
      <c r="R106" s="695">
        <f t="shared" ca="1" si="55"/>
        <v>0</v>
      </c>
      <c r="S106" s="695">
        <f t="shared" ca="1" si="55"/>
        <v>0</v>
      </c>
      <c r="T106" s="695">
        <f t="shared" ca="1" si="55"/>
        <v>0</v>
      </c>
      <c r="U106" s="695">
        <f t="shared" ca="1" si="55"/>
        <v>0</v>
      </c>
      <c r="V106" s="695">
        <f t="shared" ca="1" si="55"/>
        <v>0</v>
      </c>
      <c r="W106" s="695">
        <f t="shared" ca="1" si="55"/>
        <v>0</v>
      </c>
      <c r="X106" s="695">
        <f t="shared" ca="1" si="55"/>
        <v>0</v>
      </c>
      <c r="Y106" s="695">
        <f t="shared" ca="1" si="55"/>
        <v>0</v>
      </c>
      <c r="Z106" s="695">
        <f t="shared" ca="1" si="55"/>
        <v>0</v>
      </c>
      <c r="AA106" s="695">
        <f t="shared" ca="1" si="55"/>
        <v>0</v>
      </c>
      <c r="AB106" s="695">
        <f t="shared" ca="1" si="55"/>
        <v>0</v>
      </c>
      <c r="AC106" s="695">
        <f t="shared" ca="1" si="55"/>
        <v>0</v>
      </c>
      <c r="AD106" s="695">
        <f t="shared" ca="1" si="55"/>
        <v>0</v>
      </c>
      <c r="AE106" s="695">
        <f t="shared" ca="1" si="55"/>
        <v>0</v>
      </c>
      <c r="AF106" s="695">
        <f t="shared" ca="1" si="55"/>
        <v>0</v>
      </c>
      <c r="AG106" s="695">
        <f t="shared" ca="1" si="55"/>
        <v>0</v>
      </c>
    </row>
    <row r="107" spans="1:33" s="632" customFormat="1" ht="18" customHeight="1" outlineLevel="2">
      <c r="A107" s="861"/>
      <c r="B107" s="235"/>
      <c r="C107" s="92" t="s">
        <v>209</v>
      </c>
      <c r="D107" s="8" t="str">
        <f>Currency_Label</f>
        <v>USD</v>
      </c>
      <c r="E107" s="40"/>
      <c r="F107" s="40"/>
      <c r="G107" s="40"/>
      <c r="H107" s="40"/>
      <c r="I107" s="71">
        <f ca="1">SUM(J107:AG107)</f>
        <v>0</v>
      </c>
      <c r="J107" s="697">
        <f ca="1">'Offering 1'!J66+'Offering 2'!J66+'Offering 3'!J66+'Offering 4'!J66</f>
        <v>0</v>
      </c>
      <c r="K107" s="697">
        <f ca="1">'Offering 1'!K66+'Offering 2'!K66+'Offering 3'!K66+'Offering 4'!K66</f>
        <v>0</v>
      </c>
      <c r="L107" s="697">
        <f ca="1">'Offering 1'!L66+'Offering 2'!L66+'Offering 3'!L66+'Offering 4'!L66</f>
        <v>0</v>
      </c>
      <c r="M107" s="697">
        <f ca="1">'Offering 1'!M66+'Offering 2'!M66+'Offering 3'!M66+'Offering 4'!M66</f>
        <v>0</v>
      </c>
      <c r="N107" s="697">
        <f ca="1">'Offering 1'!N66+'Offering 2'!N66+'Offering 3'!N66+'Offering 4'!N66</f>
        <v>0</v>
      </c>
      <c r="O107" s="697">
        <f ca="1">'Offering 1'!O66+'Offering 2'!O66+'Offering 3'!O66+'Offering 4'!O66</f>
        <v>0</v>
      </c>
      <c r="P107" s="697">
        <f ca="1">'Offering 1'!P66+'Offering 2'!P66+'Offering 3'!P66+'Offering 4'!P66</f>
        <v>0</v>
      </c>
      <c r="Q107" s="697">
        <f ca="1">'Offering 1'!Q66+'Offering 2'!Q66+'Offering 3'!Q66+'Offering 4'!Q66</f>
        <v>0</v>
      </c>
      <c r="R107" s="697">
        <f ca="1">'Offering 1'!R66+'Offering 2'!R66+'Offering 3'!R66+'Offering 4'!R66</f>
        <v>0</v>
      </c>
      <c r="S107" s="697">
        <f ca="1">'Offering 1'!S66+'Offering 2'!S66+'Offering 3'!S66+'Offering 4'!S66</f>
        <v>0</v>
      </c>
      <c r="T107" s="697">
        <f ca="1">'Offering 1'!T66+'Offering 2'!T66+'Offering 3'!T66+'Offering 4'!T66</f>
        <v>0</v>
      </c>
      <c r="U107" s="697">
        <f ca="1">'Offering 1'!U66+'Offering 2'!U66+'Offering 3'!U66+'Offering 4'!U66</f>
        <v>0</v>
      </c>
      <c r="V107" s="697">
        <f ca="1">'Offering 1'!V66+'Offering 2'!V66+'Offering 3'!V66+'Offering 4'!V66</f>
        <v>0</v>
      </c>
      <c r="W107" s="697">
        <f ca="1">'Offering 1'!W66+'Offering 2'!W66+'Offering 3'!W66+'Offering 4'!W66</f>
        <v>0</v>
      </c>
      <c r="X107" s="697">
        <f ca="1">'Offering 1'!X66+'Offering 2'!X66+'Offering 3'!X66+'Offering 4'!X66</f>
        <v>0</v>
      </c>
      <c r="Y107" s="697">
        <f ca="1">'Offering 1'!Y66+'Offering 2'!Y66+'Offering 3'!Y66+'Offering 4'!Y66</f>
        <v>0</v>
      </c>
      <c r="Z107" s="697">
        <f ca="1">'Offering 1'!Z66+'Offering 2'!Z66+'Offering 3'!Z66+'Offering 4'!Z66</f>
        <v>0</v>
      </c>
      <c r="AA107" s="697">
        <f ca="1">'Offering 1'!AA66+'Offering 2'!AA66+'Offering 3'!AA66+'Offering 4'!AA66</f>
        <v>0</v>
      </c>
      <c r="AB107" s="697">
        <f ca="1">'Offering 1'!AB66+'Offering 2'!AB66+'Offering 3'!AB66+'Offering 4'!AB66</f>
        <v>0</v>
      </c>
      <c r="AC107" s="697">
        <f ca="1">'Offering 1'!AC66+'Offering 2'!AC66+'Offering 3'!AC66+'Offering 4'!AC66</f>
        <v>0</v>
      </c>
      <c r="AD107" s="697">
        <f ca="1">'Offering 1'!AD66+'Offering 2'!AD66+'Offering 3'!AD66+'Offering 4'!AD66</f>
        <v>0</v>
      </c>
      <c r="AE107" s="697">
        <f ca="1">'Offering 1'!AE66+'Offering 2'!AE66+'Offering 3'!AE66+'Offering 4'!AE66</f>
        <v>0</v>
      </c>
      <c r="AF107" s="697">
        <f ca="1">'Offering 1'!AF66+'Offering 2'!AF66+'Offering 3'!AF66+'Offering 4'!AF66</f>
        <v>0</v>
      </c>
      <c r="AG107" s="697">
        <f ca="1">'Offering 1'!AG66+'Offering 2'!AG66+'Offering 3'!AG66+'Offering 4'!AG66</f>
        <v>0</v>
      </c>
    </row>
    <row r="108" spans="1:33" s="632" customFormat="1" ht="18" customHeight="1" outlineLevel="2">
      <c r="A108" s="861"/>
      <c r="B108" s="235"/>
      <c r="C108" s="24" t="s">
        <v>600</v>
      </c>
      <c r="D108" s="8" t="str">
        <f>Currency_Label</f>
        <v>USD</v>
      </c>
      <c r="E108" s="40"/>
      <c r="F108" s="40"/>
      <c r="G108" s="40"/>
      <c r="H108" s="40"/>
      <c r="I108" s="71">
        <f ca="1">SUM(J108:AG108)</f>
        <v>0</v>
      </c>
      <c r="J108" s="695">
        <f t="shared" ref="J108:AG108" ca="1" si="56">-J103</f>
        <v>0</v>
      </c>
      <c r="K108" s="695">
        <f t="shared" ca="1" si="56"/>
        <v>0</v>
      </c>
      <c r="L108" s="695">
        <f t="shared" ca="1" si="56"/>
        <v>0</v>
      </c>
      <c r="M108" s="695">
        <f t="shared" ca="1" si="56"/>
        <v>0</v>
      </c>
      <c r="N108" s="695">
        <f t="shared" ca="1" si="56"/>
        <v>0</v>
      </c>
      <c r="O108" s="695">
        <f t="shared" ca="1" si="56"/>
        <v>0</v>
      </c>
      <c r="P108" s="695">
        <f t="shared" ca="1" si="56"/>
        <v>0</v>
      </c>
      <c r="Q108" s="695">
        <f t="shared" ca="1" si="56"/>
        <v>0</v>
      </c>
      <c r="R108" s="695">
        <f t="shared" ca="1" si="56"/>
        <v>0</v>
      </c>
      <c r="S108" s="695">
        <f t="shared" ca="1" si="56"/>
        <v>0</v>
      </c>
      <c r="T108" s="695">
        <f t="shared" ca="1" si="56"/>
        <v>0</v>
      </c>
      <c r="U108" s="695">
        <f t="shared" ca="1" si="56"/>
        <v>0</v>
      </c>
      <c r="V108" s="695">
        <f t="shared" ca="1" si="56"/>
        <v>0</v>
      </c>
      <c r="W108" s="695">
        <f t="shared" ca="1" si="56"/>
        <v>0</v>
      </c>
      <c r="X108" s="695">
        <f t="shared" ca="1" si="56"/>
        <v>0</v>
      </c>
      <c r="Y108" s="695">
        <f t="shared" ca="1" si="56"/>
        <v>0</v>
      </c>
      <c r="Z108" s="695">
        <f t="shared" ca="1" si="56"/>
        <v>0</v>
      </c>
      <c r="AA108" s="695">
        <f t="shared" ca="1" si="56"/>
        <v>0</v>
      </c>
      <c r="AB108" s="695">
        <f t="shared" ca="1" si="56"/>
        <v>0</v>
      </c>
      <c r="AC108" s="695">
        <f t="shared" ca="1" si="56"/>
        <v>0</v>
      </c>
      <c r="AD108" s="695">
        <f t="shared" ca="1" si="56"/>
        <v>0</v>
      </c>
      <c r="AE108" s="695">
        <f t="shared" ca="1" si="56"/>
        <v>0</v>
      </c>
      <c r="AF108" s="695">
        <f t="shared" ca="1" si="56"/>
        <v>0</v>
      </c>
      <c r="AG108" s="695">
        <f t="shared" ca="1" si="56"/>
        <v>0</v>
      </c>
    </row>
    <row r="109" spans="1:33" s="632" customFormat="1" ht="18" customHeight="1" outlineLevel="2" thickBot="1">
      <c r="A109" s="861"/>
      <c r="B109" s="235"/>
      <c r="C109" s="632" t="s">
        <v>141</v>
      </c>
      <c r="D109" s="8" t="str">
        <f>Currency_Label</f>
        <v>USD</v>
      </c>
      <c r="E109" s="40"/>
      <c r="F109" s="40"/>
      <c r="G109" s="40"/>
      <c r="H109" s="675"/>
      <c r="I109" s="678"/>
      <c r="J109" s="509">
        <f t="shared" ref="J109:AG109" ca="1" si="57">IF(ABS(SUM(J106:J108))&lt;0.001,0,SUM(J106:J108))</f>
        <v>0</v>
      </c>
      <c r="K109" s="509">
        <f t="shared" ca="1" si="57"/>
        <v>0</v>
      </c>
      <c r="L109" s="509">
        <f t="shared" ca="1" si="57"/>
        <v>0</v>
      </c>
      <c r="M109" s="509">
        <f t="shared" ca="1" si="57"/>
        <v>0</v>
      </c>
      <c r="N109" s="509">
        <f t="shared" ca="1" si="57"/>
        <v>0</v>
      </c>
      <c r="O109" s="509">
        <f t="shared" ca="1" si="57"/>
        <v>0</v>
      </c>
      <c r="P109" s="509">
        <f t="shared" ca="1" si="57"/>
        <v>0</v>
      </c>
      <c r="Q109" s="509">
        <f t="shared" ca="1" si="57"/>
        <v>0</v>
      </c>
      <c r="R109" s="509">
        <f t="shared" ca="1" si="57"/>
        <v>0</v>
      </c>
      <c r="S109" s="509">
        <f t="shared" ca="1" si="57"/>
        <v>0</v>
      </c>
      <c r="T109" s="509">
        <f t="shared" ca="1" si="57"/>
        <v>0</v>
      </c>
      <c r="U109" s="509">
        <f t="shared" ca="1" si="57"/>
        <v>0</v>
      </c>
      <c r="V109" s="509">
        <f t="shared" ca="1" si="57"/>
        <v>0</v>
      </c>
      <c r="W109" s="509">
        <f t="shared" ca="1" si="57"/>
        <v>0</v>
      </c>
      <c r="X109" s="509">
        <f t="shared" ca="1" si="57"/>
        <v>0</v>
      </c>
      <c r="Y109" s="509">
        <f t="shared" ca="1" si="57"/>
        <v>0</v>
      </c>
      <c r="Z109" s="509">
        <f t="shared" ca="1" si="57"/>
        <v>0</v>
      </c>
      <c r="AA109" s="509">
        <f t="shared" ca="1" si="57"/>
        <v>0</v>
      </c>
      <c r="AB109" s="509">
        <f t="shared" ca="1" si="57"/>
        <v>0</v>
      </c>
      <c r="AC109" s="509">
        <f t="shared" ca="1" si="57"/>
        <v>0</v>
      </c>
      <c r="AD109" s="509">
        <f t="shared" ca="1" si="57"/>
        <v>0</v>
      </c>
      <c r="AE109" s="509">
        <f t="shared" ca="1" si="57"/>
        <v>0</v>
      </c>
      <c r="AF109" s="509">
        <f t="shared" ca="1" si="57"/>
        <v>0</v>
      </c>
      <c r="AG109" s="509">
        <f t="shared" ca="1" si="57"/>
        <v>0</v>
      </c>
    </row>
    <row r="110" spans="1:33" s="632" customFormat="1" ht="18" customHeight="1" outlineLevel="2" thickTop="1">
      <c r="A110" s="861"/>
      <c r="B110" s="282"/>
      <c r="C110" s="127"/>
      <c r="D110" s="270"/>
      <c r="E110" s="127"/>
      <c r="F110" s="127"/>
      <c r="G110" s="127"/>
      <c r="H110" s="127"/>
      <c r="I110" s="127"/>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row>
    <row r="111" spans="1:33" s="632" customFormat="1" ht="18" customHeight="1" outlineLevel="1">
      <c r="A111" s="861"/>
      <c r="B111" s="274">
        <v>3</v>
      </c>
      <c r="C111" s="274" t="str">
        <f>"Summary: " &amp;Name_VAT &amp;" owed by company"</f>
        <v>Summary: VAT owed by company</v>
      </c>
      <c r="D111" s="270"/>
      <c r="E111" s="127"/>
      <c r="F111" s="127"/>
      <c r="G111" s="127"/>
      <c r="H111" s="127"/>
      <c r="I111" s="127"/>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row>
    <row r="112" spans="1:33" s="632" customFormat="1" ht="18" customHeight="1" outlineLevel="2">
      <c r="A112" s="861"/>
      <c r="B112" s="282"/>
      <c r="C112" s="320" t="str">
        <f>"BS Account: " &amp;Name_VAT &amp;" owed to company"</f>
        <v>BS Account: VAT owed to company</v>
      </c>
      <c r="D112" s="330"/>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row>
    <row r="113" spans="1:33" s="632" customFormat="1" ht="18" customHeight="1" outlineLevel="2">
      <c r="A113" s="861"/>
      <c r="B113" s="282"/>
      <c r="C113" s="632" t="s">
        <v>140</v>
      </c>
      <c r="D113" s="8" t="str">
        <f>Currency_Label</f>
        <v>USD</v>
      </c>
      <c r="E113" s="40"/>
      <c r="F113" s="40"/>
      <c r="G113" s="40"/>
      <c r="H113" s="40"/>
      <c r="I113" s="121"/>
      <c r="J113" s="695">
        <f t="shared" ref="J113" si="58">I116</f>
        <v>0</v>
      </c>
      <c r="K113" s="695">
        <f t="shared" ref="K113" ca="1" si="59">J116</f>
        <v>1356</v>
      </c>
      <c r="L113" s="695">
        <f t="shared" ref="L113" ca="1" si="60">K116</f>
        <v>2165</v>
      </c>
      <c r="M113" s="695">
        <f t="shared" ref="M113" ca="1" si="61">L116</f>
        <v>3614.0299999999997</v>
      </c>
      <c r="N113" s="695">
        <f t="shared" ref="N113" ca="1" si="62">M116</f>
        <v>3398.720299999999</v>
      </c>
      <c r="O113" s="695">
        <f t="shared" ref="O113" ca="1" si="63">N116</f>
        <v>2313.8155029999989</v>
      </c>
      <c r="P113" s="695">
        <f t="shared" ref="P113" ca="1" si="64">O116</f>
        <v>2349.3299780299994</v>
      </c>
      <c r="Q113" s="695">
        <f t="shared" ref="Q113" ca="1" si="65">P116</f>
        <v>1875.2786506103002</v>
      </c>
      <c r="R113" s="695">
        <f t="shared" ref="R113" ca="1" si="66">Q116</f>
        <v>1681.6770248284029</v>
      </c>
      <c r="S113" s="695">
        <f t="shared" ref="S113" ca="1" si="67">R116</f>
        <v>1698.5412062971661</v>
      </c>
      <c r="T113" s="695">
        <f t="shared" ref="T113" ca="1" si="68">S116</f>
        <v>2015.887926029437</v>
      </c>
      <c r="U113" s="695">
        <f t="shared" ref="U113" ca="1" si="69">T116</f>
        <v>2033.7345652658032</v>
      </c>
      <c r="V113" s="695">
        <f t="shared" ref="V113" ca="1" si="70">U116</f>
        <v>2162.0991812935754</v>
      </c>
      <c r="W113" s="695">
        <f t="shared" ref="W113" ca="1" si="71">V116</f>
        <v>2181.000534296631</v>
      </c>
      <c r="X113" s="695">
        <f t="shared" ref="X113" ca="1" si="72">W116</f>
        <v>1790.4581152773212</v>
      </c>
      <c r="Y113" s="695">
        <f t="shared" ref="Y113" ca="1" si="73">X116</f>
        <v>2110.4921750933272</v>
      </c>
      <c r="Z113" s="695">
        <f t="shared" ref="Z113" ca="1" si="74">Y116</f>
        <v>2131.1237546540219</v>
      </c>
      <c r="AA113" s="695">
        <f t="shared" ref="AA113" ca="1" si="75">Z116</f>
        <v>3312.3747163227144</v>
      </c>
      <c r="AB113" s="695">
        <f t="shared" ref="AB113" ca="1" si="76">AA116</f>
        <v>3534.2677765729795</v>
      </c>
      <c r="AC113" s="695">
        <f t="shared" ref="AC113" ca="1" si="77">AB116</f>
        <v>2766.8265399492288</v>
      </c>
      <c r="AD113" s="695">
        <f t="shared" ref="AD113" ca="1" si="78">AC116</f>
        <v>3090.0755343836618</v>
      </c>
      <c r="AE113" s="695">
        <f t="shared" ref="AE113" ca="1" si="79">AD116</f>
        <v>2744.0402479238351</v>
      </c>
      <c r="AF113" s="695">
        <f t="shared" ref="AF113" ca="1" si="80">AE116</f>
        <v>2308.7471669272636</v>
      </c>
      <c r="AG113" s="695">
        <f t="shared" ref="AG113" ca="1" si="81">AF116</f>
        <v>409.71758210423354</v>
      </c>
    </row>
    <row r="114" spans="1:33" s="632" customFormat="1" ht="18" customHeight="1" outlineLevel="2">
      <c r="A114" s="861"/>
      <c r="B114" s="282"/>
      <c r="C114" s="40" t="str">
        <f>"Input "&amp;Name_VAT</f>
        <v>Input VAT</v>
      </c>
      <c r="D114" s="8" t="str">
        <f>Currency_Label</f>
        <v>USD</v>
      </c>
      <c r="E114" s="40"/>
      <c r="F114" s="40"/>
      <c r="G114" s="40"/>
      <c r="H114" s="40"/>
      <c r="I114" s="71">
        <f ca="1">SUM(J114:AG114)</f>
        <v>43511.762686332258</v>
      </c>
      <c r="J114" s="697">
        <f ca="1">Costs!J95</f>
        <v>1506</v>
      </c>
      <c r="K114" s="697">
        <f ca="1">Costs!K95</f>
        <v>1825</v>
      </c>
      <c r="L114" s="697">
        <f ca="1">Costs!L95</f>
        <v>3041.0299999999997</v>
      </c>
      <c r="M114" s="697">
        <f ca="1">Costs!M95</f>
        <v>2152.6902999999998</v>
      </c>
      <c r="N114" s="697">
        <f ca="1">Costs!N95</f>
        <v>1964.7252030000004</v>
      </c>
      <c r="O114" s="697">
        <f ca="1">Costs!O95</f>
        <v>1697.1487750300007</v>
      </c>
      <c r="P114" s="697">
        <f ca="1">Costs!P95</f>
        <v>1499.9756355803013</v>
      </c>
      <c r="Q114" s="697">
        <f ca="1">Costs!Q95</f>
        <v>1513.2209796481031</v>
      </c>
      <c r="R114" s="697">
        <f ca="1">Costs!R95</f>
        <v>1526.9006006650634</v>
      </c>
      <c r="S114" s="697">
        <f ca="1">Costs!S95</f>
        <v>1841.0309143410141</v>
      </c>
      <c r="T114" s="697">
        <f ca="1">Costs!T95</f>
        <v>1555.6289834604956</v>
      </c>
      <c r="U114" s="697">
        <f ca="1">Costs!U95</f>
        <v>1980.7125436702145</v>
      </c>
      <c r="V114" s="697">
        <f ca="1">Costs!V95</f>
        <v>1586.3000302970363</v>
      </c>
      <c r="W114" s="697">
        <f ca="1">Costs!W95</f>
        <v>1602.4106062377296</v>
      </c>
      <c r="X114" s="697">
        <f ca="1">Costs!X95</f>
        <v>1919.0641909633387</v>
      </c>
      <c r="Y114" s="697">
        <f ca="1">Costs!Y95</f>
        <v>2136.2814906827334</v>
      </c>
      <c r="Z114" s="697">
        <f ca="1">Costs!Z95</f>
        <v>3114.0840297117134</v>
      </c>
      <c r="AA114" s="697">
        <f ca="1">Costs!AA95</f>
        <v>2132.4941830958678</v>
      </c>
      <c r="AB114" s="697">
        <f ca="1">Costs!AB95</f>
        <v>2361.5352105373458</v>
      </c>
      <c r="AC114" s="697">
        <f ca="1">Costs!AC95</f>
        <v>2471.2312916776605</v>
      </c>
      <c r="AD114" s="697">
        <f ca="1">Costs!AD95</f>
        <v>2031.6075627907733</v>
      </c>
      <c r="AE114" s="697">
        <f ca="1">Costs!AE95</f>
        <v>2052.6901549428726</v>
      </c>
      <c r="AF114" s="697">
        <f ca="1">Costs!AF95</f>
        <v>0</v>
      </c>
      <c r="AG114" s="697">
        <f ca="1">Costs!AG95</f>
        <v>0</v>
      </c>
    </row>
    <row r="115" spans="1:33" s="632" customFormat="1" ht="18" customHeight="1" outlineLevel="2">
      <c r="A115" s="861"/>
      <c r="B115" s="282"/>
      <c r="C115" s="40" t="str">
        <f>Name_VAT &amp;" paid"</f>
        <v>VAT paid</v>
      </c>
      <c r="D115" s="8" t="str">
        <f>Currency_Label</f>
        <v>USD</v>
      </c>
      <c r="E115" s="40"/>
      <c r="F115" s="40"/>
      <c r="G115" s="40"/>
      <c r="H115" s="40"/>
      <c r="I115" s="71">
        <f ca="1">SUM(J115:AG115)</f>
        <v>-43511.762686332266</v>
      </c>
      <c r="J115" s="697">
        <f t="shared" ref="J115:AG115" ca="1" si="82">-J98</f>
        <v>-150</v>
      </c>
      <c r="K115" s="697">
        <f t="shared" ca="1" si="82"/>
        <v>-1016</v>
      </c>
      <c r="L115" s="697">
        <f t="shared" ca="1" si="82"/>
        <v>-1592</v>
      </c>
      <c r="M115" s="697">
        <f t="shared" ca="1" si="82"/>
        <v>-2368</v>
      </c>
      <c r="N115" s="697">
        <f t="shared" ca="1" si="82"/>
        <v>-3049.63</v>
      </c>
      <c r="O115" s="697">
        <f t="shared" ca="1" si="82"/>
        <v>-1661.6343000000002</v>
      </c>
      <c r="P115" s="697">
        <f t="shared" ca="1" si="82"/>
        <v>-1974.0269630000003</v>
      </c>
      <c r="Q115" s="697">
        <f t="shared" ca="1" si="82"/>
        <v>-1706.8226054300003</v>
      </c>
      <c r="R115" s="697">
        <f t="shared" ca="1" si="82"/>
        <v>-1510.0364191963001</v>
      </c>
      <c r="S115" s="697">
        <f t="shared" ca="1" si="82"/>
        <v>-1523.6841946087434</v>
      </c>
      <c r="T115" s="697">
        <f t="shared" ca="1" si="82"/>
        <v>-1537.7823442241297</v>
      </c>
      <c r="U115" s="697">
        <f t="shared" ca="1" si="82"/>
        <v>-1852.3479276424423</v>
      </c>
      <c r="V115" s="697">
        <f t="shared" ca="1" si="82"/>
        <v>-1567.3986772939807</v>
      </c>
      <c r="W115" s="697">
        <f t="shared" ca="1" si="82"/>
        <v>-1992.9530252570394</v>
      </c>
      <c r="X115" s="697">
        <f t="shared" ca="1" si="82"/>
        <v>-1599.0301311473329</v>
      </c>
      <c r="Y115" s="697">
        <f t="shared" ca="1" si="82"/>
        <v>-2115.6499111220387</v>
      </c>
      <c r="Z115" s="697">
        <f t="shared" ca="1" si="82"/>
        <v>-1932.8330680430206</v>
      </c>
      <c r="AA115" s="697">
        <f t="shared" ca="1" si="82"/>
        <v>-1910.6011228456025</v>
      </c>
      <c r="AB115" s="697">
        <f t="shared" ca="1" si="82"/>
        <v>-3128.9764471610965</v>
      </c>
      <c r="AC115" s="697">
        <f t="shared" ca="1" si="82"/>
        <v>-2147.9822972432275</v>
      </c>
      <c r="AD115" s="697">
        <f t="shared" ca="1" si="82"/>
        <v>-2377.6428492505997</v>
      </c>
      <c r="AE115" s="697">
        <f t="shared" ca="1" si="82"/>
        <v>-2487.9832359394441</v>
      </c>
      <c r="AF115" s="697">
        <f t="shared" ca="1" si="82"/>
        <v>-1899.0295848230301</v>
      </c>
      <c r="AG115" s="697">
        <f t="shared" ca="1" si="82"/>
        <v>-409.717582104234</v>
      </c>
    </row>
    <row r="116" spans="1:33" s="632" customFormat="1" ht="18" customHeight="1" outlineLevel="2" thickBot="1">
      <c r="A116" s="861"/>
      <c r="B116" s="282"/>
      <c r="C116" s="632" t="s">
        <v>141</v>
      </c>
      <c r="D116" s="8" t="str">
        <f>Currency_Label</f>
        <v>USD</v>
      </c>
      <c r="E116" s="40"/>
      <c r="F116" s="40"/>
      <c r="G116" s="40"/>
      <c r="H116" s="40"/>
      <c r="I116" s="122"/>
      <c r="J116" s="509">
        <f t="shared" ref="J116:AG116" ca="1" si="83">IF(ABS(SUM(J113:J115))&lt;0.001,0,SUM(J113:J115))</f>
        <v>1356</v>
      </c>
      <c r="K116" s="509">
        <f t="shared" ca="1" si="83"/>
        <v>2165</v>
      </c>
      <c r="L116" s="509">
        <f t="shared" ca="1" si="83"/>
        <v>3614.0299999999997</v>
      </c>
      <c r="M116" s="509">
        <f t="shared" ca="1" si="83"/>
        <v>3398.720299999999</v>
      </c>
      <c r="N116" s="509">
        <f t="shared" ca="1" si="83"/>
        <v>2313.8155029999989</v>
      </c>
      <c r="O116" s="509">
        <f t="shared" ca="1" si="83"/>
        <v>2349.3299780299994</v>
      </c>
      <c r="P116" s="509">
        <f t="shared" ca="1" si="83"/>
        <v>1875.2786506103002</v>
      </c>
      <c r="Q116" s="509">
        <f t="shared" ca="1" si="83"/>
        <v>1681.6770248284029</v>
      </c>
      <c r="R116" s="509">
        <f t="shared" ca="1" si="83"/>
        <v>1698.5412062971661</v>
      </c>
      <c r="S116" s="509">
        <f t="shared" ca="1" si="83"/>
        <v>2015.887926029437</v>
      </c>
      <c r="T116" s="509">
        <f t="shared" ca="1" si="83"/>
        <v>2033.7345652658032</v>
      </c>
      <c r="U116" s="509">
        <f t="shared" ca="1" si="83"/>
        <v>2162.0991812935754</v>
      </c>
      <c r="V116" s="509">
        <f t="shared" ca="1" si="83"/>
        <v>2181.000534296631</v>
      </c>
      <c r="W116" s="509">
        <f t="shared" ca="1" si="83"/>
        <v>1790.4581152773212</v>
      </c>
      <c r="X116" s="509">
        <f t="shared" ca="1" si="83"/>
        <v>2110.4921750933272</v>
      </c>
      <c r="Y116" s="509">
        <f t="shared" ca="1" si="83"/>
        <v>2131.1237546540219</v>
      </c>
      <c r="Z116" s="509">
        <f t="shared" ca="1" si="83"/>
        <v>3312.3747163227144</v>
      </c>
      <c r="AA116" s="509">
        <f t="shared" ca="1" si="83"/>
        <v>3534.2677765729795</v>
      </c>
      <c r="AB116" s="509">
        <f t="shared" ca="1" si="83"/>
        <v>2766.8265399492288</v>
      </c>
      <c r="AC116" s="509">
        <f t="shared" ca="1" si="83"/>
        <v>3090.0755343836618</v>
      </c>
      <c r="AD116" s="509">
        <f t="shared" ca="1" si="83"/>
        <v>2744.0402479238351</v>
      </c>
      <c r="AE116" s="509">
        <f t="shared" ca="1" si="83"/>
        <v>2308.7471669272636</v>
      </c>
      <c r="AF116" s="509">
        <f t="shared" ca="1" si="83"/>
        <v>409.71758210423354</v>
      </c>
      <c r="AG116" s="509">
        <f t="shared" ca="1" si="83"/>
        <v>0</v>
      </c>
    </row>
    <row r="117" spans="1:33" s="632" customFormat="1" ht="18" customHeight="1" outlineLevel="2" thickTop="1">
      <c r="A117" s="861"/>
      <c r="B117" s="282"/>
      <c r="C117" s="127"/>
      <c r="D117" s="270"/>
      <c r="E117" s="127"/>
      <c r="F117" s="127"/>
      <c r="G117" s="127"/>
      <c r="H117" s="127"/>
      <c r="I117" s="127"/>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row>
    <row r="118" spans="1:33" s="632" customFormat="1" ht="21.75" customHeight="1" outlineLevel="1">
      <c r="A118" s="861"/>
      <c r="B118" s="274">
        <v>4</v>
      </c>
      <c r="C118" s="274" t="str">
        <f>CHOOSE(language,"Pay-as-you-earn (PAYE)","Payroll Withholdings")</f>
        <v>Payroll Withholdings</v>
      </c>
      <c r="D118" s="532"/>
      <c r="E118" s="127"/>
      <c r="F118" s="127"/>
      <c r="G118" s="127"/>
      <c r="H118" s="127"/>
      <c r="I118" s="127"/>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row>
    <row r="119" spans="1:33" s="632" customFormat="1" ht="18" customHeight="1" outlineLevel="2">
      <c r="A119" s="861"/>
      <c r="B119" s="282"/>
      <c r="C119" s="268" t="str">
        <f>CHOOSE(language,"BS Account: PAYE owed","BS Account: Payroll withholdings owed")</f>
        <v>BS Account: Payroll withholdings owed</v>
      </c>
      <c r="D119" s="532" t="s">
        <v>287</v>
      </c>
      <c r="E119" s="282"/>
      <c r="F119" s="282"/>
      <c r="G119" s="282"/>
      <c r="H119" s="282"/>
      <c r="I119" s="282"/>
      <c r="J119" s="282"/>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row>
    <row r="120" spans="1:33" s="632" customFormat="1" ht="18" customHeight="1" outlineLevel="2">
      <c r="A120" s="861"/>
      <c r="B120" s="282"/>
      <c r="C120" s="632" t="s">
        <v>140</v>
      </c>
      <c r="D120" s="8" t="str">
        <f>Currency_Label</f>
        <v>USD</v>
      </c>
      <c r="E120" s="40"/>
      <c r="F120" s="40"/>
      <c r="G120" s="727" t="s">
        <v>46</v>
      </c>
      <c r="H120" s="40"/>
      <c r="I120" s="121"/>
      <c r="J120" s="695">
        <f t="shared" ref="J120" si="84">I123</f>
        <v>0</v>
      </c>
      <c r="K120" s="695">
        <f t="shared" ref="K120:AG120" ca="1" si="85">J123</f>
        <v>1774.7555555555555</v>
      </c>
      <c r="L120" s="695">
        <f t="shared" ca="1" si="85"/>
        <v>2140.3111111111116</v>
      </c>
      <c r="M120" s="695">
        <f t="shared" ca="1" si="85"/>
        <v>2493.0888888888899</v>
      </c>
      <c r="N120" s="695">
        <f t="shared" ca="1" si="85"/>
        <v>2778.184444444445</v>
      </c>
      <c r="O120" s="695">
        <f t="shared" ca="1" si="85"/>
        <v>3087.7488888888897</v>
      </c>
      <c r="P120" s="695">
        <f t="shared" ca="1" si="85"/>
        <v>3990.6492444444448</v>
      </c>
      <c r="Q120" s="695">
        <f t="shared" ca="1" si="85"/>
        <v>4300.7119475555555</v>
      </c>
      <c r="R120" s="695">
        <f t="shared" ca="1" si="85"/>
        <v>5718.9223054577787</v>
      </c>
      <c r="S120" s="695">
        <f t="shared" ca="1" si="85"/>
        <v>6064.9334110094223</v>
      </c>
      <c r="T120" s="695">
        <f t="shared" ca="1" si="85"/>
        <v>6337.5372774498001</v>
      </c>
      <c r="U120" s="695">
        <f t="shared" ca="1" si="85"/>
        <v>6662.6868892144585</v>
      </c>
      <c r="V120" s="695">
        <f t="shared" ca="1" si="85"/>
        <v>7069.0564569434755</v>
      </c>
      <c r="W120" s="695">
        <f t="shared" ca="1" si="85"/>
        <v>7346.3257714228821</v>
      </c>
      <c r="X120" s="695">
        <f t="shared" ca="1" si="85"/>
        <v>8256.6481267138624</v>
      </c>
      <c r="Y120" s="695">
        <f t="shared" ca="1" si="85"/>
        <v>8582.7175270751486</v>
      </c>
      <c r="Z120" s="695">
        <f t="shared" ca="1" si="85"/>
        <v>8869.5681566572039</v>
      </c>
      <c r="AA120" s="695">
        <f t="shared" ca="1" si="85"/>
        <v>9193.5366676399717</v>
      </c>
      <c r="AB120" s="695">
        <f t="shared" ca="1" si="85"/>
        <v>9524.4352070479745</v>
      </c>
      <c r="AC120" s="695">
        <f t="shared" ca="1" si="85"/>
        <v>10417.360618485664</v>
      </c>
      <c r="AD120" s="695">
        <f t="shared" ca="1" si="85"/>
        <v>10753.442282848875</v>
      </c>
      <c r="AE120" s="695">
        <f t="shared" ca="1" si="85"/>
        <v>11098.385392655917</v>
      </c>
      <c r="AF120" s="695">
        <f t="shared" ca="1" si="85"/>
        <v>12014.983221382212</v>
      </c>
      <c r="AG120" s="695">
        <f t="shared" ca="1" si="85"/>
        <v>0</v>
      </c>
    </row>
    <row r="121" spans="1:33" s="632" customFormat="1" ht="18" customHeight="1" outlineLevel="2">
      <c r="A121" s="861"/>
      <c r="B121" s="282"/>
      <c r="C121" s="92" t="s">
        <v>209</v>
      </c>
      <c r="D121" s="8" t="str">
        <f>Currency_Label</f>
        <v>USD</v>
      </c>
      <c r="E121" s="40"/>
      <c r="F121" s="40"/>
      <c r="G121" s="71">
        <f ca="1">SUM(J121:AG121)</f>
        <v>148475.98939289359</v>
      </c>
      <c r="H121" s="40"/>
      <c r="I121" s="696"/>
      <c r="J121" s="697">
        <f ca="1">'Human Resources'!J116</f>
        <v>1774.7555555555555</v>
      </c>
      <c r="K121" s="697">
        <f ca="1">'Human Resources'!K116</f>
        <v>2140.3111111111116</v>
      </c>
      <c r="L121" s="697">
        <f ca="1">'Human Resources'!L116</f>
        <v>2493.0888888888894</v>
      </c>
      <c r="M121" s="697">
        <f ca="1">'Human Resources'!M116</f>
        <v>2778.1844444444446</v>
      </c>
      <c r="N121" s="697">
        <f ca="1">'Human Resources'!N116</f>
        <v>3087.7488888888893</v>
      </c>
      <c r="O121" s="697">
        <f ca="1">'Human Resources'!O116</f>
        <v>3990.6492444444448</v>
      </c>
      <c r="P121" s="697">
        <f ca="1">'Human Resources'!P116</f>
        <v>4300.7119475555564</v>
      </c>
      <c r="Q121" s="697">
        <f ca="1">'Human Resources'!Q116</f>
        <v>5718.9223054577797</v>
      </c>
      <c r="R121" s="697">
        <f ca="1">'Human Resources'!R116</f>
        <v>6064.9334110094233</v>
      </c>
      <c r="S121" s="697">
        <f ca="1">'Human Resources'!S116</f>
        <v>6337.5372774498001</v>
      </c>
      <c r="T121" s="697">
        <f ca="1">'Human Resources'!T116</f>
        <v>6662.6868892144594</v>
      </c>
      <c r="U121" s="697">
        <f ca="1">'Human Resources'!U116</f>
        <v>7069.0564569434773</v>
      </c>
      <c r="V121" s="697">
        <f ca="1">'Human Resources'!V116</f>
        <v>7346.3257714228839</v>
      </c>
      <c r="W121" s="697">
        <f ca="1">'Human Resources'!W116</f>
        <v>8256.6481267138643</v>
      </c>
      <c r="X121" s="697">
        <f ca="1">'Human Resources'!X116</f>
        <v>8582.7175270751522</v>
      </c>
      <c r="Y121" s="697">
        <f ca="1">'Human Resources'!Y116</f>
        <v>8869.5681566572093</v>
      </c>
      <c r="Z121" s="697">
        <f ca="1">'Human Resources'!Z116</f>
        <v>9193.5366676399772</v>
      </c>
      <c r="AA121" s="697">
        <f ca="1">'Human Resources'!AA116</f>
        <v>9524.4352070479781</v>
      </c>
      <c r="AB121" s="697">
        <f ca="1">'Human Resources'!AB116</f>
        <v>10417.360618485669</v>
      </c>
      <c r="AC121" s="697">
        <f ca="1">'Human Resources'!AC116</f>
        <v>10753.442282848882</v>
      </c>
      <c r="AD121" s="697">
        <f ca="1">'Human Resources'!AD116</f>
        <v>11098.385392655924</v>
      </c>
      <c r="AE121" s="697">
        <f ca="1">'Human Resources'!AE116</f>
        <v>12014.983221382219</v>
      </c>
      <c r="AF121" s="697">
        <f ca="1">'Human Resources'!AF116</f>
        <v>0</v>
      </c>
      <c r="AG121" s="697">
        <f ca="1">'Human Resources'!AG116</f>
        <v>0</v>
      </c>
    </row>
    <row r="122" spans="1:33" s="632" customFormat="1" ht="18" customHeight="1" outlineLevel="2">
      <c r="A122" s="861"/>
      <c r="B122" s="282"/>
      <c r="C122" s="24" t="s">
        <v>601</v>
      </c>
      <c r="D122" s="8" t="str">
        <f>Currency_Label</f>
        <v>USD</v>
      </c>
      <c r="E122" s="40"/>
      <c r="F122" s="40"/>
      <c r="G122" s="71">
        <f ca="1">SUM(J122:AG122)</f>
        <v>-148475.98939289359</v>
      </c>
      <c r="H122" s="40"/>
      <c r="J122" s="695">
        <f>-I121+Inputs!J358</f>
        <v>0</v>
      </c>
      <c r="K122" s="695">
        <f ca="1">-J121+Inputs!K358</f>
        <v>-1774.7555555555555</v>
      </c>
      <c r="L122" s="695">
        <f ca="1">-K121+Inputs!L358</f>
        <v>-2140.3111111111116</v>
      </c>
      <c r="M122" s="695">
        <f ca="1">-L121+Inputs!M358</f>
        <v>-2493.0888888888894</v>
      </c>
      <c r="N122" s="695">
        <f ca="1">-M121+Inputs!N358</f>
        <v>-2778.1844444444446</v>
      </c>
      <c r="O122" s="695">
        <f ca="1">-N121+Inputs!O358</f>
        <v>-3087.7488888888893</v>
      </c>
      <c r="P122" s="695">
        <f ca="1">-O121+Inputs!P358</f>
        <v>-3990.6492444444448</v>
      </c>
      <c r="Q122" s="695">
        <f ca="1">-P121+Inputs!Q358</f>
        <v>-4300.7119475555564</v>
      </c>
      <c r="R122" s="695">
        <f ca="1">-Q121+Inputs!R358</f>
        <v>-5718.9223054577797</v>
      </c>
      <c r="S122" s="695">
        <f ca="1">-R121+Inputs!S358</f>
        <v>-6064.9334110094233</v>
      </c>
      <c r="T122" s="695">
        <f ca="1">-S121+Inputs!T358</f>
        <v>-6337.5372774498001</v>
      </c>
      <c r="U122" s="695">
        <f ca="1">-T121+Inputs!U358</f>
        <v>-6662.6868892144594</v>
      </c>
      <c r="V122" s="695">
        <f ca="1">-U121+Inputs!V358</f>
        <v>-7069.0564569434773</v>
      </c>
      <c r="W122" s="695">
        <f ca="1">-V121+Inputs!W358</f>
        <v>-7346.3257714228839</v>
      </c>
      <c r="X122" s="695">
        <f ca="1">-W121+Inputs!X358</f>
        <v>-8256.6481267138643</v>
      </c>
      <c r="Y122" s="695">
        <f ca="1">-X121+Inputs!Y358</f>
        <v>-8582.7175270751522</v>
      </c>
      <c r="Z122" s="695">
        <f ca="1">-Y121+Inputs!Z358</f>
        <v>-8869.5681566572093</v>
      </c>
      <c r="AA122" s="695">
        <f ca="1">-Z121+Inputs!AA358</f>
        <v>-9193.5366676399772</v>
      </c>
      <c r="AB122" s="695">
        <f ca="1">-AA121+Inputs!AB358</f>
        <v>-9524.4352070479781</v>
      </c>
      <c r="AC122" s="695">
        <f ca="1">-AB121+Inputs!AC358</f>
        <v>-10417.360618485669</v>
      </c>
      <c r="AD122" s="695">
        <f ca="1">-AC121+Inputs!AD358</f>
        <v>-10753.442282848882</v>
      </c>
      <c r="AE122" s="695">
        <f ca="1">-AD121+Inputs!AE358</f>
        <v>-11098.385392655924</v>
      </c>
      <c r="AF122" s="695">
        <f ca="1">-AE121+Inputs!AF358</f>
        <v>-12014.983221382219</v>
      </c>
      <c r="AG122" s="695">
        <f ca="1">-AF121+Inputs!AG358</f>
        <v>0</v>
      </c>
    </row>
    <row r="123" spans="1:33" s="632" customFormat="1" ht="18" customHeight="1" outlineLevel="2" thickBot="1">
      <c r="A123" s="861"/>
      <c r="B123" s="282"/>
      <c r="C123" s="632" t="s">
        <v>141</v>
      </c>
      <c r="D123" s="8" t="str">
        <f>Currency_Label</f>
        <v>USD</v>
      </c>
      <c r="E123" s="40"/>
      <c r="F123" s="40"/>
      <c r="G123" s="40"/>
      <c r="H123" s="675"/>
      <c r="I123" s="144">
        <f>Inputs!F275</f>
        <v>0</v>
      </c>
      <c r="J123" s="509">
        <f ca="1">SUM(J120:J122)</f>
        <v>1774.7555555555555</v>
      </c>
      <c r="K123" s="509">
        <f t="shared" ref="K123:AG123" ca="1" si="86">SUM(K120:K122)</f>
        <v>2140.3111111111116</v>
      </c>
      <c r="L123" s="509">
        <f t="shared" ca="1" si="86"/>
        <v>2493.0888888888899</v>
      </c>
      <c r="M123" s="509">
        <f t="shared" ca="1" si="86"/>
        <v>2778.184444444445</v>
      </c>
      <c r="N123" s="509">
        <f t="shared" ca="1" si="86"/>
        <v>3087.7488888888897</v>
      </c>
      <c r="O123" s="509">
        <f t="shared" ca="1" si="86"/>
        <v>3990.6492444444448</v>
      </c>
      <c r="P123" s="509">
        <f t="shared" ca="1" si="86"/>
        <v>4300.7119475555555</v>
      </c>
      <c r="Q123" s="509">
        <f t="shared" ca="1" si="86"/>
        <v>5718.9223054577787</v>
      </c>
      <c r="R123" s="509">
        <f t="shared" ca="1" si="86"/>
        <v>6064.9334110094223</v>
      </c>
      <c r="S123" s="509">
        <f t="shared" ca="1" si="86"/>
        <v>6337.5372774498001</v>
      </c>
      <c r="T123" s="509">
        <f t="shared" ca="1" si="86"/>
        <v>6662.6868892144585</v>
      </c>
      <c r="U123" s="509">
        <f t="shared" ca="1" si="86"/>
        <v>7069.0564569434755</v>
      </c>
      <c r="V123" s="509">
        <f t="shared" ca="1" si="86"/>
        <v>7346.3257714228821</v>
      </c>
      <c r="W123" s="509">
        <f t="shared" ca="1" si="86"/>
        <v>8256.6481267138624</v>
      </c>
      <c r="X123" s="509">
        <f t="shared" ca="1" si="86"/>
        <v>8582.7175270751486</v>
      </c>
      <c r="Y123" s="509">
        <f t="shared" ca="1" si="86"/>
        <v>8869.5681566572039</v>
      </c>
      <c r="Z123" s="509">
        <f t="shared" ca="1" si="86"/>
        <v>9193.5366676399717</v>
      </c>
      <c r="AA123" s="509">
        <f t="shared" ca="1" si="86"/>
        <v>9524.4352070479745</v>
      </c>
      <c r="AB123" s="509">
        <f t="shared" ca="1" si="86"/>
        <v>10417.360618485664</v>
      </c>
      <c r="AC123" s="509">
        <f t="shared" ca="1" si="86"/>
        <v>10753.442282848875</v>
      </c>
      <c r="AD123" s="509">
        <f t="shared" ca="1" si="86"/>
        <v>11098.385392655917</v>
      </c>
      <c r="AE123" s="509">
        <f t="shared" ca="1" si="86"/>
        <v>12014.983221382212</v>
      </c>
      <c r="AF123" s="509">
        <f t="shared" ca="1" si="86"/>
        <v>0</v>
      </c>
      <c r="AG123" s="509">
        <f t="shared" ca="1" si="86"/>
        <v>0</v>
      </c>
    </row>
    <row r="124" spans="1:33" s="632" customFormat="1" ht="18" customHeight="1" outlineLevel="1" thickTop="1">
      <c r="A124" s="861"/>
      <c r="B124" s="282"/>
      <c r="C124" s="127"/>
      <c r="D124" s="270"/>
      <c r="E124" s="127"/>
      <c r="F124" s="127"/>
      <c r="G124" s="127"/>
      <c r="H124" s="127"/>
      <c r="I124" s="127"/>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row>
    <row r="125" spans="1:33" s="116" customFormat="1" ht="26.25" customHeight="1" thickBot="1">
      <c r="A125" s="316"/>
      <c r="B125" s="316"/>
      <c r="C125" s="316" t="s">
        <v>53</v>
      </c>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316"/>
      <c r="AF125" s="316"/>
      <c r="AG125" s="316"/>
    </row>
    <row r="126" spans="1:33" ht="18.75" customHeight="1" outlineLevel="1">
      <c r="A126" s="861"/>
      <c r="B126" s="861"/>
      <c r="C126" s="799" t="s">
        <v>567</v>
      </c>
      <c r="D126" s="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row>
    <row r="127" spans="1:33" ht="18.75" customHeight="1" outlineLevel="1">
      <c r="A127" s="861"/>
      <c r="B127" s="861"/>
      <c r="C127" s="799" t="s">
        <v>568</v>
      </c>
      <c r="D127" s="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row>
    <row r="128" spans="1:33" ht="18.75" customHeight="1" outlineLevel="1">
      <c r="A128" s="861"/>
      <c r="B128" s="861"/>
      <c r="C128" s="799" t="str">
        <f>CHOOSE(language,"Trade Debtors","Accounts Receivables")</f>
        <v>Accounts Receivables</v>
      </c>
      <c r="D128" s="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row>
    <row r="129" spans="1:33" ht="18.75" customHeight="1" outlineLevel="1">
      <c r="A129" s="861"/>
      <c r="B129" s="861"/>
      <c r="C129" s="120" t="s">
        <v>570</v>
      </c>
      <c r="D129" s="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row>
    <row r="130" spans="1:33" s="199" customFormat="1" ht="18.75" customHeight="1" outlineLevel="1">
      <c r="A130" s="861"/>
      <c r="B130" s="861"/>
      <c r="C130" s="127"/>
      <c r="D130" s="270"/>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row>
    <row r="131" spans="1:33" ht="18.75" customHeight="1" outlineLevel="1">
      <c r="A131" s="861"/>
      <c r="B131" s="861"/>
      <c r="C131" s="799" t="s">
        <v>572</v>
      </c>
      <c r="D131" s="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row>
    <row r="132" spans="1:33" ht="18.75" customHeight="1" outlineLevel="1">
      <c r="A132" s="861"/>
      <c r="B132" s="861"/>
      <c r="C132" s="799" t="str">
        <f>CHOOSE(language,"Trade Creditors","Accounts Payables")</f>
        <v>Accounts Payables</v>
      </c>
      <c r="D132" s="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row>
    <row r="133" spans="1:33" ht="18.75" customHeight="1" outlineLevel="1">
      <c r="A133" s="861"/>
      <c r="B133" s="861"/>
      <c r="C133" s="120" t="s">
        <v>569</v>
      </c>
      <c r="D133" s="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row>
    <row r="134" spans="1:33" ht="18.75" customHeight="1" outlineLevel="1">
      <c r="A134" s="861"/>
      <c r="B134" s="861"/>
      <c r="C134" s="127"/>
      <c r="D134" s="270"/>
      <c r="E134" s="861"/>
      <c r="F134" s="861"/>
      <c r="G134" s="861"/>
      <c r="H134" s="861"/>
      <c r="I134" s="861"/>
      <c r="J134" s="861"/>
      <c r="K134" s="861"/>
      <c r="L134" s="861"/>
      <c r="M134" s="861"/>
      <c r="N134" s="861"/>
      <c r="O134" s="861"/>
      <c r="P134" s="861"/>
      <c r="Q134" s="861"/>
      <c r="R134" s="861"/>
      <c r="S134" s="861"/>
      <c r="T134" s="861"/>
      <c r="U134" s="861"/>
      <c r="V134" s="861"/>
      <c r="W134" s="861"/>
      <c r="X134" s="861"/>
      <c r="Y134" s="861"/>
      <c r="Z134" s="861"/>
      <c r="AA134" s="861"/>
      <c r="AB134" s="861"/>
      <c r="AC134" s="861"/>
      <c r="AD134" s="861"/>
      <c r="AE134" s="861"/>
      <c r="AF134" s="861"/>
      <c r="AG134" s="861"/>
    </row>
    <row r="135" spans="1:33" ht="18.75" customHeight="1" outlineLevel="1">
      <c r="A135" s="861"/>
      <c r="B135" s="861"/>
      <c r="C135" s="120" t="s">
        <v>571</v>
      </c>
      <c r="D135" s="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row>
    <row r="136" spans="1:33" ht="18.75" customHeight="1" outlineLevel="1">
      <c r="A136" s="861"/>
      <c r="B136" s="282"/>
      <c r="C136" s="282"/>
      <c r="D136" s="282"/>
      <c r="E136" s="282"/>
      <c r="F136" s="282"/>
      <c r="G136" s="861"/>
      <c r="H136" s="861"/>
      <c r="I136" s="861"/>
      <c r="J136" s="861"/>
      <c r="K136" s="861"/>
      <c r="L136" s="861"/>
      <c r="M136" s="861"/>
      <c r="N136" s="861"/>
      <c r="O136" s="861"/>
      <c r="P136" s="861"/>
      <c r="Q136" s="861"/>
      <c r="R136" s="861"/>
      <c r="S136" s="861"/>
      <c r="T136" s="861"/>
      <c r="U136" s="861"/>
      <c r="V136" s="861"/>
      <c r="W136" s="861"/>
      <c r="X136" s="861"/>
      <c r="Y136" s="861"/>
      <c r="Z136" s="861"/>
      <c r="AA136" s="861"/>
      <c r="AB136" s="861"/>
      <c r="AC136" s="861"/>
      <c r="AD136" s="861"/>
      <c r="AE136" s="861"/>
      <c r="AF136" s="861"/>
      <c r="AG136" s="861"/>
    </row>
    <row r="137" spans="1:33" ht="16.5" customHeight="1">
      <c r="A137" s="861"/>
      <c r="B137" s="282"/>
      <c r="C137" s="127"/>
      <c r="D137" s="270"/>
      <c r="E137" s="127"/>
      <c r="F137" s="127"/>
      <c r="G137" s="127"/>
      <c r="H137" s="127"/>
      <c r="I137" s="127"/>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row>
    <row r="138" spans="1:33" ht="16.5" customHeight="1">
      <c r="A138" s="861"/>
      <c r="B138" s="282"/>
      <c r="C138" s="127"/>
      <c r="D138" s="270"/>
      <c r="E138" s="127"/>
      <c r="F138" s="127"/>
      <c r="G138" s="127"/>
      <c r="H138" s="127"/>
      <c r="I138" s="127"/>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row>
    <row r="139" spans="1:33" ht="16.5" customHeight="1">
      <c r="A139" s="861"/>
      <c r="B139" s="861"/>
      <c r="C139" s="127"/>
      <c r="D139" s="270"/>
      <c r="E139" s="127"/>
      <c r="F139" s="127"/>
      <c r="G139" s="127"/>
      <c r="H139" s="127"/>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row>
    <row r="140" spans="1:33" ht="16.5" customHeight="1">
      <c r="A140" s="861"/>
      <c r="B140" s="861"/>
      <c r="C140" s="127"/>
      <c r="D140" s="270"/>
      <c r="E140" s="127"/>
      <c r="F140" s="127"/>
      <c r="G140" s="127"/>
      <c r="H140" s="127"/>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row>
    <row r="141" spans="1:33" ht="16.5" customHeight="1">
      <c r="A141" s="861"/>
      <c r="B141" s="861"/>
      <c r="C141" s="127"/>
      <c r="D141" s="270"/>
      <c r="E141" s="127"/>
      <c r="F141" s="127"/>
      <c r="G141" s="127"/>
      <c r="H141" s="127"/>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row>
    <row r="142" spans="1:33" ht="16.5" customHeight="1">
      <c r="A142" s="861"/>
      <c r="B142" s="861"/>
      <c r="C142" s="127"/>
      <c r="D142" s="270"/>
      <c r="E142" s="127"/>
      <c r="F142" s="127"/>
      <c r="G142" s="127"/>
      <c r="H142" s="127"/>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row>
    <row r="143" spans="1:33" ht="16.5" customHeight="1">
      <c r="A143" s="861"/>
      <c r="B143" s="861"/>
      <c r="C143" s="127"/>
      <c r="D143" s="270"/>
      <c r="E143" s="127"/>
      <c r="F143" s="127"/>
      <c r="G143" s="127"/>
      <c r="H143" s="127"/>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row>
    <row r="144" spans="1:33" ht="16.5" customHeight="1">
      <c r="A144" s="861"/>
      <c r="B144" s="861"/>
      <c r="C144" s="127"/>
      <c r="D144" s="270"/>
      <c r="E144" s="127"/>
      <c r="F144" s="127"/>
      <c r="G144" s="127"/>
      <c r="H144" s="127"/>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row>
    <row r="145" spans="1:33" ht="16.5" customHeight="1">
      <c r="A145" s="861"/>
      <c r="B145" s="861"/>
      <c r="C145" s="127"/>
      <c r="D145" s="270"/>
      <c r="E145" s="127"/>
      <c r="F145" s="127"/>
      <c r="G145" s="127"/>
      <c r="H145" s="127"/>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row>
    <row r="146" spans="1:33" ht="16.5" customHeight="1">
      <c r="A146" s="861"/>
      <c r="B146" s="861"/>
      <c r="C146" s="127"/>
      <c r="D146" s="270"/>
      <c r="E146" s="127"/>
      <c r="F146" s="127"/>
      <c r="G146" s="127"/>
      <c r="H146" s="127"/>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row>
    <row r="147" spans="1:33" ht="16.5" customHeight="1">
      <c r="A147" s="861"/>
      <c r="B147" s="861"/>
      <c r="C147" s="127"/>
      <c r="D147" s="270"/>
      <c r="E147" s="127"/>
      <c r="F147" s="127"/>
      <c r="G147" s="127"/>
      <c r="H147" s="127"/>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row>
    <row r="148" spans="1:33" ht="16.5" customHeight="1">
      <c r="A148" s="861"/>
      <c r="B148" s="861"/>
      <c r="C148" s="127"/>
      <c r="D148" s="270"/>
      <c r="E148" s="127"/>
      <c r="F148" s="127"/>
      <c r="G148" s="127"/>
      <c r="H148" s="127"/>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row>
    <row r="149" spans="1:33" ht="16.5" customHeight="1">
      <c r="A149" s="861"/>
      <c r="B149" s="861"/>
      <c r="C149" s="127"/>
      <c r="D149" s="270"/>
      <c r="E149" s="127"/>
      <c r="F149" s="127"/>
      <c r="G149" s="127"/>
      <c r="H149" s="127"/>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row>
    <row r="150" spans="1:33" ht="16.5" customHeight="1">
      <c r="A150" s="861"/>
      <c r="B150" s="861"/>
      <c r="C150" s="127"/>
      <c r="D150" s="270"/>
      <c r="E150" s="127"/>
      <c r="F150" s="127"/>
      <c r="G150" s="127"/>
      <c r="H150" s="127"/>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row>
    <row r="151" spans="1:33" ht="16.5" customHeight="1">
      <c r="A151" s="861"/>
      <c r="B151" s="861"/>
      <c r="C151" s="127"/>
      <c r="D151" s="270"/>
      <c r="E151" s="127"/>
      <c r="F151" s="127"/>
      <c r="G151" s="127"/>
      <c r="H151" s="127"/>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row>
    <row r="152" spans="1:33" ht="16.5" customHeight="1">
      <c r="A152" s="861"/>
      <c r="B152" s="861"/>
      <c r="C152" s="127"/>
      <c r="D152" s="270"/>
      <c r="E152" s="127"/>
      <c r="F152" s="127"/>
      <c r="G152" s="127"/>
      <c r="H152" s="127"/>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row>
    <row r="153" spans="1:33" ht="16.5" customHeight="1">
      <c r="A153" s="861"/>
      <c r="B153" s="861"/>
      <c r="C153" s="127"/>
      <c r="D153" s="270"/>
      <c r="E153" s="127"/>
      <c r="F153" s="127"/>
      <c r="G153" s="127"/>
      <c r="H153" s="127"/>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row>
    <row r="154" spans="1:33" ht="16.5" customHeight="1">
      <c r="A154" s="861"/>
      <c r="B154" s="861"/>
      <c r="C154" s="127"/>
      <c r="D154" s="270"/>
      <c r="E154" s="127"/>
      <c r="F154" s="127"/>
      <c r="G154" s="127"/>
      <c r="H154" s="127"/>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row>
    <row r="155" spans="1:33" ht="16.5" customHeight="1">
      <c r="A155" s="861"/>
      <c r="B155" s="861"/>
      <c r="C155" s="127"/>
      <c r="D155" s="270"/>
      <c r="E155" s="127"/>
      <c r="F155" s="127"/>
      <c r="G155" s="127"/>
      <c r="H155" s="127"/>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row>
    <row r="156" spans="1:33" ht="16.5" customHeight="1">
      <c r="A156" s="861"/>
      <c r="B156" s="861"/>
      <c r="C156" s="127"/>
      <c r="D156" s="270"/>
      <c r="E156" s="127"/>
      <c r="F156" s="127"/>
      <c r="G156" s="127"/>
      <c r="H156" s="127"/>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row>
    <row r="157" spans="1:33" ht="16.5" customHeight="1">
      <c r="A157" s="861"/>
      <c r="B157" s="861"/>
      <c r="C157" s="127"/>
      <c r="D157" s="270"/>
      <c r="E157" s="127"/>
      <c r="F157" s="127"/>
      <c r="G157" s="127"/>
      <c r="H157" s="127"/>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row>
    <row r="158" spans="1:33" ht="16.5" customHeight="1">
      <c r="A158" s="861"/>
      <c r="B158" s="861"/>
      <c r="C158" s="127"/>
      <c r="D158" s="270"/>
      <c r="E158" s="127"/>
      <c r="F158" s="127"/>
      <c r="G158" s="127"/>
      <c r="H158" s="127"/>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row>
    <row r="159" spans="1:33" ht="16.5" customHeight="1">
      <c r="A159" s="861"/>
      <c r="B159" s="861"/>
      <c r="C159" s="127"/>
      <c r="D159" s="270"/>
      <c r="E159" s="127"/>
      <c r="F159" s="127"/>
      <c r="G159" s="127"/>
      <c r="H159" s="127"/>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row>
    <row r="160" spans="1:33" ht="16.5" customHeight="1">
      <c r="A160" s="861"/>
      <c r="B160" s="861"/>
      <c r="C160" s="127"/>
      <c r="D160" s="270"/>
      <c r="E160" s="127"/>
      <c r="F160" s="127"/>
      <c r="G160" s="127"/>
      <c r="H160" s="127"/>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row>
    <row r="161" spans="1:33" ht="16.5" customHeight="1">
      <c r="A161" s="861"/>
      <c r="B161" s="861"/>
      <c r="C161" s="127"/>
      <c r="D161" s="270"/>
      <c r="E161" s="127"/>
      <c r="F161" s="127"/>
      <c r="G161" s="127"/>
      <c r="H161" s="127"/>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row>
    <row r="162" spans="1:33" ht="16.5" customHeight="1">
      <c r="A162" s="861"/>
      <c r="B162" s="861"/>
      <c r="C162" s="127"/>
      <c r="D162" s="270"/>
      <c r="E162" s="127"/>
      <c r="F162" s="127"/>
      <c r="G162" s="127"/>
      <c r="H162" s="127"/>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row>
    <row r="163" spans="1:33" ht="16.5" customHeight="1">
      <c r="A163" s="861"/>
      <c r="B163" s="861"/>
      <c r="C163" s="127"/>
      <c r="D163" s="270"/>
      <c r="E163" s="127"/>
      <c r="F163" s="127"/>
      <c r="G163" s="127"/>
      <c r="H163" s="127"/>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row>
    <row r="164" spans="1:33" ht="16.5" customHeight="1">
      <c r="A164" s="861"/>
      <c r="B164" s="861"/>
      <c r="C164" s="127"/>
      <c r="D164" s="270"/>
      <c r="E164" s="127"/>
      <c r="F164" s="127"/>
      <c r="G164" s="127"/>
      <c r="H164" s="127"/>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row>
    <row r="165" spans="1:33" ht="16.5" customHeight="1">
      <c r="A165" s="861"/>
      <c r="B165" s="861"/>
      <c r="C165" s="127"/>
      <c r="D165" s="270"/>
      <c r="E165" s="127"/>
      <c r="F165" s="127"/>
      <c r="G165" s="127"/>
      <c r="H165" s="127"/>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row>
    <row r="166" spans="1:33" ht="16.5" customHeight="1">
      <c r="A166" s="861"/>
      <c r="B166" s="861"/>
      <c r="C166" s="127"/>
      <c r="D166" s="270"/>
      <c r="E166" s="127"/>
      <c r="F166" s="127"/>
      <c r="G166" s="127"/>
      <c r="H166" s="127"/>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row>
    <row r="167" spans="1:33" ht="16.5" customHeight="1">
      <c r="A167" s="861"/>
      <c r="B167" s="861"/>
      <c r="C167" s="127"/>
      <c r="D167" s="270"/>
      <c r="E167" s="127"/>
      <c r="F167" s="127"/>
      <c r="G167" s="127"/>
      <c r="H167" s="127"/>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row>
    <row r="168" spans="1:33" ht="16.5" customHeight="1">
      <c r="A168" s="861"/>
      <c r="B168" s="861"/>
      <c r="C168" s="127"/>
      <c r="D168" s="270"/>
      <c r="E168" s="127"/>
      <c r="F168" s="127"/>
      <c r="G168" s="127"/>
      <c r="H168" s="127"/>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row>
    <row r="169" spans="1:33" ht="16.5" customHeight="1">
      <c r="A169" s="861"/>
      <c r="B169" s="861"/>
      <c r="C169" s="127"/>
      <c r="D169" s="270"/>
      <c r="E169" s="127"/>
      <c r="F169" s="127"/>
      <c r="G169" s="127"/>
      <c r="H169" s="127"/>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row>
    <row r="170" spans="1:33" ht="16.5" customHeight="1">
      <c r="A170" s="861"/>
      <c r="B170" s="861"/>
      <c r="C170" s="127"/>
      <c r="D170" s="270"/>
      <c r="E170" s="127"/>
      <c r="F170" s="127"/>
      <c r="G170" s="127"/>
      <c r="H170" s="127"/>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row>
    <row r="171" spans="1:33" ht="16.5" customHeight="1">
      <c r="A171" s="861"/>
      <c r="B171" s="861"/>
      <c r="C171" s="127"/>
      <c r="D171" s="270"/>
      <c r="E171" s="127"/>
      <c r="F171" s="127"/>
      <c r="G171" s="127"/>
      <c r="H171" s="127"/>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row>
    <row r="172" spans="1:33" ht="16.5" customHeight="1"/>
    <row r="173" spans="1:33" ht="16.5" customHeight="1"/>
    <row r="174" spans="1:33" ht="16.5" customHeight="1"/>
    <row r="175" spans="1:33" ht="16.5" customHeight="1"/>
    <row r="176" spans="1:33"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sheetData>
  <sheetProtection password="F66A" sheet="1"/>
  <conditionalFormatting sqref="K8:AG10">
    <cfRule type="cellIs" dxfId="40" priority="18" stopIfTrue="1" operator="equal">
      <formula>1</formula>
    </cfRule>
  </conditionalFormatting>
  <conditionalFormatting sqref="D3">
    <cfRule type="cellIs" dxfId="39" priority="27" operator="notEqual">
      <formula>0</formula>
    </cfRule>
  </conditionalFormatting>
  <conditionalFormatting sqref="J8:J10">
    <cfRule type="cellIs" dxfId="38" priority="15" stopIfTrue="1" operator="equal">
      <formula>1</formula>
    </cfRule>
  </conditionalFormatting>
  <conditionalFormatting sqref="N8">
    <cfRule type="cellIs" dxfId="37" priority="12" stopIfTrue="1" operator="equal">
      <formula>1</formula>
    </cfRule>
  </conditionalFormatting>
  <conditionalFormatting sqref="F95">
    <cfRule type="cellIs" dxfId="36" priority="6" operator="notEqual">
      <formula>0</formula>
    </cfRule>
  </conditionalFormatting>
  <conditionalFormatting sqref="K6:L6 R6:AG6">
    <cfRule type="cellIs" dxfId="35" priority="5" stopIfTrue="1" operator="equal">
      <formula>1</formula>
    </cfRule>
  </conditionalFormatting>
  <conditionalFormatting sqref="J4 K4:AG5">
    <cfRule type="expression" dxfId="34" priority="4" stopIfTrue="1">
      <formula>J$6=1</formula>
    </cfRule>
  </conditionalFormatting>
  <conditionalFormatting sqref="M6:Q6">
    <cfRule type="cellIs" dxfId="33" priority="3" stopIfTrue="1" operator="equal">
      <formula>1</formula>
    </cfRule>
  </conditionalFormatting>
  <conditionalFormatting sqref="J5">
    <cfRule type="expression" dxfId="32" priority="2" stopIfTrue="1">
      <formula>J$6=1</formula>
    </cfRule>
  </conditionalFormatting>
  <conditionalFormatting sqref="J6:AG6">
    <cfRule type="cellIs" dxfId="31" priority="1" stopIfTrue="1" operator="equal">
      <formula>1</formula>
    </cfRule>
  </conditionalFormatting>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xes">
    <tabColor theme="1"/>
    <pageSetUpPr autoPageBreaks="0"/>
  </sheetPr>
  <dimension ref="A1:NE114"/>
  <sheetViews>
    <sheetView showGridLines="0" zoomScaleNormal="100" workbookViewId="0"/>
  </sheetViews>
  <sheetFormatPr baseColWidth="10" defaultColWidth="0" defaultRowHeight="12.75" outlineLevelRow="2"/>
  <cols>
    <col min="1" max="1" width="2.7109375" style="632" customWidth="1"/>
    <col min="2" max="2" width="4.5703125" style="632" customWidth="1"/>
    <col min="3" max="3" width="58" style="632" customWidth="1"/>
    <col min="4" max="5" width="13" style="632" customWidth="1"/>
    <col min="6" max="8" width="11.28515625" style="632" customWidth="1"/>
    <col min="9" max="10" width="11.42578125" style="632" customWidth="1"/>
    <col min="11" max="11" width="12.140625" style="632" customWidth="1"/>
    <col min="12" max="33" width="11.42578125" style="632" customWidth="1"/>
    <col min="34" max="369" width="0" style="632" hidden="1" customWidth="1"/>
    <col min="370" max="16384" width="11.42578125" style="632" hidden="1"/>
  </cols>
  <sheetData>
    <row r="1" spans="1:33" ht="20.25">
      <c r="A1" s="41" t="s">
        <v>289</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75" customHeight="1">
      <c r="A2" s="127"/>
      <c r="B2" s="127"/>
      <c r="C2" s="268" t="str">
        <f>Timing!C2</f>
        <v>Model: Fictitious 5 Year Forecast</v>
      </c>
      <c r="D2" s="268"/>
      <c r="E2" s="429" t="s">
        <v>148</v>
      </c>
      <c r="F2" s="127"/>
      <c r="G2" s="127"/>
      <c r="H2" s="282"/>
      <c r="I2" s="282"/>
      <c r="J2" s="326"/>
      <c r="K2" s="282"/>
      <c r="L2" s="282"/>
      <c r="M2" s="282"/>
      <c r="N2" s="282"/>
      <c r="O2" s="282"/>
      <c r="P2" s="282"/>
      <c r="Q2" s="282"/>
      <c r="R2" s="282"/>
      <c r="S2" s="282"/>
      <c r="T2" s="282"/>
      <c r="U2" s="282"/>
      <c r="V2" s="282"/>
      <c r="W2" s="282"/>
      <c r="X2" s="282"/>
      <c r="Y2" s="282"/>
      <c r="Z2" s="282"/>
      <c r="AA2" s="282"/>
      <c r="AB2" s="282"/>
      <c r="AC2" s="282"/>
      <c r="AD2" s="282"/>
      <c r="AE2" s="282"/>
      <c r="AF2" s="282"/>
      <c r="AG2" s="282"/>
    </row>
    <row r="3" spans="1:33" ht="15.75" customHeight="1">
      <c r="A3" s="127"/>
      <c r="B3" s="127"/>
      <c r="C3" s="268" t="str">
        <f>Timing!C3</f>
        <v>Model Integrity:</v>
      </c>
      <c r="D3" s="668">
        <f ca="1">Timing!D3</f>
        <v>0</v>
      </c>
      <c r="E3" s="429" t="s">
        <v>149</v>
      </c>
      <c r="F3" s="127"/>
      <c r="G3" s="280"/>
      <c r="H3" s="280"/>
      <c r="I3" s="277"/>
      <c r="J3" s="281"/>
      <c r="K3" s="282"/>
      <c r="L3" s="281"/>
      <c r="M3" s="282"/>
      <c r="N3" s="281"/>
      <c r="O3" s="282"/>
      <c r="P3" s="281"/>
      <c r="Q3" s="282"/>
      <c r="R3" s="281"/>
      <c r="S3" s="282"/>
      <c r="T3" s="281"/>
      <c r="U3" s="282"/>
      <c r="V3" s="281"/>
      <c r="W3" s="282"/>
      <c r="X3" s="281"/>
      <c r="Y3" s="282"/>
      <c r="Z3" s="281"/>
      <c r="AA3" s="282"/>
      <c r="AB3" s="281"/>
      <c r="AC3" s="282"/>
      <c r="AD3" s="281"/>
      <c r="AE3" s="282"/>
      <c r="AF3" s="281"/>
      <c r="AG3" s="282"/>
    </row>
    <row r="4" spans="1:33" ht="15" customHeight="1">
      <c r="A4" s="127"/>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7.2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17.25" customHeight="1">
      <c r="A7" s="861"/>
      <c r="B7" s="282"/>
      <c r="C7" s="327" t="str">
        <f>Timing!C11</f>
        <v>Calendar Year (Counter)</v>
      </c>
      <c r="D7" s="328" t="str">
        <f>Timing!D15</f>
        <v>#</v>
      </c>
      <c r="E7" s="327"/>
      <c r="F7" s="327"/>
      <c r="G7" s="327"/>
      <c r="H7" s="327"/>
      <c r="I7" s="282"/>
      <c r="J7" s="329">
        <f>Timing!J15</f>
        <v>1</v>
      </c>
      <c r="K7" s="329">
        <f>Timing!K15</f>
        <v>1</v>
      </c>
      <c r="L7" s="329">
        <f>Timing!L15</f>
        <v>1</v>
      </c>
      <c r="M7" s="329">
        <f>Timing!M15</f>
        <v>1</v>
      </c>
      <c r="N7" s="329">
        <f>Timing!N15</f>
        <v>1</v>
      </c>
      <c r="O7" s="329">
        <f>Timing!O15</f>
        <v>1</v>
      </c>
      <c r="P7" s="329">
        <f>Timing!P15</f>
        <v>1</v>
      </c>
      <c r="Q7" s="329">
        <f>Timing!Q15</f>
        <v>1</v>
      </c>
      <c r="R7" s="329">
        <f>Timing!R15</f>
        <v>1</v>
      </c>
      <c r="S7" s="329">
        <f>Timing!S15</f>
        <v>1</v>
      </c>
      <c r="T7" s="329">
        <f>Timing!T15</f>
        <v>2</v>
      </c>
      <c r="U7" s="329">
        <f>Timing!U15</f>
        <v>2</v>
      </c>
      <c r="V7" s="329">
        <f>Timing!V15</f>
        <v>2</v>
      </c>
      <c r="W7" s="329">
        <f>Timing!W15</f>
        <v>2</v>
      </c>
      <c r="X7" s="329">
        <f>Timing!X15</f>
        <v>2</v>
      </c>
      <c r="Y7" s="329">
        <f>Timing!Y15</f>
        <v>2</v>
      </c>
      <c r="Z7" s="329">
        <f>Timing!Z15</f>
        <v>2</v>
      </c>
      <c r="AA7" s="329">
        <f>Timing!AA15</f>
        <v>2</v>
      </c>
      <c r="AB7" s="329">
        <f>Timing!AB15</f>
        <v>2</v>
      </c>
      <c r="AC7" s="329">
        <f>Timing!AC15</f>
        <v>2</v>
      </c>
      <c r="AD7" s="329">
        <f>Timing!AD15</f>
        <v>2</v>
      </c>
      <c r="AE7" s="329">
        <f>Timing!AE15</f>
        <v>2</v>
      </c>
      <c r="AF7" s="329">
        <f>Timing!AF15</f>
        <v>3</v>
      </c>
      <c r="AG7" s="329">
        <f>Timing!AG15</f>
        <v>3</v>
      </c>
    </row>
    <row r="8" spans="1:33" ht="17.25" customHeight="1">
      <c r="A8" s="861"/>
      <c r="B8" s="282"/>
      <c r="C8" s="327"/>
      <c r="D8" s="328"/>
      <c r="E8" s="327"/>
      <c r="F8" s="327"/>
      <c r="G8" s="327"/>
      <c r="H8" s="327"/>
      <c r="I8" s="282"/>
      <c r="J8" s="329"/>
      <c r="K8" s="329"/>
      <c r="L8" s="282"/>
      <c r="M8" s="282"/>
      <c r="N8" s="282"/>
      <c r="O8" s="282"/>
      <c r="P8" s="282"/>
      <c r="Q8" s="282"/>
      <c r="R8" s="282"/>
      <c r="S8" s="282"/>
      <c r="T8" s="282"/>
      <c r="U8" s="282"/>
      <c r="V8" s="282"/>
      <c r="W8" s="282"/>
      <c r="X8" s="282"/>
      <c r="Y8" s="282"/>
      <c r="Z8" s="282"/>
      <c r="AA8" s="282"/>
      <c r="AB8" s="282"/>
      <c r="AC8" s="282"/>
      <c r="AD8" s="282"/>
      <c r="AE8" s="282"/>
      <c r="AF8" s="282"/>
      <c r="AG8" s="282"/>
    </row>
    <row r="9" spans="1:33" s="282" customFormat="1" ht="18" customHeight="1">
      <c r="A9" s="861"/>
    </row>
    <row r="10" spans="1:33" s="282" customFormat="1" ht="27" customHeight="1" thickBot="1">
      <c r="A10" s="325"/>
      <c r="B10" s="325"/>
      <c r="C10" s="325" t="str">
        <f>"Input/output Tax (" &amp;Name_VAT &amp;")"</f>
        <v>Input/output Tax (VAT)</v>
      </c>
      <c r="D10" s="325"/>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row>
    <row r="11" spans="1:33" s="282" customFormat="1" ht="13.5" customHeight="1" outlineLevel="1">
      <c r="A11" s="861"/>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row>
    <row r="12" spans="1:33" s="282" customFormat="1" ht="20.25" customHeight="1" outlineLevel="1">
      <c r="A12" s="861"/>
      <c r="B12" s="409">
        <v>1</v>
      </c>
      <c r="C12" s="274" t="s">
        <v>292</v>
      </c>
      <c r="D12" s="271"/>
      <c r="E12" s="127"/>
      <c r="F12" s="127"/>
      <c r="G12" s="127"/>
      <c r="H12" s="127"/>
      <c r="I12" s="438"/>
      <c r="J12" s="127"/>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row>
    <row r="13" spans="1:33" s="282" customFormat="1" ht="18" customHeight="1" outlineLevel="2">
      <c r="A13" s="861"/>
      <c r="B13" s="235"/>
      <c r="C13" s="24" t="str">
        <f>"   " &amp;Name_VAT &amp;" on sales"</f>
        <v xml:space="preserve">   VAT on sales</v>
      </c>
      <c r="D13" s="8" t="str">
        <f t="shared" ref="D13:D18" si="0">Currency_Label</f>
        <v>USD</v>
      </c>
      <c r="E13" s="8" t="s">
        <v>290</v>
      </c>
      <c r="F13" s="40"/>
      <c r="G13" s="40"/>
      <c r="H13" s="40"/>
      <c r="I13" s="236">
        <f t="shared" ref="I13:I18" ca="1" si="1">SUM(J13:AG13)</f>
        <v>271485.43146102893</v>
      </c>
      <c r="J13" s="697">
        <f ca="1">('Offering 1'!J35+'Offering 1'!J42)+('Offering 2'!J35+'Offering 2'!J42)+('Offering 3'!J35+'Offering 3'!J42)+('Offering 4'!J35+'Offering 4'!J42)</f>
        <v>1995.1840000000004</v>
      </c>
      <c r="K13" s="697">
        <f ca="1">('Offering 1'!K35+'Offering 1'!K42)+('Offering 2'!K35+'Offering 2'!K42)+('Offering 3'!K35+'Offering 3'!K42)+('Offering 4'!K35+'Offering 4'!K42)</f>
        <v>2778.7840000000006</v>
      </c>
      <c r="L13" s="697">
        <f ca="1">('Offering 1'!L35+'Offering 1'!L42)+('Offering 2'!L35+'Offering 2'!L42)+('Offering 3'!L35+'Offering 3'!L42)+('Offering 4'!L35+'Offering 4'!L42)</f>
        <v>3685.7840000000006</v>
      </c>
      <c r="M13" s="697">
        <f ca="1">('Offering 1'!M35+'Offering 1'!M42)+('Offering 2'!M35+'Offering 2'!M42)+('Offering 3'!M35+'Offering 3'!M42)+('Offering 4'!M35+'Offering 4'!M42)</f>
        <v>4624.6176000000005</v>
      </c>
      <c r="N13" s="697">
        <f ca="1">('Offering 1'!N35+'Offering 1'!N42)+('Offering 2'!N35+'Offering 2'!N42)+('Offering 3'!N35+'Offering 3'!N42)+('Offering 4'!N35+'Offering 4'!N42)</f>
        <v>5654.5408000000007</v>
      </c>
      <c r="O13" s="697">
        <f ca="1">('Offering 1'!O35+'Offering 1'!O42)+('Offering 2'!O35+'Offering 2'!O42)+('Offering 3'!O35+'Offering 3'!O42)+('Offering 4'!O35+'Offering 4'!O42)</f>
        <v>6677.7287680000018</v>
      </c>
      <c r="P13" s="697">
        <f ca="1">('Offering 1'!P35+'Offering 1'!P42)+('Offering 2'!P35+'Offering 2'!P42)+('Offering 3'!P35+'Offering 3'!P42)+('Offering 4'!P35+'Offering 4'!P42)</f>
        <v>7824.9135027200027</v>
      </c>
      <c r="Q13" s="697">
        <f ca="1">('Offering 1'!Q35+'Offering 1'!Q42)+('Offering 2'!Q35+'Offering 2'!Q42)+('Offering 3'!Q35+'Offering 3'!Q42)+('Offering 4'!Q35+'Offering 4'!Q42)</f>
        <v>8975.7702489088042</v>
      </c>
      <c r="R13" s="697">
        <f ca="1">('Offering 1'!R35+'Offering 1'!R42)+('Offering 2'!R35+'Offering 2'!R42)+('Offering 3'!R35+'Offering 3'!R42)+('Offering 4'!R35+'Offering 4'!R42)</f>
        <v>10195.938359345157</v>
      </c>
      <c r="S13" s="697">
        <f ca="1">('Offering 1'!S35+'Offering 1'!S42)+('Offering 2'!S35+'Offering 2'!S42)+('Offering 3'!S35+'Offering 3'!S42)+('Offering 4'!S35+'Offering 4'!S42)</f>
        <v>11126.462005078964</v>
      </c>
      <c r="T13" s="697">
        <f ca="1">('Offering 1'!T35+'Offering 1'!T42)+('Offering 2'!T35+'Offering 2'!T42)+('Offering 3'!T35+'Offering 3'!T42)+('Offering 4'!T35+'Offering 4'!T42)</f>
        <v>12259.552479726923</v>
      </c>
      <c r="U13" s="697">
        <f ca="1">('Offering 1'!U35+'Offering 1'!U42)+('Offering 2'!U35+'Offering 2'!U42)+('Offering 3'!U35+'Offering 3'!U42)+('Offering 4'!U35+'Offering 4'!U42)</f>
        <v>12884.59948568069</v>
      </c>
      <c r="V13" s="697">
        <f ca="1">('Offering 1'!V35+'Offering 1'!V42)+('Offering 2'!V35+'Offering 2'!V42)+('Offering 3'!V35+'Offering 3'!V42)+('Offering 4'!V35+'Offering 4'!V42)</f>
        <v>13725.119174891121</v>
      </c>
      <c r="W13" s="697">
        <f ca="1">('Offering 1'!W35+'Offering 1'!W42)+('Offering 2'!W35+'Offering 2'!W42)+('Offering 3'!W35+'Offering 3'!W42)+('Offering 4'!W35+'Offering 4'!W42)</f>
        <v>14757.553028457101</v>
      </c>
      <c r="X13" s="697">
        <f ca="1">('Offering 1'!X35+'Offering 1'!X42)+('Offering 2'!X35+'Offering 2'!X42)+('Offering 3'!X35+'Offering 3'!X42)+('Offering 4'!X35+'Offering 4'!X42)</f>
        <v>15803.467240115799</v>
      </c>
      <c r="Y13" s="697">
        <f ca="1">('Offering 1'!Y35+'Offering 1'!Y42)+('Offering 2'!Y35+'Offering 2'!Y42)+('Offering 3'!Y35+'Offering 3'!Y42)+('Offering 4'!Y35+'Offering 4'!Y42)</f>
        <v>16703.369459785867</v>
      </c>
      <c r="Z13" s="697">
        <f ca="1">('Offering 1'!Z35+'Offering 1'!Z42)+('Offering 2'!Z35+'Offering 2'!Z42)+('Offering 3'!Z35+'Offering 3'!Z42)+('Offering 4'!Z35+'Offering 4'!Z42)</f>
        <v>17733.959237792395</v>
      </c>
      <c r="AA13" s="697">
        <f ca="1">('Offering 1'!AA35+'Offering 1'!AA42)+('Offering 2'!AA35+'Offering 2'!AA42)+('Offering 3'!AA35+'Offering 3'!AA42)+('Offering 4'!AA35+'Offering 4'!AA42)</f>
        <v>18784.631689921243</v>
      </c>
      <c r="AB13" s="697">
        <f ca="1">('Offering 1'!AB35+'Offering 1'!AB42)+('Offering 2'!AB35+'Offering 2'!AB42)+('Offering 3'!AB35+'Offering 3'!AB42)+('Offering 4'!AB35+'Offering 4'!AB42)</f>
        <v>19731.391651466518</v>
      </c>
      <c r="AC13" s="697">
        <f ca="1">('Offering 1'!AC35+'Offering 1'!AC42)+('Offering 2'!AC35+'Offering 2'!AC42)+('Offering 3'!AC35+'Offering 3'!AC42)+('Offering 4'!AC35+'Offering 4'!AC42)</f>
        <v>20791.288990363206</v>
      </c>
      <c r="AD13" s="697">
        <f ca="1">('Offering 1'!AD35+'Offering 1'!AD42)+('Offering 2'!AD35+'Offering 2'!AD42)+('Offering 3'!AD35+'Offering 3'!AD42)+('Offering 4'!AD35+'Offering 4'!AD42)</f>
        <v>21877.515125897335</v>
      </c>
      <c r="AE13" s="697">
        <f ca="1">('Offering 1'!AE35+'Offering 1'!AE42)+('Offering 2'!AE35+'Offering 2'!AE42)+('Offering 3'!AE35+'Offering 3'!AE42)+('Offering 4'!AE35+'Offering 4'!AE42)</f>
        <v>22893.260612877784</v>
      </c>
      <c r="AF13" s="697">
        <f ca="1">('Offering 1'!AF35+'Offering 1'!AF42)+('Offering 2'!AF35+'Offering 2'!AF42)+('Offering 3'!AF35+'Offering 3'!AF42)+('Offering 4'!AF35+'Offering 4'!AF42)</f>
        <v>0</v>
      </c>
      <c r="AG13" s="697">
        <f ca="1">('Offering 1'!AG35+'Offering 1'!AG42)+('Offering 2'!AG35+'Offering 2'!AG42)+('Offering 3'!AG35+'Offering 3'!AG42)+('Offering 4'!AG35+'Offering 4'!AG42)</f>
        <v>0</v>
      </c>
    </row>
    <row r="14" spans="1:33" s="282" customFormat="1" ht="18" customHeight="1" outlineLevel="2">
      <c r="A14" s="861"/>
      <c r="B14" s="861"/>
      <c r="C14" s="36" t="str">
        <f>"   "&amp;Name_VAT &amp;" on direct costs (Costs of Sales)"</f>
        <v xml:space="preserve">   VAT on direct costs (Costs of Sales)</v>
      </c>
      <c r="D14" s="8" t="str">
        <f t="shared" si="0"/>
        <v>USD</v>
      </c>
      <c r="E14" s="8" t="s">
        <v>291</v>
      </c>
      <c r="F14" s="40"/>
      <c r="G14" s="40"/>
      <c r="H14" s="1014"/>
      <c r="I14" s="236">
        <f t="shared" ca="1" si="1"/>
        <v>-25406.567113507743</v>
      </c>
      <c r="J14" s="697">
        <f ca="1">-'Offering 1'!J72-'Offering 2'!J72-'Offering 3'!J72-'Offering 4'!J72</f>
        <v>-125.85600000000001</v>
      </c>
      <c r="K14" s="697">
        <f ca="1">-'Offering 1'!K72-'Offering 2'!K72-'Offering 3'!K72-'Offering 4'!K72</f>
        <v>-186.65600000000003</v>
      </c>
      <c r="L14" s="697">
        <f ca="1">-'Offering 1'!L72-'Offering 2'!L72-'Offering 3'!L72-'Offering 4'!L72</f>
        <v>-262.65600000000012</v>
      </c>
      <c r="M14" s="697">
        <f ca="1">-'Offering 1'!M72-'Offering 2'!M72-'Offering 3'!M72-'Offering 4'!M72</f>
        <v>-491.12624</v>
      </c>
      <c r="N14" s="697">
        <f ca="1">-'Offering 1'!N72-'Offering 2'!N72-'Offering 3'!N72-'Offering 4'!N72</f>
        <v>-414.56480000000005</v>
      </c>
      <c r="O14" s="697">
        <f ca="1">-'Offering 1'!O72-'Offering 2'!O72-'Offering 3'!O72-'Offering 4'!O72</f>
        <v>-496.25446399999998</v>
      </c>
      <c r="P14" s="697">
        <f ca="1">-'Offering 1'!P72-'Offering 2'!P72-'Offering 3'!P72-'Offering 4'!P72</f>
        <v>-900.57929792000027</v>
      </c>
      <c r="Q14" s="697">
        <f ca="1">-'Offering 1'!Q72-'Offering 2'!Q72-'Offering 3'!Q72-'Offering 4'!Q72</f>
        <v>-660.70109514240028</v>
      </c>
      <c r="R14" s="697">
        <f ca="1">-'Offering 1'!R72-'Offering 2'!R72-'Offering 3'!R72-'Offering 4'!R72</f>
        <v>-748.98085734809615</v>
      </c>
      <c r="S14" s="697">
        <f ca="1">-'Offering 1'!S72-'Offering 2'!S72-'Offering 3'!S72-'Offering 4'!S72</f>
        <v>-1342.0253442614994</v>
      </c>
      <c r="T14" s="697">
        <f ca="1">-'Offering 1'!T72-'Offering 2'!T72-'Offering 3'!T72-'Offering 4'!T72</f>
        <v>-899.70301284370089</v>
      </c>
      <c r="U14" s="697">
        <f ca="1">-'Offering 1'!U72-'Offering 2'!U72-'Offering 3'!U72-'Offering 4'!U72</f>
        <v>-982.54413927744895</v>
      </c>
      <c r="V14" s="697">
        <f ca="1">-'Offering 1'!V72-'Offering 2'!V72-'Offering 3'!V72-'Offering 4'!V72</f>
        <v>-1760.3241050182785</v>
      </c>
      <c r="W14" s="697">
        <f ca="1">-'Offering 1'!W72-'Offering 2'!W72-'Offering 3'!W72-'Offering 4'!W72</f>
        <v>-1130.3121351592888</v>
      </c>
      <c r="X14" s="697">
        <f ca="1">-'Offering 1'!X72-'Offering 2'!X72-'Offering 3'!X72-'Offering 4'!X72</f>
        <v>-1210.9863200040604</v>
      </c>
      <c r="Y14" s="697">
        <f ca="1">-'Offering 1'!Y72-'Offering 2'!Y72-'Offering 3'!Y72-'Offering 4'!Y72</f>
        <v>-2151.6909250643034</v>
      </c>
      <c r="Z14" s="697">
        <f ca="1">-'Offering 1'!Z72-'Offering 2'!Z72-'Offering 3'!Z72-'Offering 4'!Z72</f>
        <v>-1360.6907583951277</v>
      </c>
      <c r="AA14" s="697">
        <f ca="1">-'Offering 1'!AA72-'Offering 2'!AA72-'Offering 3'!AA72-'Offering 4'!AA72</f>
        <v>-1441.9300244963574</v>
      </c>
      <c r="AB14" s="697">
        <f ca="1">-'Offering 1'!AB72-'Offering 2'!AB72-'Offering 3'!AB72-'Offering 4'!AB72</f>
        <v>-2565.0880238357499</v>
      </c>
      <c r="AC14" s="697">
        <f ca="1">-'Offering 1'!AC72-'Offering 2'!AC72-'Offering 3'!AC72-'Offering 4'!AC72</f>
        <v>-1597.8082084435687</v>
      </c>
      <c r="AD14" s="697">
        <f ca="1">-'Offering 1'!AD72-'Offering 2'!AD72-'Offering 3'!AD72-'Offering 4'!AD72</f>
        <v>-1681.9650869456623</v>
      </c>
      <c r="AE14" s="697">
        <f ca="1">-'Offering 1'!AE72-'Offering 2'!AE72-'Offering 3'!AE72-'Offering 4'!AE72</f>
        <v>-2994.1242753521992</v>
      </c>
      <c r="AF14" s="697">
        <f ca="1">-'Offering 1'!AF72-'Offering 2'!AF72-'Offering 3'!AF72-'Offering 4'!AF72</f>
        <v>0</v>
      </c>
      <c r="AG14" s="697">
        <f ca="1">-'Offering 1'!AG72-'Offering 2'!AG72-'Offering 3'!AG72-'Offering 4'!AG72</f>
        <v>0</v>
      </c>
    </row>
    <row r="15" spans="1:33" s="861" customFormat="1" ht="18" customHeight="1" outlineLevel="2">
      <c r="C15" s="36" t="str">
        <f>"   "&amp;Name_VAT &amp;" on inventory increases"</f>
        <v xml:space="preserve">   VAT on inventory increases</v>
      </c>
      <c r="D15" s="8" t="str">
        <f t="shared" si="0"/>
        <v>USD</v>
      </c>
      <c r="E15" s="8" t="s">
        <v>291</v>
      </c>
      <c r="F15" s="800"/>
      <c r="G15" s="40"/>
      <c r="H15" s="1014"/>
      <c r="I15" s="236">
        <f t="shared" ca="1" si="1"/>
        <v>-7268.9928582104103</v>
      </c>
      <c r="J15" s="697">
        <f ca="1">-IFS!J211</f>
        <v>-304.28571428571439</v>
      </c>
      <c r="K15" s="697">
        <f ca="1">-IFS!K211</f>
        <v>-179.58525345622115</v>
      </c>
      <c r="L15" s="697">
        <f ca="1">-IFS!L211</f>
        <v>-324.7956989247312</v>
      </c>
      <c r="M15" s="697">
        <f ca="1">-IFS!M211</f>
        <v>-260.1178494623656</v>
      </c>
      <c r="N15" s="697">
        <f ca="1">-IFS!N211</f>
        <v>-386.62348387096813</v>
      </c>
      <c r="O15" s="697">
        <f ca="1">-IFS!O211</f>
        <v>-264.97950967741934</v>
      </c>
      <c r="P15" s="697">
        <f ca="1">-IFS!P211</f>
        <v>-367.25596490322647</v>
      </c>
      <c r="Q15" s="697">
        <f ca="1">-IFS!Q211</f>
        <v>-462.34152450202129</v>
      </c>
      <c r="R15" s="697">
        <f ca="1">-IFS!R211</f>
        <v>-294.55031973601734</v>
      </c>
      <c r="S15" s="697">
        <f ca="1">-IFS!S211</f>
        <v>-414.88939127179509</v>
      </c>
      <c r="T15" s="697">
        <f ca="1">-IFS!T211</f>
        <v>-243.72312340445529</v>
      </c>
      <c r="U15" s="697">
        <f ca="1">-IFS!U211</f>
        <v>-196.03671395849091</v>
      </c>
      <c r="V15" s="697">
        <f ca="1">-IFS!V211</f>
        <v>-735.43901306580528</v>
      </c>
      <c r="W15" s="697">
        <f ca="1">-IFS!W211</f>
        <v>0</v>
      </c>
      <c r="X15" s="697">
        <f ca="1">-IFS!X211</f>
        <v>-501.01473948662647</v>
      </c>
      <c r="Y15" s="697">
        <f ca="1">-IFS!Y211</f>
        <v>-118.91293522713592</v>
      </c>
      <c r="Z15" s="697">
        <f ca="1">-IFS!Z211</f>
        <v>-516.53364478028971</v>
      </c>
      <c r="AA15" s="697">
        <f ca="1">-IFS!AA211</f>
        <v>-146.63233264641025</v>
      </c>
      <c r="AB15" s="697">
        <f ca="1">-IFS!AB211</f>
        <v>-301.41071189317972</v>
      </c>
      <c r="AC15" s="697">
        <f ca="1">-IFS!AC211</f>
        <v>-558.23002622327192</v>
      </c>
      <c r="AD15" s="697">
        <f ca="1">-IFS!AD211</f>
        <v>-125.39931535367623</v>
      </c>
      <c r="AE15" s="697">
        <f ca="1">-IFS!AE211</f>
        <v>-566.23559208058998</v>
      </c>
      <c r="AF15" s="697">
        <f ca="1">-IFS!AF211</f>
        <v>0</v>
      </c>
      <c r="AG15" s="697">
        <f ca="1">-IFS!AG211</f>
        <v>0</v>
      </c>
    </row>
    <row r="16" spans="1:33" s="282" customFormat="1" ht="18" customHeight="1" outlineLevel="2">
      <c r="A16" s="861"/>
      <c r="B16" s="235"/>
      <c r="C16" s="36" t="str">
        <f>"   "&amp;Name_VAT &amp;" on overheads (non-payroll expenses only)"</f>
        <v xml:space="preserve">   VAT on overheads (non-payroll expenses only)</v>
      </c>
      <c r="D16" s="8" t="str">
        <f t="shared" si="0"/>
        <v>USD</v>
      </c>
      <c r="E16" s="8" t="s">
        <v>291</v>
      </c>
      <c r="F16" s="40"/>
      <c r="G16" s="40"/>
      <c r="H16" s="40"/>
      <c r="I16" s="236">
        <f t="shared" ca="1" si="1"/>
        <v>-43511.762686332258</v>
      </c>
      <c r="J16" s="697">
        <f ca="1">-Costs!J95</f>
        <v>-1506</v>
      </c>
      <c r="K16" s="697">
        <f ca="1">-Costs!K95</f>
        <v>-1825</v>
      </c>
      <c r="L16" s="697">
        <f ca="1">-Costs!L95</f>
        <v>-3041.0299999999997</v>
      </c>
      <c r="M16" s="697">
        <f ca="1">-Costs!M95</f>
        <v>-2152.6902999999998</v>
      </c>
      <c r="N16" s="697">
        <f ca="1">-Costs!N95</f>
        <v>-1964.7252030000004</v>
      </c>
      <c r="O16" s="697">
        <f ca="1">-Costs!O95</f>
        <v>-1697.1487750300007</v>
      </c>
      <c r="P16" s="697">
        <f ca="1">-Costs!P95</f>
        <v>-1499.9756355803013</v>
      </c>
      <c r="Q16" s="697">
        <f ca="1">-Costs!Q95</f>
        <v>-1513.2209796481031</v>
      </c>
      <c r="R16" s="697">
        <f ca="1">-Costs!R95</f>
        <v>-1526.9006006650634</v>
      </c>
      <c r="S16" s="697">
        <f ca="1">-Costs!S95</f>
        <v>-1841.0309143410141</v>
      </c>
      <c r="T16" s="697">
        <f ca="1">-Costs!T95</f>
        <v>-1555.6289834604956</v>
      </c>
      <c r="U16" s="697">
        <f ca="1">-Costs!U95</f>
        <v>-1980.7125436702145</v>
      </c>
      <c r="V16" s="697">
        <f ca="1">-Costs!V95</f>
        <v>-1586.3000302970363</v>
      </c>
      <c r="W16" s="697">
        <f ca="1">-Costs!W95</f>
        <v>-1602.4106062377296</v>
      </c>
      <c r="X16" s="697">
        <f ca="1">-Costs!X95</f>
        <v>-1919.0641909633387</v>
      </c>
      <c r="Y16" s="697">
        <f ca="1">-Costs!Y95</f>
        <v>-2136.2814906827334</v>
      </c>
      <c r="Z16" s="697">
        <f ca="1">-Costs!Z95</f>
        <v>-3114.0840297117134</v>
      </c>
      <c r="AA16" s="697">
        <f ca="1">-Costs!AA95</f>
        <v>-2132.4941830958678</v>
      </c>
      <c r="AB16" s="697">
        <f ca="1">-Costs!AB95</f>
        <v>-2361.5352105373458</v>
      </c>
      <c r="AC16" s="697">
        <f ca="1">-Costs!AC95</f>
        <v>-2471.2312916776605</v>
      </c>
      <c r="AD16" s="697">
        <f ca="1">-Costs!AD95</f>
        <v>-2031.6075627907733</v>
      </c>
      <c r="AE16" s="697">
        <f ca="1">-Costs!AE95</f>
        <v>-2052.6901549428726</v>
      </c>
      <c r="AF16" s="697">
        <f ca="1">-Costs!AF95</f>
        <v>0</v>
      </c>
      <c r="AG16" s="697">
        <f ca="1">-Costs!AG95</f>
        <v>0</v>
      </c>
    </row>
    <row r="17" spans="1:33" s="282" customFormat="1" ht="18" customHeight="1" outlineLevel="2">
      <c r="A17" s="861"/>
      <c r="B17" s="235"/>
      <c r="C17" s="36" t="str">
        <f>"   "&amp;Name_VAT &amp;" on capex"</f>
        <v xml:space="preserve">   VAT on capex</v>
      </c>
      <c r="D17" s="8" t="str">
        <f t="shared" si="0"/>
        <v>USD</v>
      </c>
      <c r="E17" s="8" t="s">
        <v>291</v>
      </c>
      <c r="F17" s="40"/>
      <c r="G17" s="40"/>
      <c r="H17" s="40"/>
      <c r="I17" s="236">
        <f t="shared" si="1"/>
        <v>-33690</v>
      </c>
      <c r="J17" s="697">
        <f>-Capex!J182</f>
        <v>-1800</v>
      </c>
      <c r="K17" s="697">
        <f>-Capex!K182</f>
        <v>0</v>
      </c>
      <c r="L17" s="697">
        <f>-Capex!L182</f>
        <v>-7200</v>
      </c>
      <c r="M17" s="697">
        <f>-Capex!M182</f>
        <v>0</v>
      </c>
      <c r="N17" s="697">
        <f>-Capex!N182</f>
        <v>0</v>
      </c>
      <c r="O17" s="697">
        <f>-Capex!O182</f>
        <v>0</v>
      </c>
      <c r="P17" s="697">
        <f>-Capex!P182</f>
        <v>-3900</v>
      </c>
      <c r="Q17" s="697">
        <f>-Capex!Q182</f>
        <v>-17790</v>
      </c>
      <c r="R17" s="697">
        <f>-Capex!R182</f>
        <v>0</v>
      </c>
      <c r="S17" s="697">
        <f>-Capex!S182</f>
        <v>0</v>
      </c>
      <c r="T17" s="697">
        <f>-Capex!T182</f>
        <v>0</v>
      </c>
      <c r="U17" s="697">
        <f>-Capex!U182</f>
        <v>0</v>
      </c>
      <c r="V17" s="697">
        <f>-Capex!V182</f>
        <v>-3000</v>
      </c>
      <c r="W17" s="697">
        <f>-Capex!W182</f>
        <v>0</v>
      </c>
      <c r="X17" s="697">
        <f>-Capex!X182</f>
        <v>0</v>
      </c>
      <c r="Y17" s="697">
        <f>-Capex!Y182</f>
        <v>0</v>
      </c>
      <c r="Z17" s="697">
        <f>-Capex!Z182</f>
        <v>0</v>
      </c>
      <c r="AA17" s="697">
        <f>-Capex!AA182</f>
        <v>0</v>
      </c>
      <c r="AB17" s="697">
        <f>-Capex!AB182</f>
        <v>0</v>
      </c>
      <c r="AC17" s="697">
        <f>-Capex!AC182</f>
        <v>0</v>
      </c>
      <c r="AD17" s="697">
        <f>-Capex!AD182</f>
        <v>0</v>
      </c>
      <c r="AE17" s="697">
        <f>-Capex!AE182</f>
        <v>0</v>
      </c>
      <c r="AF17" s="697">
        <f>-Capex!AF182</f>
        <v>0</v>
      </c>
      <c r="AG17" s="697">
        <f>-Capex!AG182</f>
        <v>0</v>
      </c>
    </row>
    <row r="18" spans="1:33" s="282" customFormat="1" ht="18" customHeight="1" outlineLevel="2">
      <c r="A18" s="861"/>
      <c r="B18" s="235"/>
      <c r="C18" s="120" t="str">
        <f>Name_VAT &amp;" payable / (recoverable)"</f>
        <v>VAT payable / (recoverable)</v>
      </c>
      <c r="D18" s="8" t="str">
        <f t="shared" si="0"/>
        <v>USD</v>
      </c>
      <c r="E18" s="40"/>
      <c r="F18" s="40"/>
      <c r="G18" s="40"/>
      <c r="H18" s="40"/>
      <c r="I18" s="236">
        <f t="shared" ca="1" si="1"/>
        <v>161608.1088029785</v>
      </c>
      <c r="J18" s="425">
        <f t="shared" ref="J18:AG18" ca="1" si="2">SUM(J13:J17)</f>
        <v>-1740.957714285714</v>
      </c>
      <c r="K18" s="425">
        <f t="shared" ca="1" si="2"/>
        <v>587.54274654377969</v>
      </c>
      <c r="L18" s="425">
        <f t="shared" ca="1" si="2"/>
        <v>-7142.6976989247305</v>
      </c>
      <c r="M18" s="425">
        <f t="shared" ca="1" si="2"/>
        <v>1720.6832105376357</v>
      </c>
      <c r="N18" s="425">
        <f t="shared" ca="1" si="2"/>
        <v>2888.6273131290322</v>
      </c>
      <c r="O18" s="425">
        <f t="shared" ca="1" si="2"/>
        <v>4219.3460192925813</v>
      </c>
      <c r="P18" s="425">
        <f t="shared" ca="1" si="2"/>
        <v>1157.1026043164748</v>
      </c>
      <c r="Q18" s="425">
        <f t="shared" ca="1" si="2"/>
        <v>-11450.49335038372</v>
      </c>
      <c r="R18" s="425">
        <f t="shared" ca="1" si="2"/>
        <v>7625.5065815959788</v>
      </c>
      <c r="S18" s="425">
        <f t="shared" ca="1" si="2"/>
        <v>7528.5163552046542</v>
      </c>
      <c r="T18" s="425">
        <f t="shared" ca="1" si="2"/>
        <v>9560.4973600182693</v>
      </c>
      <c r="U18" s="425">
        <f t="shared" ca="1" si="2"/>
        <v>9725.3060887745378</v>
      </c>
      <c r="V18" s="425">
        <f t="shared" ca="1" si="2"/>
        <v>6643.0560265100012</v>
      </c>
      <c r="W18" s="425">
        <f t="shared" ca="1" si="2"/>
        <v>12024.830287060082</v>
      </c>
      <c r="X18" s="425">
        <f t="shared" ca="1" si="2"/>
        <v>12172.401989661772</v>
      </c>
      <c r="Y18" s="425">
        <f t="shared" ca="1" si="2"/>
        <v>12296.484108811694</v>
      </c>
      <c r="Z18" s="425">
        <f t="shared" ca="1" si="2"/>
        <v>12742.650804905265</v>
      </c>
      <c r="AA18" s="425">
        <f t="shared" ca="1" si="2"/>
        <v>15063.575149682609</v>
      </c>
      <c r="AB18" s="425">
        <f t="shared" ca="1" si="2"/>
        <v>14503.357705200244</v>
      </c>
      <c r="AC18" s="425">
        <f t="shared" ca="1" si="2"/>
        <v>16164.019464018704</v>
      </c>
      <c r="AD18" s="425">
        <f t="shared" ca="1" si="2"/>
        <v>18038.543160807221</v>
      </c>
      <c r="AE18" s="425">
        <f t="shared" ca="1" si="2"/>
        <v>17280.210590502124</v>
      </c>
      <c r="AF18" s="425">
        <f t="shared" ca="1" si="2"/>
        <v>0</v>
      </c>
      <c r="AG18" s="425">
        <f t="shared" ca="1" si="2"/>
        <v>0</v>
      </c>
    </row>
    <row r="19" spans="1:33" s="282" customFormat="1" ht="18" customHeight="1" outlineLevel="2">
      <c r="A19" s="861"/>
      <c r="B19" s="235"/>
      <c r="C19" s="127"/>
      <c r="D19" s="271"/>
      <c r="H19" s="127"/>
      <c r="I19" s="420"/>
      <c r="J19" s="321"/>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row>
    <row r="20" spans="1:33" s="282" customFormat="1" ht="18" customHeight="1" outlineLevel="2">
      <c r="A20" s="861"/>
      <c r="C20" s="411" t="str">
        <f>"Check: " &amp;Name_VAT</f>
        <v>Check: VAT</v>
      </c>
      <c r="D20" s="271"/>
      <c r="H20" s="127"/>
      <c r="I20" s="420"/>
      <c r="J20" s="1015"/>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row>
    <row r="21" spans="1:33" s="282" customFormat="1" ht="18" customHeight="1" outlineLevel="2">
      <c r="A21" s="861"/>
      <c r="C21" s="36" t="str">
        <f>Name_VAT &amp;": Input tax paid"</f>
        <v>VAT: Input tax paid</v>
      </c>
      <c r="D21" s="398" t="str">
        <f t="shared" ref="D21:D23" si="3">Currency_Label</f>
        <v>USD</v>
      </c>
      <c r="E21" s="701"/>
      <c r="F21" s="701"/>
      <c r="G21" s="333"/>
      <c r="H21" s="36"/>
      <c r="I21" s="236">
        <f ca="1">SUM(J21:AG21)</f>
        <v>109877.32265805041</v>
      </c>
      <c r="J21" s="697">
        <f ca="1">'Debtors+Creditors'!J98+Capex!J182-J14-J15</f>
        <v>2380.1417142857144</v>
      </c>
      <c r="K21" s="697">
        <f ca="1">'Debtors+Creditors'!K98+Capex!K182-K14-K15</f>
        <v>1382.2412534562211</v>
      </c>
      <c r="L21" s="697">
        <f ca="1">'Debtors+Creditors'!L98+Capex!L182-L14-L15</f>
        <v>9379.4516989247313</v>
      </c>
      <c r="M21" s="697">
        <f ca="1">'Debtors+Creditors'!M98+Capex!M182-M14-M15</f>
        <v>3119.2440894623655</v>
      </c>
      <c r="N21" s="697">
        <f ca="1">'Debtors+Creditors'!N98+Capex!N182-N14-N15</f>
        <v>3850.8182838709681</v>
      </c>
      <c r="O21" s="697">
        <f ca="1">'Debtors+Creditors'!O98+Capex!O182-O14-O15</f>
        <v>2422.8682736774194</v>
      </c>
      <c r="P21" s="697">
        <f ca="1">'Debtors+Creditors'!P98+Capex!P182-P14-P15</f>
        <v>7141.8622258232272</v>
      </c>
      <c r="Q21" s="697">
        <f ca="1">'Debtors+Creditors'!Q98+Capex!Q182-Q14-Q15</f>
        <v>20619.865225074424</v>
      </c>
      <c r="R21" s="697">
        <f ca="1">'Debtors+Creditors'!R98+Capex!R182-R14-R15</f>
        <v>2553.5675962804135</v>
      </c>
      <c r="S21" s="697">
        <f ca="1">'Debtors+Creditors'!S98+Capex!S182-S14-S15</f>
        <v>3280.5989301420377</v>
      </c>
      <c r="T21" s="697">
        <f ca="1">'Debtors+Creditors'!T98+Capex!T182-T14-T15</f>
        <v>2681.2084804722858</v>
      </c>
      <c r="U21" s="697">
        <f ca="1">'Debtors+Creditors'!U98+Capex!U182-U14-U15</f>
        <v>3030.9287808783824</v>
      </c>
      <c r="V21" s="697">
        <f ca="1">'Debtors+Creditors'!V98+Capex!V182-V14-V15</f>
        <v>7063.1617953780642</v>
      </c>
      <c r="W21" s="697">
        <f ca="1">'Debtors+Creditors'!W98+Capex!W182-W14-W15</f>
        <v>3123.2651604163284</v>
      </c>
      <c r="X21" s="697">
        <f ca="1">'Debtors+Creditors'!X98+Capex!X182-X14-X15</f>
        <v>3311.0311906380193</v>
      </c>
      <c r="Y21" s="697">
        <f ca="1">'Debtors+Creditors'!Y98+Capex!Y182-Y14-Y15</f>
        <v>4386.2537714134778</v>
      </c>
      <c r="Z21" s="697">
        <f ca="1">'Debtors+Creditors'!Z98+Capex!Z182-Z14-Z15</f>
        <v>3810.057471218438</v>
      </c>
      <c r="AA21" s="697">
        <f ca="1">'Debtors+Creditors'!AA98+Capex!AA182-AA14-AA15</f>
        <v>3499.16347998837</v>
      </c>
      <c r="AB21" s="697">
        <f ca="1">'Debtors+Creditors'!AB98+Capex!AB182-AB14-AB15</f>
        <v>5995.4751828900262</v>
      </c>
      <c r="AC21" s="697">
        <f ca="1">'Debtors+Creditors'!AC98+Capex!AC182-AC14-AC15</f>
        <v>4304.0205319100678</v>
      </c>
      <c r="AD21" s="697">
        <f ca="1">'Debtors+Creditors'!AD98+Capex!AD182-AD14-AD15</f>
        <v>4185.0072515499378</v>
      </c>
      <c r="AE21" s="697">
        <f ca="1">'Debtors+Creditors'!AE98+Capex!AE182-AE14-AE15</f>
        <v>6048.3431033722336</v>
      </c>
      <c r="AF21" s="697">
        <f ca="1">'Debtors+Creditors'!AF98+Capex!AF182-AF14-AF15</f>
        <v>1899.0295848230301</v>
      </c>
      <c r="AG21" s="697">
        <f ca="1">'Debtors+Creditors'!AG98+Capex!AG182-AG14-AG15</f>
        <v>409.717582104234</v>
      </c>
    </row>
    <row r="22" spans="1:33" s="282" customFormat="1" ht="18" customHeight="1" outlineLevel="2">
      <c r="A22" s="861"/>
      <c r="C22" s="36" t="str">
        <f>Name_VAT &amp;": Output tax received"</f>
        <v>VAT: Output tax received</v>
      </c>
      <c r="D22" s="398" t="str">
        <f t="shared" si="3"/>
        <v>USD</v>
      </c>
      <c r="E22" s="701"/>
      <c r="F22" s="701"/>
      <c r="G22" s="1016" t="s">
        <v>958</v>
      </c>
      <c r="H22" s="144">
        <f ca="1">LOOKUP(Enddatum,Period_End,'Debtors+Creditors'!$J34:$AG34)</f>
        <v>22642.060612877809</v>
      </c>
      <c r="I22" s="236">
        <f ca="1">SUM(J22:AG22)</f>
        <v>248843.37084815119</v>
      </c>
      <c r="J22" s="697">
        <f ca="1">'Debtors+Creditors'!J28</f>
        <v>251.20000000000005</v>
      </c>
      <c r="K22" s="697">
        <f ca="1">'Debtors+Creditors'!K28</f>
        <v>203.20000000000005</v>
      </c>
      <c r="L22" s="697">
        <f ca="1">'Debtors+Creditors'!L28</f>
        <v>219.20000000000005</v>
      </c>
      <c r="M22" s="697">
        <f ca="1">'Debtors+Creditors'!M28</f>
        <v>7973.3520000000008</v>
      </c>
      <c r="N22" s="697">
        <f ca="1">'Debtors+Creditors'!N28</f>
        <v>251.20000000000005</v>
      </c>
      <c r="O22" s="697">
        <f ca="1">'Debtors+Creditors'!O28</f>
        <v>251.20000000000005</v>
      </c>
      <c r="P22" s="697">
        <f ca="1">'Debtors+Creditors'!P28</f>
        <v>16529.687168000004</v>
      </c>
      <c r="Q22" s="697">
        <f ca="1">'Debtors+Creditors'!Q28</f>
        <v>251.20000000000005</v>
      </c>
      <c r="R22" s="697">
        <f ca="1">'Debtors+Creditors'!R28</f>
        <v>251.20000000000005</v>
      </c>
      <c r="S22" s="697">
        <f ca="1">'Debtors+Creditors'!S28</f>
        <v>26483.022110973965</v>
      </c>
      <c r="T22" s="697">
        <f ca="1">'Debtors+Creditors'!T28</f>
        <v>251.20000000000005</v>
      </c>
      <c r="U22" s="697">
        <f ca="1">'Debtors+Creditors'!U28</f>
        <v>288.00000000000006</v>
      </c>
      <c r="V22" s="697">
        <f ca="1">'Debtors+Creditors'!V28</f>
        <v>35731.413970486574</v>
      </c>
      <c r="W22" s="697">
        <f ca="1">'Debtors+Creditors'!W28</f>
        <v>251.20000000000005</v>
      </c>
      <c r="X22" s="697">
        <f ca="1">'Debtors+Creditors'!X28</f>
        <v>251.20000000000005</v>
      </c>
      <c r="Y22" s="697">
        <f ca="1">'Debtors+Creditors'!Y28</f>
        <v>43783.739443464015</v>
      </c>
      <c r="Z22" s="697">
        <f ca="1">'Debtors+Creditors'!Z28</f>
        <v>251.20000000000005</v>
      </c>
      <c r="AA22" s="697">
        <f ca="1">'Debtors+Creditors'!AA28</f>
        <v>251.20000000000005</v>
      </c>
      <c r="AB22" s="697">
        <f ca="1">'Debtors+Creditors'!AB28</f>
        <v>52719.560387499507</v>
      </c>
      <c r="AC22" s="697">
        <f ca="1">'Debtors+Creditors'!AC28</f>
        <v>251.20000000000005</v>
      </c>
      <c r="AD22" s="697">
        <f ca="1">'Debtors+Creditors'!AD28</f>
        <v>251.20000000000005</v>
      </c>
      <c r="AE22" s="697">
        <f ca="1">'Debtors+Creditors'!AE28</f>
        <v>61897.795767727053</v>
      </c>
      <c r="AF22" s="697">
        <f ca="1">'Debtors+Creditors'!AF28</f>
        <v>0</v>
      </c>
      <c r="AG22" s="697">
        <f ca="1">'Debtors+Creditors'!AG28</f>
        <v>0</v>
      </c>
    </row>
    <row r="23" spans="1:33" s="282" customFormat="1" ht="18" customHeight="1" outlineLevel="2">
      <c r="A23" s="861"/>
      <c r="C23" s="36" t="s">
        <v>333</v>
      </c>
      <c r="D23" s="398" t="str">
        <f t="shared" si="3"/>
        <v>USD</v>
      </c>
      <c r="E23" s="701"/>
      <c r="F23" s="702"/>
      <c r="G23" s="1016" t="s">
        <v>204</v>
      </c>
      <c r="H23" s="668">
        <f ca="1">ROUND(I23-I18+H22,4)</f>
        <v>0</v>
      </c>
      <c r="I23" s="496">
        <f ca="1">I22-I21</f>
        <v>138966.04819010076</v>
      </c>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row>
    <row r="24" spans="1:33" s="282" customFormat="1" ht="18" customHeight="1" outlineLevel="2">
      <c r="A24" s="861"/>
      <c r="C24" s="127"/>
      <c r="D24" s="271"/>
      <c r="E24" s="332"/>
      <c r="F24" s="332"/>
      <c r="I24" s="861"/>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row>
    <row r="25" spans="1:33" s="282" customFormat="1" ht="20.25" customHeight="1" outlineLevel="1">
      <c r="A25" s="861"/>
      <c r="B25" s="409">
        <v>2</v>
      </c>
      <c r="C25" s="274" t="str">
        <f>"BS Account: "&amp;Name_VAT &amp;" owed to tax authority"</f>
        <v>BS Account: VAT owed to tax authority</v>
      </c>
      <c r="D25" s="127"/>
      <c r="E25" s="332"/>
      <c r="G25" s="127"/>
      <c r="H25" s="127"/>
      <c r="I25" s="420"/>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row>
    <row r="26" spans="1:33" s="282" customFormat="1" ht="18" customHeight="1" outlineLevel="2">
      <c r="A26" s="861"/>
      <c r="B26" s="235"/>
      <c r="C26" s="116" t="s">
        <v>140</v>
      </c>
      <c r="D26" s="8" t="str">
        <f>Currency_Label</f>
        <v>USD</v>
      </c>
      <c r="E26" s="123"/>
      <c r="F26" s="123"/>
      <c r="G26" s="40"/>
      <c r="H26" s="40"/>
      <c r="I26" s="181"/>
      <c r="J26" s="697">
        <f>I30*'Debtors+Creditors'!J$6</f>
        <v>0</v>
      </c>
      <c r="K26" s="697">
        <f ca="1">J30*'Debtors+Creditors'!K$6</f>
        <v>-1740.957714285714</v>
      </c>
      <c r="L26" s="697">
        <f ca="1">K30*'Debtors+Creditors'!L$6</f>
        <v>587.54274654377969</v>
      </c>
      <c r="M26" s="697">
        <f ca="1">L30*'Debtors+Creditors'!M$6</f>
        <v>-6555.1549523809508</v>
      </c>
      <c r="N26" s="697">
        <f ca="1">M30*'Debtors+Creditors'!N$6</f>
        <v>-4834.4717418433156</v>
      </c>
      <c r="O26" s="697">
        <f ca="1">N30*'Debtors+Creditors'!O$6</f>
        <v>2888.6273131290322</v>
      </c>
      <c r="P26" s="697">
        <f ca="1">O30*'Debtors+Creditors'!P$6</f>
        <v>7107.973332421614</v>
      </c>
      <c r="Q26" s="697">
        <f ca="1">P30*'Debtors+Creditors'!Q$6</f>
        <v>8265.0759367380888</v>
      </c>
      <c r="R26" s="697">
        <f ca="1">Q30*'Debtors+Creditors'!R$6</f>
        <v>-11450.49335038372</v>
      </c>
      <c r="S26" s="697">
        <f ca="1">R30*'Debtors+Creditors'!S$6</f>
        <v>-3824.9867687877413</v>
      </c>
      <c r="T26" s="697">
        <f ca="1">S30*'Debtors+Creditors'!T$6</f>
        <v>3703.5295864169129</v>
      </c>
      <c r="U26" s="697">
        <f ca="1">T30*'Debtors+Creditors'!U$6</f>
        <v>9560.4973600182693</v>
      </c>
      <c r="V26" s="697">
        <f ca="1">U30*'Debtors+Creditors'!V$6</f>
        <v>19285.803448792809</v>
      </c>
      <c r="W26" s="697">
        <f ca="1">V30*'Debtors+Creditors'!W$6</f>
        <v>25928.859475302808</v>
      </c>
      <c r="X26" s="697">
        <f ca="1">W30*'Debtors+Creditors'!X$6</f>
        <v>12024.830287060082</v>
      </c>
      <c r="Y26" s="697">
        <f ca="1">X30*'Debtors+Creditors'!Y$6</f>
        <v>24197.232276721854</v>
      </c>
      <c r="Z26" s="697">
        <f ca="1">Y30*'Debtors+Creditors'!Z$6</f>
        <v>36493.716385533546</v>
      </c>
      <c r="AA26" s="697">
        <f ca="1">Z30*'Debtors+Creditors'!AA$6</f>
        <v>12742.650804905265</v>
      </c>
      <c r="AB26" s="697">
        <f ca="1">AA30*'Debtors+Creditors'!AB$6</f>
        <v>27806.225954587873</v>
      </c>
      <c r="AC26" s="697">
        <f ca="1">AB30*'Debtors+Creditors'!AC$6</f>
        <v>42309.583659788113</v>
      </c>
      <c r="AD26" s="697">
        <f ca="1">AC30*'Debtors+Creditors'!AD$6</f>
        <v>16164.019464018704</v>
      </c>
      <c r="AE26" s="697">
        <f ca="1">AD30*'Debtors+Creditors'!AE$6</f>
        <v>34202.562624825921</v>
      </c>
      <c r="AF26" s="697">
        <f ca="1">AE30*'Debtors+Creditors'!AF$6</f>
        <v>0</v>
      </c>
      <c r="AG26" s="697">
        <f ca="1">AF30*'Debtors+Creditors'!AG$6</f>
        <v>0</v>
      </c>
    </row>
    <row r="27" spans="1:33" s="282" customFormat="1" ht="18" customHeight="1" outlineLevel="2">
      <c r="A27" s="861"/>
      <c r="B27" s="235"/>
      <c r="C27" s="24" t="str">
        <f>"   " &amp;Name_VAT &amp;" payable / (recoverable)"</f>
        <v xml:space="preserve">   VAT payable / (recoverable)</v>
      </c>
      <c r="D27" s="8" t="str">
        <f>Currency_Label</f>
        <v>USD</v>
      </c>
      <c r="E27" s="130" t="s">
        <v>142</v>
      </c>
      <c r="F27" s="123"/>
      <c r="G27" s="40"/>
      <c r="H27" s="40"/>
      <c r="I27" s="236">
        <f ca="1">SUM(J27:AG27)</f>
        <v>161608.1088029785</v>
      </c>
      <c r="J27" s="697">
        <f t="shared" ref="J27:AG27" ca="1" si="4">J18</f>
        <v>-1740.957714285714</v>
      </c>
      <c r="K27" s="697">
        <f t="shared" ca="1" si="4"/>
        <v>587.54274654377969</v>
      </c>
      <c r="L27" s="697">
        <f t="shared" ca="1" si="4"/>
        <v>-7142.6976989247305</v>
      </c>
      <c r="M27" s="697">
        <f t="shared" ca="1" si="4"/>
        <v>1720.6832105376357</v>
      </c>
      <c r="N27" s="697">
        <f t="shared" ca="1" si="4"/>
        <v>2888.6273131290322</v>
      </c>
      <c r="O27" s="697">
        <f t="shared" ca="1" si="4"/>
        <v>4219.3460192925813</v>
      </c>
      <c r="P27" s="697">
        <f t="shared" ca="1" si="4"/>
        <v>1157.1026043164748</v>
      </c>
      <c r="Q27" s="697">
        <f t="shared" ca="1" si="4"/>
        <v>-11450.49335038372</v>
      </c>
      <c r="R27" s="697">
        <f t="shared" ca="1" si="4"/>
        <v>7625.5065815959788</v>
      </c>
      <c r="S27" s="697">
        <f t="shared" ca="1" si="4"/>
        <v>7528.5163552046542</v>
      </c>
      <c r="T27" s="697">
        <f t="shared" ca="1" si="4"/>
        <v>9560.4973600182693</v>
      </c>
      <c r="U27" s="697">
        <f t="shared" ca="1" si="4"/>
        <v>9725.3060887745378</v>
      </c>
      <c r="V27" s="697">
        <f t="shared" ca="1" si="4"/>
        <v>6643.0560265100012</v>
      </c>
      <c r="W27" s="697">
        <f t="shared" ca="1" si="4"/>
        <v>12024.830287060082</v>
      </c>
      <c r="X27" s="697">
        <f t="shared" ca="1" si="4"/>
        <v>12172.401989661772</v>
      </c>
      <c r="Y27" s="697">
        <f t="shared" ca="1" si="4"/>
        <v>12296.484108811694</v>
      </c>
      <c r="Z27" s="697">
        <f t="shared" ca="1" si="4"/>
        <v>12742.650804905265</v>
      </c>
      <c r="AA27" s="697">
        <f t="shared" ca="1" si="4"/>
        <v>15063.575149682609</v>
      </c>
      <c r="AB27" s="697">
        <f t="shared" ca="1" si="4"/>
        <v>14503.357705200244</v>
      </c>
      <c r="AC27" s="697">
        <f t="shared" ca="1" si="4"/>
        <v>16164.019464018704</v>
      </c>
      <c r="AD27" s="697">
        <f t="shared" ca="1" si="4"/>
        <v>18038.543160807221</v>
      </c>
      <c r="AE27" s="697">
        <f t="shared" ca="1" si="4"/>
        <v>17280.210590502124</v>
      </c>
      <c r="AF27" s="697">
        <f t="shared" ca="1" si="4"/>
        <v>0</v>
      </c>
      <c r="AG27" s="697">
        <f t="shared" ca="1" si="4"/>
        <v>0</v>
      </c>
    </row>
    <row r="28" spans="1:33" s="282" customFormat="1" ht="18" customHeight="1" outlineLevel="2">
      <c r="A28" s="861"/>
      <c r="C28" s="632" t="s">
        <v>139</v>
      </c>
      <c r="D28" s="8" t="s">
        <v>29</v>
      </c>
      <c r="E28" s="511" t="str">
        <f>Inputs!F216</f>
        <v>Quarterly</v>
      </c>
      <c r="F28" s="511">
        <f>Inputs!G216</f>
        <v>3</v>
      </c>
      <c r="G28" s="635" t="s">
        <v>138</v>
      </c>
      <c r="H28" s="634">
        <v>0</v>
      </c>
      <c r="I28" s="728"/>
      <c r="J28" s="633">
        <f>IF(MOD(MONTH('Debtors+Creditors'!J$5)-$H28,$F28)=0,1,0)*J6</f>
        <v>0</v>
      </c>
      <c r="K28" s="633">
        <f>IF(MOD(MONTH('Debtors+Creditors'!K$5)-$H28,$F28)=0,1,0)*K6</f>
        <v>1</v>
      </c>
      <c r="L28" s="633">
        <f>IF(MOD(MONTH('Debtors+Creditors'!L$5)-$H28,$F28)=0,1,0)*L6</f>
        <v>0</v>
      </c>
      <c r="M28" s="633">
        <f>IF(MOD(MONTH('Debtors+Creditors'!M$5)-$H28,$F28)=0,1,0)*M6</f>
        <v>0</v>
      </c>
      <c r="N28" s="633">
        <f>IF(MOD(MONTH('Debtors+Creditors'!N$5)-$H28,$F28)=0,1,0)*N6</f>
        <v>1</v>
      </c>
      <c r="O28" s="633">
        <f>IF(MOD(MONTH('Debtors+Creditors'!O$5)-$H28,$F28)=0,1,0)*O6</f>
        <v>0</v>
      </c>
      <c r="P28" s="633">
        <f>IF(MOD(MONTH('Debtors+Creditors'!P$5)-$H28,$F28)=0,1,0)*P6</f>
        <v>0</v>
      </c>
      <c r="Q28" s="633">
        <f>IF(MOD(MONTH('Debtors+Creditors'!Q$5)-$H28,$F28)=0,1,0)*Q6</f>
        <v>1</v>
      </c>
      <c r="R28" s="633">
        <f>IF(MOD(MONTH('Debtors+Creditors'!R$5)-$H28,$F28)=0,1,0)*R6</f>
        <v>0</v>
      </c>
      <c r="S28" s="633">
        <f>IF(MOD(MONTH('Debtors+Creditors'!S$5)-$H28,$F28)=0,1,0)*S6</f>
        <v>0</v>
      </c>
      <c r="T28" s="633">
        <f>IF(MOD(MONTH('Debtors+Creditors'!T$5)-$H28,$F28)=0,1,0)*T6</f>
        <v>1</v>
      </c>
      <c r="U28" s="633">
        <f>IF(MOD(MONTH('Debtors+Creditors'!U$5)-$H28,$F28)=0,1,0)*U6</f>
        <v>0</v>
      </c>
      <c r="V28" s="633">
        <f>IF(MOD(MONTH('Debtors+Creditors'!V$5)-$H28,$F28)=0,1,0)*V6</f>
        <v>0</v>
      </c>
      <c r="W28" s="633">
        <f>IF(MOD(MONTH('Debtors+Creditors'!W$5)-$H28,$F28)=0,1,0)*W6</f>
        <v>1</v>
      </c>
      <c r="X28" s="633">
        <f>IF(MOD(MONTH('Debtors+Creditors'!X$5)-$H28,$F28)=0,1,0)*X6</f>
        <v>0</v>
      </c>
      <c r="Y28" s="633">
        <f>IF(MOD(MONTH('Debtors+Creditors'!Y$5)-$H28,$F28)=0,1,0)*Y6</f>
        <v>0</v>
      </c>
      <c r="Z28" s="633">
        <f>IF(MOD(MONTH('Debtors+Creditors'!Z$5)-$H28,$F28)=0,1,0)*Z6</f>
        <v>1</v>
      </c>
      <c r="AA28" s="633">
        <f>IF(MOD(MONTH('Debtors+Creditors'!AA$5)-$H28,$F28)=0,1,0)*AA6</f>
        <v>0</v>
      </c>
      <c r="AB28" s="633">
        <f>IF(MOD(MONTH('Debtors+Creditors'!AB$5)-$H28,$F28)=0,1,0)*AB6</f>
        <v>0</v>
      </c>
      <c r="AC28" s="633">
        <f>IF(MOD(MONTH('Debtors+Creditors'!AC$5)-$H28,$F28)=0,1,0)*AC6</f>
        <v>1</v>
      </c>
      <c r="AD28" s="633">
        <f>IF(MOD(MONTH('Debtors+Creditors'!AD$5)-$H28,$F28)=0,1,0)*AD6</f>
        <v>0</v>
      </c>
      <c r="AE28" s="633">
        <f>IF(MOD(MONTH('Debtors+Creditors'!AE$5)-$H28,$F28)=0,1,0)*AE6</f>
        <v>0</v>
      </c>
      <c r="AF28" s="633">
        <f>IF(MOD(MONTH('Debtors+Creditors'!AF$5)-$H28,$F28)=0,1,0)*AF6</f>
        <v>0</v>
      </c>
      <c r="AG28" s="633">
        <f>IF(MOD(MONTH('Debtors+Creditors'!AG$5)-$H28,$F28)=0,1,0)*AG6</f>
        <v>0</v>
      </c>
    </row>
    <row r="29" spans="1:33" s="282" customFormat="1" ht="18" customHeight="1" outlineLevel="2">
      <c r="A29" s="861"/>
      <c r="B29" s="235"/>
      <c r="C29" s="24" t="str">
        <f>"   " &amp;Name_VAT &amp;" paid/recovered"</f>
        <v xml:space="preserve">   VAT paid/recovered</v>
      </c>
      <c r="D29" s="8" t="str">
        <f>Currency_Label</f>
        <v>USD</v>
      </c>
      <c r="E29" s="130" t="s">
        <v>603</v>
      </c>
      <c r="F29" s="123"/>
      <c r="G29" s="40"/>
      <c r="H29" s="40"/>
      <c r="I29" s="236">
        <f ca="1">SUM(J29:AG29)</f>
        <v>-110125.33558765044</v>
      </c>
      <c r="J29" s="697">
        <f ca="1">IF('Debtors+Creditors'!J$7=1,0,-IF('Debtors+Creditors'!J$7&lt;=$F28,SUM(OFFSET(I27,0,0,1,-'Debtors+Creditors'!J$7+1)),SUM(OFFSET(I27,0,0,1,-$F28)))*J28)</f>
        <v>0</v>
      </c>
      <c r="K29" s="697">
        <f ca="1">IF('Debtors+Creditors'!K$7=1,0,-IF('Debtors+Creditors'!K$7&lt;=$F28,SUM(OFFSET(J27,0,0,1,-'Debtors+Creditors'!K$7+1)),SUM(OFFSET(J27,0,0,1,-$F28)))*K28)</f>
        <v>1740.957714285714</v>
      </c>
      <c r="L29" s="697">
        <f ca="1">IF('Debtors+Creditors'!L$7=1,0,-IF('Debtors+Creditors'!L$7&lt;=$F28,SUM(OFFSET(K27,0,0,1,-'Debtors+Creditors'!L$7+1)),SUM(OFFSET(K27,0,0,1,-$F28)))*L28)</f>
        <v>0</v>
      </c>
      <c r="M29" s="697">
        <f ca="1">IF('Debtors+Creditors'!M$7=1,0,-IF('Debtors+Creditors'!M$7&lt;=$F28,SUM(OFFSET(L27,0,0,1,-'Debtors+Creditors'!M$7+1)),SUM(OFFSET(L27,0,0,1,-$F28)))*M28)</f>
        <v>0</v>
      </c>
      <c r="N29" s="697">
        <f ca="1">IF('Debtors+Creditors'!N$7=1,0,-IF('Debtors+Creditors'!N$7&lt;=$F28,SUM(OFFSET(M27,0,0,1,-'Debtors+Creditors'!N$7+1)),SUM(OFFSET(M27,0,0,1,-$F28)))*N28)</f>
        <v>4834.4717418433156</v>
      </c>
      <c r="O29" s="697">
        <f ca="1">IF('Debtors+Creditors'!O$7=1,0,-IF('Debtors+Creditors'!O$7&lt;=$F28,SUM(OFFSET(N27,0,0,1,-'Debtors+Creditors'!O$7+1)),SUM(OFFSET(N27,0,0,1,-$F28)))*O28)</f>
        <v>0</v>
      </c>
      <c r="P29" s="697">
        <f ca="1">IF('Debtors+Creditors'!P$7=1,0,-IF('Debtors+Creditors'!P$7&lt;=$F28,SUM(OFFSET(O27,0,0,1,-'Debtors+Creditors'!P$7+1)),SUM(OFFSET(O27,0,0,1,-$F28)))*P28)</f>
        <v>0</v>
      </c>
      <c r="Q29" s="697">
        <f ca="1">IF('Debtors+Creditors'!Q$7=1,0,-IF('Debtors+Creditors'!Q$7&lt;=$F28,SUM(OFFSET(P27,0,0,1,-'Debtors+Creditors'!Q$7+1)),SUM(OFFSET(P27,0,0,1,-$F28)))*Q28)</f>
        <v>-8265.0759367380888</v>
      </c>
      <c r="R29" s="697">
        <f ca="1">IF('Debtors+Creditors'!R$7=1,0,-IF('Debtors+Creditors'!R$7&lt;=$F28,SUM(OFFSET(Q27,0,0,1,-'Debtors+Creditors'!R$7+1)),SUM(OFFSET(Q27,0,0,1,-$F28)))*R28)</f>
        <v>0</v>
      </c>
      <c r="S29" s="697">
        <f ca="1">IF('Debtors+Creditors'!S$7=1,0,-IF('Debtors+Creditors'!S$7&lt;=$F28,SUM(OFFSET(R27,0,0,1,-'Debtors+Creditors'!S$7+1)),SUM(OFFSET(R27,0,0,1,-$F28)))*S28)</f>
        <v>0</v>
      </c>
      <c r="T29" s="697">
        <f ca="1">IF('Debtors+Creditors'!T$7=1,0,-IF('Debtors+Creditors'!T$7&lt;=$F28,SUM(OFFSET(S27,0,0,1,-'Debtors+Creditors'!T$7+1)),SUM(OFFSET(S27,0,0,1,-$F28)))*T28)</f>
        <v>-3703.5295864169129</v>
      </c>
      <c r="U29" s="697">
        <f ca="1">IF('Debtors+Creditors'!U$7=1,0,-IF('Debtors+Creditors'!U$7&lt;=$F28,SUM(OFFSET(T27,0,0,1,-'Debtors+Creditors'!U$7+1)),SUM(OFFSET(T27,0,0,1,-$F28)))*U28)</f>
        <v>0</v>
      </c>
      <c r="V29" s="697">
        <f ca="1">IF('Debtors+Creditors'!V$7=1,0,-IF('Debtors+Creditors'!V$7&lt;=$F28,SUM(OFFSET(U27,0,0,1,-'Debtors+Creditors'!V$7+1)),SUM(OFFSET(U27,0,0,1,-$F28)))*V28)</f>
        <v>0</v>
      </c>
      <c r="W29" s="697">
        <f ca="1">IF('Debtors+Creditors'!W$7=1,0,-IF('Debtors+Creditors'!W$7&lt;=$F28,SUM(OFFSET(V27,0,0,1,-'Debtors+Creditors'!W$7+1)),SUM(OFFSET(V27,0,0,1,-$F28)))*W28)</f>
        <v>-25928.859475302808</v>
      </c>
      <c r="X29" s="697">
        <f ca="1">IF('Debtors+Creditors'!X$7=1,0,-IF('Debtors+Creditors'!X$7&lt;=$F28,SUM(OFFSET(W27,0,0,1,-'Debtors+Creditors'!X$7+1)),SUM(OFFSET(W27,0,0,1,-$F28)))*X28)</f>
        <v>0</v>
      </c>
      <c r="Y29" s="697">
        <f ca="1">IF('Debtors+Creditors'!Y$7=1,0,-IF('Debtors+Creditors'!Y$7&lt;=$F28,SUM(OFFSET(X27,0,0,1,-'Debtors+Creditors'!Y$7+1)),SUM(OFFSET(X27,0,0,1,-$F28)))*Y28)</f>
        <v>0</v>
      </c>
      <c r="Z29" s="697">
        <f ca="1">IF('Debtors+Creditors'!Z$7=1,0,-IF('Debtors+Creditors'!Z$7&lt;=$F28,SUM(OFFSET(Y27,0,0,1,-'Debtors+Creditors'!Z$7+1)),SUM(OFFSET(Y27,0,0,1,-$F28)))*Z28)</f>
        <v>-36493.716385533546</v>
      </c>
      <c r="AA29" s="697">
        <f ca="1">IF('Debtors+Creditors'!AA$7=1,0,-IF('Debtors+Creditors'!AA$7&lt;=$F28,SUM(OFFSET(Z27,0,0,1,-'Debtors+Creditors'!AA$7+1)),SUM(OFFSET(Z27,0,0,1,-$F28)))*AA28)</f>
        <v>0</v>
      </c>
      <c r="AB29" s="697">
        <f ca="1">IF('Debtors+Creditors'!AB$7=1,0,-IF('Debtors+Creditors'!AB$7&lt;=$F28,SUM(OFFSET(AA27,0,0,1,-'Debtors+Creditors'!AB$7+1)),SUM(OFFSET(AA27,0,0,1,-$F28)))*AB28)</f>
        <v>0</v>
      </c>
      <c r="AC29" s="697">
        <f ca="1">IF('Debtors+Creditors'!AC$7=1,0,-IF('Debtors+Creditors'!AC$7&lt;=$F28,SUM(OFFSET(AB27,0,0,1,-'Debtors+Creditors'!AC$7+1)),SUM(OFFSET(AB27,0,0,1,-$F28)))*AC28)</f>
        <v>-42309.583659788113</v>
      </c>
      <c r="AD29" s="697">
        <f ca="1">IF('Debtors+Creditors'!AD$7=1,0,-IF('Debtors+Creditors'!AD$7&lt;=$F28,SUM(OFFSET(AC27,0,0,1,-'Debtors+Creditors'!AD$7+1)),SUM(OFFSET(AC27,0,0,1,-$F28)))*AD28)</f>
        <v>0</v>
      </c>
      <c r="AE29" s="697">
        <f ca="1">IF('Debtors+Creditors'!AE$7=1,0,-IF('Debtors+Creditors'!AE$7&lt;=$F28,SUM(OFFSET(AD27,0,0,1,-'Debtors+Creditors'!AE$7+1)),SUM(OFFSET(AD27,0,0,1,-$F28)))*AE28)</f>
        <v>0</v>
      </c>
      <c r="AF29" s="697">
        <f ca="1">IF('Debtors+Creditors'!AF$7=1,0,-IF('Debtors+Creditors'!AF$7&lt;=$F28,SUM(OFFSET(AE27,0,0,1,-'Debtors+Creditors'!AF$7+1)),SUM(OFFSET(AE27,0,0,1,-$F28)))*AF28)</f>
        <v>0</v>
      </c>
      <c r="AG29" s="697">
        <f ca="1">IF('Debtors+Creditors'!AG$7=1,0,-IF('Debtors+Creditors'!AG$7&lt;=$F28,SUM(OFFSET(AF27,0,0,1,-'Debtors+Creditors'!AG$7+1)),SUM(OFFSET(AF27,0,0,1,-$F28)))*AG28)</f>
        <v>0</v>
      </c>
    </row>
    <row r="30" spans="1:33" s="282" customFormat="1" ht="18" customHeight="1" outlineLevel="2" thickBot="1">
      <c r="A30" s="861"/>
      <c r="B30" s="235"/>
      <c r="C30" s="116" t="s">
        <v>141</v>
      </c>
      <c r="D30" s="8" t="str">
        <f>Currency_Label</f>
        <v>USD</v>
      </c>
      <c r="E30" s="130" t="s">
        <v>143</v>
      </c>
      <c r="F30" s="116"/>
      <c r="G30" s="116"/>
      <c r="H30" s="40"/>
      <c r="I30" s="729"/>
      <c r="J30" s="509">
        <f t="shared" ref="J30:AG30" ca="1" si="5">J26+J27+J29</f>
        <v>-1740.957714285714</v>
      </c>
      <c r="K30" s="509">
        <f t="shared" ca="1" si="5"/>
        <v>587.54274654377969</v>
      </c>
      <c r="L30" s="509">
        <f t="shared" ca="1" si="5"/>
        <v>-6555.1549523809508</v>
      </c>
      <c r="M30" s="509">
        <f t="shared" ca="1" si="5"/>
        <v>-4834.4717418433156</v>
      </c>
      <c r="N30" s="509">
        <f t="shared" ca="1" si="5"/>
        <v>2888.6273131290322</v>
      </c>
      <c r="O30" s="509">
        <f t="shared" ca="1" si="5"/>
        <v>7107.973332421614</v>
      </c>
      <c r="P30" s="509">
        <f t="shared" ca="1" si="5"/>
        <v>8265.0759367380888</v>
      </c>
      <c r="Q30" s="509">
        <f t="shared" ca="1" si="5"/>
        <v>-11450.49335038372</v>
      </c>
      <c r="R30" s="509">
        <f t="shared" ca="1" si="5"/>
        <v>-3824.9867687877413</v>
      </c>
      <c r="S30" s="509">
        <f t="shared" ca="1" si="5"/>
        <v>3703.5295864169129</v>
      </c>
      <c r="T30" s="509">
        <f t="shared" ca="1" si="5"/>
        <v>9560.4973600182693</v>
      </c>
      <c r="U30" s="509">
        <f t="shared" ca="1" si="5"/>
        <v>19285.803448792809</v>
      </c>
      <c r="V30" s="509">
        <f t="shared" ca="1" si="5"/>
        <v>25928.859475302808</v>
      </c>
      <c r="W30" s="509">
        <f t="shared" ca="1" si="5"/>
        <v>12024.830287060082</v>
      </c>
      <c r="X30" s="509">
        <f t="shared" ca="1" si="5"/>
        <v>24197.232276721854</v>
      </c>
      <c r="Y30" s="509">
        <f t="shared" ca="1" si="5"/>
        <v>36493.716385533546</v>
      </c>
      <c r="Z30" s="509">
        <f t="shared" ca="1" si="5"/>
        <v>12742.650804905265</v>
      </c>
      <c r="AA30" s="509">
        <f t="shared" ca="1" si="5"/>
        <v>27806.225954587873</v>
      </c>
      <c r="AB30" s="509">
        <f t="shared" ca="1" si="5"/>
        <v>42309.583659788113</v>
      </c>
      <c r="AC30" s="509">
        <f t="shared" ca="1" si="5"/>
        <v>16164.019464018704</v>
      </c>
      <c r="AD30" s="509">
        <f t="shared" ca="1" si="5"/>
        <v>34202.562624825921</v>
      </c>
      <c r="AE30" s="509">
        <f t="shared" ca="1" si="5"/>
        <v>51482.773215328045</v>
      </c>
      <c r="AF30" s="509">
        <f t="shared" ca="1" si="5"/>
        <v>0</v>
      </c>
      <c r="AG30" s="509">
        <f t="shared" ca="1" si="5"/>
        <v>0</v>
      </c>
    </row>
    <row r="31" spans="1:33" s="282" customFormat="1" ht="18" customHeight="1" outlineLevel="1" thickTop="1">
      <c r="A31" s="861"/>
      <c r="B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row>
    <row r="32" spans="1:33" s="282" customFormat="1" ht="27" customHeight="1" thickBot="1">
      <c r="A32" s="325"/>
      <c r="B32" s="325"/>
      <c r="C32" s="325" t="str">
        <f>CHOOSE(language,"Taxes on Profit","Taxes on Income")</f>
        <v>Taxes on Income</v>
      </c>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row>
    <row r="33" spans="1:33" s="282" customFormat="1" ht="14.25" customHeight="1" outlineLevel="1">
      <c r="A33" s="786"/>
      <c r="B33" s="409"/>
      <c r="C33" s="732"/>
      <c r="D33" s="410"/>
      <c r="E33" s="735"/>
      <c r="F33" s="735"/>
      <c r="G33" s="735"/>
      <c r="H33" s="735"/>
      <c r="I33" s="735"/>
      <c r="J33" s="394">
        <v>1</v>
      </c>
      <c r="K33" s="394">
        <f t="shared" ref="K33:N34" si="6">J33+1</f>
        <v>2</v>
      </c>
      <c r="L33" s="394">
        <f t="shared" si="6"/>
        <v>3</v>
      </c>
      <c r="M33" s="394">
        <f t="shared" si="6"/>
        <v>4</v>
      </c>
      <c r="N33" s="930">
        <f t="shared" si="6"/>
        <v>5</v>
      </c>
      <c r="O33" s="499"/>
      <c r="P33" s="735"/>
      <c r="Q33" s="735"/>
      <c r="R33" s="735"/>
      <c r="S33" s="735"/>
      <c r="T33" s="735"/>
      <c r="U33" s="735"/>
      <c r="V33" s="735"/>
      <c r="W33" s="735"/>
      <c r="X33" s="735"/>
      <c r="Y33" s="735"/>
      <c r="Z33" s="735"/>
      <c r="AA33" s="735"/>
      <c r="AB33" s="735"/>
      <c r="AC33" s="735"/>
      <c r="AD33" s="735"/>
      <c r="AE33" s="735"/>
      <c r="AF33" s="735"/>
      <c r="AG33" s="735"/>
    </row>
    <row r="34" spans="1:33" ht="20.25" customHeight="1" outlineLevel="1">
      <c r="A34" s="786"/>
      <c r="B34" s="274">
        <v>1</v>
      </c>
      <c r="C34" s="274" t="s">
        <v>410</v>
      </c>
      <c r="D34" s="410"/>
      <c r="E34" s="735"/>
      <c r="F34" s="735"/>
      <c r="G34" s="735"/>
      <c r="H34" s="735"/>
      <c r="I34" s="513" t="s">
        <v>711</v>
      </c>
      <c r="J34" s="926">
        <f>YEAR(Startdatum)</f>
        <v>2018</v>
      </c>
      <c r="K34" s="926">
        <f t="shared" si="6"/>
        <v>2019</v>
      </c>
      <c r="L34" s="926">
        <f t="shared" si="6"/>
        <v>2020</v>
      </c>
      <c r="M34" s="926">
        <f t="shared" si="6"/>
        <v>2021</v>
      </c>
      <c r="N34" s="931">
        <f t="shared" si="6"/>
        <v>2022</v>
      </c>
      <c r="O34" s="786"/>
      <c r="P34" s="786"/>
      <c r="Q34" s="786"/>
      <c r="R34" s="735"/>
      <c r="S34" s="735"/>
      <c r="T34" s="735"/>
      <c r="U34" s="735"/>
      <c r="V34" s="735"/>
      <c r="W34" s="735"/>
      <c r="X34" s="735"/>
      <c r="Y34" s="735"/>
      <c r="Z34" s="735"/>
      <c r="AA34" s="735"/>
      <c r="AB34" s="735"/>
      <c r="AC34" s="735"/>
      <c r="AD34" s="735"/>
      <c r="AE34" s="735"/>
      <c r="AF34" s="735"/>
      <c r="AG34" s="735"/>
    </row>
    <row r="35" spans="1:33" ht="17.25" customHeight="1" outlineLevel="2">
      <c r="A35" s="786"/>
      <c r="B35" s="499"/>
      <c r="C35" s="495" t="s">
        <v>154</v>
      </c>
      <c r="D35" s="422" t="s">
        <v>29</v>
      </c>
      <c r="E35" s="737"/>
      <c r="F35" s="737"/>
      <c r="G35" s="737"/>
      <c r="H35" s="737"/>
      <c r="I35" s="737"/>
      <c r="J35" s="927">
        <f>IF(Enddatum&gt;=DATE(YEAR(Startdatum)+J33-1,MONTH(Inputs!$K$21),DAY(Inputs!$K$21)),1,0)</f>
        <v>1</v>
      </c>
      <c r="K35" s="928">
        <f>IF(Enddatum&gt;=DATE(YEAR(Startdatum)+K33-1,MONTH(Inputs!$K$21),DAY(Inputs!$K$21)),1,0)</f>
        <v>1</v>
      </c>
      <c r="L35" s="928">
        <f>IF(Enddatum&gt;=DATE(YEAR(Startdatum)+L33-1,MONTH(Inputs!$K$21),DAY(Inputs!$K$21)),1,0)</f>
        <v>0</v>
      </c>
      <c r="M35" s="928">
        <f>IF(Enddatum&gt;=DATE(YEAR(Startdatum)+M33-1,MONTH(Inputs!$K$21),DAY(Inputs!$K$21)),1,0)</f>
        <v>0</v>
      </c>
      <c r="N35" s="929">
        <f>IF(Enddatum&gt;=DATE(YEAR(Startdatum)+N33-1,MONTH(Inputs!$K$21),DAY(Inputs!$K$21)),1,0)</f>
        <v>0</v>
      </c>
      <c r="O35" s="786"/>
      <c r="P35" s="786"/>
      <c r="Q35" s="786"/>
      <c r="R35" s="735"/>
      <c r="S35" s="735"/>
      <c r="T35" s="735"/>
      <c r="U35" s="735"/>
      <c r="V35" s="735"/>
      <c r="W35" s="735"/>
      <c r="X35" s="735"/>
      <c r="Y35" s="735"/>
      <c r="Z35" s="735"/>
      <c r="AA35" s="735"/>
      <c r="AB35" s="735"/>
      <c r="AC35" s="735"/>
      <c r="AD35" s="735"/>
      <c r="AE35" s="735"/>
      <c r="AF35" s="735"/>
      <c r="AG35" s="735"/>
    </row>
    <row r="36" spans="1:33" ht="17.25" customHeight="1" outlineLevel="2">
      <c r="A36" s="786"/>
      <c r="B36" s="499"/>
      <c r="C36" s="495" t="s">
        <v>411</v>
      </c>
      <c r="D36" s="422" t="str">
        <f>Currency_Label</f>
        <v>USD</v>
      </c>
      <c r="E36" s="737"/>
      <c r="F36" s="737"/>
      <c r="G36" s="737"/>
      <c r="H36" s="737"/>
      <c r="I36" s="737"/>
      <c r="J36" s="739">
        <f ca="1">SUMIF(Timing!$J$15:$AG$15,J$33,IFS!$J87:$AG87)*J35</f>
        <v>-21616.593373115185</v>
      </c>
      <c r="K36" s="739">
        <f ca="1">SUMIF(Timing!$J$15:$AG$15,K$33,IFS!$J87:$AG87)*K35</f>
        <v>247017.99900842618</v>
      </c>
      <c r="L36" s="739">
        <f ca="1">SUMIF(Timing!$J$15:$AG$15,L$33,IFS!$J87:$AG87)*L35</f>
        <v>0</v>
      </c>
      <c r="M36" s="739">
        <f>SUMIF(Timing!$J$15:$AG$15,M$33,IFS!$J87:$AG87)*M35</f>
        <v>0</v>
      </c>
      <c r="N36" s="933">
        <f>SUMIF(Timing!$J$15:$AG$15,N$33,IFS!$J87:$AG87)*N35</f>
        <v>0</v>
      </c>
      <c r="O36" s="786"/>
      <c r="P36" s="786"/>
      <c r="Q36" s="786"/>
      <c r="R36" s="735"/>
      <c r="S36" s="735"/>
      <c r="T36" s="735"/>
      <c r="U36" s="735"/>
      <c r="V36" s="735"/>
      <c r="W36" s="735"/>
      <c r="X36" s="735"/>
      <c r="Y36" s="735"/>
      <c r="Z36" s="735"/>
      <c r="AA36" s="735"/>
      <c r="AB36" s="735"/>
      <c r="AC36" s="735"/>
      <c r="AD36" s="735"/>
      <c r="AE36" s="735"/>
      <c r="AF36" s="735"/>
      <c r="AG36" s="735"/>
    </row>
    <row r="37" spans="1:33" ht="13.5" customHeight="1" outlineLevel="2">
      <c r="A37" s="786"/>
      <c r="B37" s="499"/>
      <c r="C37" s="499"/>
      <c r="D37" s="740"/>
      <c r="E37" s="735"/>
      <c r="F37" s="735"/>
      <c r="G37" s="735"/>
      <c r="H37" s="735"/>
      <c r="I37" s="735"/>
      <c r="J37" s="735"/>
      <c r="K37" s="735"/>
      <c r="L37" s="735"/>
      <c r="M37" s="735"/>
      <c r="N37" s="932"/>
      <c r="O37" s="786"/>
      <c r="P37" s="786"/>
      <c r="Q37" s="786"/>
      <c r="R37" s="735"/>
      <c r="S37" s="735"/>
      <c r="T37" s="735"/>
      <c r="U37" s="735"/>
      <c r="V37" s="735"/>
      <c r="W37" s="735"/>
      <c r="X37" s="735"/>
      <c r="Y37" s="735"/>
      <c r="Z37" s="735"/>
      <c r="AA37" s="735"/>
      <c r="AB37" s="735"/>
      <c r="AC37" s="735"/>
      <c r="AD37" s="735"/>
      <c r="AE37" s="735"/>
      <c r="AF37" s="735"/>
      <c r="AG37" s="735"/>
    </row>
    <row r="38" spans="1:33" ht="17.25" customHeight="1" outlineLevel="2">
      <c r="A38" s="786"/>
      <c r="B38" s="499"/>
      <c r="C38" s="399" t="s">
        <v>412</v>
      </c>
      <c r="D38" s="741"/>
      <c r="E38" s="735"/>
      <c r="F38" s="735"/>
      <c r="G38" s="735"/>
      <c r="H38" s="735"/>
      <c r="I38" s="735"/>
      <c r="J38" s="735"/>
      <c r="K38" s="735"/>
      <c r="L38" s="735"/>
      <c r="M38" s="735"/>
      <c r="N38" s="932"/>
      <c r="O38" s="786"/>
      <c r="P38" s="786"/>
      <c r="Q38" s="786"/>
      <c r="R38" s="735"/>
      <c r="S38" s="735"/>
      <c r="T38" s="735"/>
      <c r="U38" s="735"/>
      <c r="V38" s="735"/>
      <c r="W38" s="735"/>
      <c r="X38" s="735"/>
      <c r="Y38" s="735"/>
      <c r="Z38" s="735"/>
      <c r="AA38" s="735"/>
      <c r="AB38" s="735"/>
      <c r="AC38" s="735"/>
      <c r="AD38" s="735"/>
      <c r="AE38" s="735"/>
      <c r="AF38" s="735"/>
      <c r="AG38" s="735"/>
    </row>
    <row r="39" spans="1:33" ht="17.25" customHeight="1" outlineLevel="2">
      <c r="A39" s="786"/>
      <c r="B39" s="499"/>
      <c r="C39" s="737" t="s">
        <v>140</v>
      </c>
      <c r="D39" s="615" t="str">
        <f>Currency_Label</f>
        <v>USD</v>
      </c>
      <c r="E39" s="737"/>
      <c r="F39" s="737"/>
      <c r="G39" s="737"/>
      <c r="H39" s="737"/>
      <c r="I39" s="737"/>
      <c r="J39" s="739">
        <f>I41</f>
        <v>-15000</v>
      </c>
      <c r="K39" s="739">
        <f ca="1">J41</f>
        <v>-36616.593373115189</v>
      </c>
      <c r="L39" s="739">
        <f ca="1">K41</f>
        <v>0</v>
      </c>
      <c r="M39" s="739">
        <f ca="1">L41</f>
        <v>0</v>
      </c>
      <c r="N39" s="739">
        <f ca="1">M41</f>
        <v>0</v>
      </c>
      <c r="O39" s="738"/>
      <c r="P39" s="735"/>
      <c r="Q39" s="735"/>
      <c r="R39" s="735"/>
      <c r="S39" s="735"/>
      <c r="T39" s="735"/>
      <c r="U39" s="735"/>
      <c r="V39" s="735"/>
      <c r="W39" s="735"/>
      <c r="X39" s="735"/>
      <c r="Y39" s="735"/>
      <c r="Z39" s="735"/>
      <c r="AA39" s="735"/>
      <c r="AB39" s="735"/>
      <c r="AC39" s="735"/>
      <c r="AD39" s="735"/>
      <c r="AE39" s="735"/>
      <c r="AF39" s="735"/>
      <c r="AG39" s="735"/>
    </row>
    <row r="40" spans="1:33" ht="17.25" customHeight="1" outlineLevel="2">
      <c r="A40" s="786"/>
      <c r="B40" s="499"/>
      <c r="C40" s="733" t="s">
        <v>413</v>
      </c>
      <c r="D40" s="615" t="str">
        <f>Currency_Label</f>
        <v>USD</v>
      </c>
      <c r="E40" s="737"/>
      <c r="F40" s="737"/>
      <c r="G40" s="737"/>
      <c r="H40" s="737"/>
      <c r="I40" s="737"/>
      <c r="J40" s="739">
        <f ca="1">IF(J36&lt;0,J36,-MAX(J39,-J36))</f>
        <v>-21616.593373115185</v>
      </c>
      <c r="K40" s="739">
        <f t="shared" ref="K40:N40" ca="1" si="7">IF(K36&lt;0,K36,-MAX(K39,-K36))</f>
        <v>36616.593373115189</v>
      </c>
      <c r="L40" s="739">
        <f t="shared" ca="1" si="7"/>
        <v>0</v>
      </c>
      <c r="M40" s="739">
        <f t="shared" ca="1" si="7"/>
        <v>0</v>
      </c>
      <c r="N40" s="739">
        <f t="shared" ca="1" si="7"/>
        <v>0</v>
      </c>
      <c r="O40" s="738"/>
      <c r="P40" s="735"/>
      <c r="Q40" s="735"/>
      <c r="R40" s="735"/>
      <c r="S40" s="735"/>
      <c r="T40" s="735"/>
      <c r="U40" s="735"/>
      <c r="V40" s="735"/>
      <c r="W40" s="735"/>
      <c r="X40" s="735"/>
      <c r="Y40" s="735"/>
      <c r="Z40" s="735"/>
      <c r="AA40" s="735"/>
      <c r="AB40" s="735"/>
      <c r="AC40" s="735"/>
      <c r="AD40" s="735"/>
      <c r="AE40" s="735"/>
      <c r="AF40" s="735"/>
      <c r="AG40" s="735"/>
    </row>
    <row r="41" spans="1:33" ht="17.25" customHeight="1" outlineLevel="2">
      <c r="A41" s="786"/>
      <c r="B41" s="499"/>
      <c r="C41" s="737" t="s">
        <v>141</v>
      </c>
      <c r="D41" s="615" t="str">
        <f>Currency_Label</f>
        <v>USD</v>
      </c>
      <c r="E41" s="737"/>
      <c r="F41" s="737"/>
      <c r="G41" s="737"/>
      <c r="H41" s="736" t="s">
        <v>414</v>
      </c>
      <c r="I41" s="433">
        <f>VV_KSt</f>
        <v>-15000</v>
      </c>
      <c r="J41" s="515">
        <f ca="1">SUM(J39:J40)</f>
        <v>-36616.593373115189</v>
      </c>
      <c r="K41" s="515">
        <f ca="1">SUM(K39:K40)</f>
        <v>0</v>
      </c>
      <c r="L41" s="515">
        <f ca="1">SUM(L39:L40)</f>
        <v>0</v>
      </c>
      <c r="M41" s="515">
        <f ca="1">SUM(M39:M40)</f>
        <v>0</v>
      </c>
      <c r="N41" s="515">
        <f ca="1">SUM(N39:N40)</f>
        <v>0</v>
      </c>
      <c r="O41" s="738"/>
      <c r="P41" s="735"/>
      <c r="Q41" s="735"/>
      <c r="R41" s="735"/>
      <c r="S41" s="735"/>
      <c r="T41" s="735"/>
      <c r="U41" s="735"/>
      <c r="V41" s="735"/>
      <c r="W41" s="735"/>
      <c r="X41" s="735"/>
      <c r="Y41" s="735"/>
      <c r="Z41" s="735"/>
      <c r="AA41" s="735"/>
      <c r="AB41" s="735"/>
      <c r="AC41" s="735"/>
      <c r="AD41" s="735"/>
      <c r="AE41" s="735"/>
      <c r="AF41" s="735"/>
      <c r="AG41" s="735"/>
    </row>
    <row r="42" spans="1:33" ht="17.25" customHeight="1" outlineLevel="2">
      <c r="A42" s="786"/>
      <c r="B42" s="499"/>
      <c r="C42" s="501"/>
      <c r="D42" s="741"/>
      <c r="E42" s="735"/>
      <c r="F42" s="735"/>
      <c r="G42" s="735"/>
      <c r="H42" s="735"/>
      <c r="I42" s="735"/>
      <c r="J42" s="735"/>
      <c r="K42" s="735"/>
      <c r="L42" s="735"/>
      <c r="M42" s="735"/>
      <c r="N42" s="735"/>
      <c r="O42" s="738"/>
      <c r="P42" s="735"/>
      <c r="Q42" s="735"/>
      <c r="R42" s="735"/>
      <c r="S42" s="735"/>
      <c r="T42" s="735"/>
      <c r="U42" s="735"/>
      <c r="V42" s="735"/>
      <c r="W42" s="735"/>
      <c r="X42" s="735"/>
      <c r="Y42" s="735"/>
      <c r="Z42" s="735"/>
      <c r="AA42" s="735"/>
      <c r="AB42" s="735"/>
      <c r="AC42" s="735"/>
      <c r="AD42" s="735"/>
      <c r="AE42" s="735"/>
      <c r="AF42" s="735"/>
      <c r="AG42" s="735"/>
    </row>
    <row r="43" spans="1:33" ht="17.25" customHeight="1" outlineLevel="2">
      <c r="A43" s="786"/>
      <c r="B43" s="499"/>
      <c r="C43" s="733" t="s">
        <v>415</v>
      </c>
      <c r="D43" s="615" t="str">
        <f>Currency_Label</f>
        <v>USD</v>
      </c>
      <c r="E43" s="737"/>
      <c r="F43" s="737"/>
      <c r="G43" s="737"/>
      <c r="H43" s="737"/>
      <c r="I43" s="737"/>
      <c r="J43" s="739">
        <f ca="1">IF(J36&lt;0,0,J36-J40)</f>
        <v>0</v>
      </c>
      <c r="K43" s="739">
        <f t="shared" ref="K43:N43" ca="1" si="8">IF(K36&lt;0,0,K36-K40)</f>
        <v>210401.40563531098</v>
      </c>
      <c r="L43" s="739">
        <f t="shared" ca="1" si="8"/>
        <v>0</v>
      </c>
      <c r="M43" s="739">
        <f t="shared" ca="1" si="8"/>
        <v>0</v>
      </c>
      <c r="N43" s="739">
        <f t="shared" ca="1" si="8"/>
        <v>0</v>
      </c>
      <c r="O43" s="738"/>
      <c r="P43" s="735"/>
      <c r="Q43" s="735"/>
      <c r="R43" s="735"/>
      <c r="S43" s="735"/>
      <c r="T43" s="735"/>
      <c r="U43" s="735"/>
      <c r="V43" s="735"/>
      <c r="W43" s="735"/>
      <c r="X43" s="735"/>
      <c r="Y43" s="735"/>
      <c r="Z43" s="735"/>
      <c r="AA43" s="735"/>
      <c r="AB43" s="735"/>
      <c r="AC43" s="735"/>
      <c r="AD43" s="735"/>
      <c r="AE43" s="735"/>
      <c r="AF43" s="735"/>
      <c r="AG43" s="735"/>
    </row>
    <row r="44" spans="1:33" ht="17.25" customHeight="1" outlineLevel="2">
      <c r="A44" s="786"/>
      <c r="B44" s="499"/>
      <c r="C44" s="501"/>
      <c r="D44" s="741"/>
      <c r="E44" s="735"/>
      <c r="F44" s="735"/>
      <c r="G44" s="735"/>
      <c r="H44" s="735"/>
      <c r="I44" s="735"/>
      <c r="J44" s="742"/>
      <c r="K44" s="735"/>
      <c r="L44" s="735"/>
      <c r="M44" s="735"/>
      <c r="N44" s="735"/>
      <c r="O44" s="738"/>
      <c r="P44" s="735"/>
      <c r="Q44" s="735"/>
      <c r="R44" s="735"/>
      <c r="S44" s="735"/>
      <c r="T44" s="735"/>
      <c r="U44" s="735"/>
      <c r="V44" s="735"/>
      <c r="W44" s="735"/>
      <c r="X44" s="735"/>
      <c r="Y44" s="735"/>
      <c r="Z44" s="735"/>
      <c r="AA44" s="735"/>
      <c r="AB44" s="735"/>
      <c r="AC44" s="735"/>
      <c r="AD44" s="735"/>
      <c r="AE44" s="735"/>
      <c r="AF44" s="735"/>
      <c r="AG44" s="735"/>
    </row>
    <row r="45" spans="1:33" ht="17.25" customHeight="1" outlineLevel="2" thickBot="1">
      <c r="A45" s="786"/>
      <c r="B45" s="499"/>
      <c r="C45" s="750" t="str">
        <f>CHOOSE(language,"Taxes on Profit","Taxes on Income")</f>
        <v>Taxes on Income</v>
      </c>
      <c r="D45" s="615" t="str">
        <f>Currency_Label</f>
        <v>USD</v>
      </c>
      <c r="E45" s="734">
        <f>Inputs!F198</f>
        <v>0.2</v>
      </c>
      <c r="F45" s="737"/>
      <c r="G45" s="737"/>
      <c r="H45" s="737"/>
      <c r="I45" s="236">
        <f ca="1">SUM(J45:AG45)</f>
        <v>42080.281127062197</v>
      </c>
      <c r="J45" s="743">
        <f ca="1">J43*$E45</f>
        <v>0</v>
      </c>
      <c r="K45" s="743">
        <f ca="1">K43*$E45</f>
        <v>42080.281127062197</v>
      </c>
      <c r="L45" s="743">
        <f ca="1">L43*$E45</f>
        <v>0</v>
      </c>
      <c r="M45" s="743">
        <f ca="1">M43*$E45</f>
        <v>0</v>
      </c>
      <c r="N45" s="743">
        <f ca="1">N43*$E45</f>
        <v>0</v>
      </c>
      <c r="O45" s="738"/>
      <c r="P45" s="735"/>
      <c r="Q45" s="735"/>
      <c r="R45" s="735"/>
      <c r="S45" s="735"/>
      <c r="T45" s="735"/>
      <c r="U45" s="735"/>
      <c r="V45" s="735"/>
      <c r="W45" s="735"/>
      <c r="X45" s="735"/>
      <c r="Y45" s="735"/>
      <c r="Z45" s="735"/>
      <c r="AA45" s="735"/>
      <c r="AB45" s="735"/>
      <c r="AC45" s="735"/>
      <c r="AD45" s="735"/>
      <c r="AE45" s="735"/>
      <c r="AF45" s="735"/>
      <c r="AG45" s="735"/>
    </row>
    <row r="46" spans="1:33" ht="15" customHeight="1" outlineLevel="2" thickTop="1">
      <c r="A46" s="786"/>
      <c r="B46" s="735"/>
      <c r="C46" s="409"/>
      <c r="D46" s="735"/>
      <c r="E46" s="735"/>
      <c r="F46" s="735"/>
      <c r="G46" s="735"/>
      <c r="H46" s="735"/>
      <c r="I46" s="735"/>
      <c r="J46" s="735"/>
      <c r="K46" s="735"/>
      <c r="L46" s="735"/>
      <c r="M46" s="735"/>
      <c r="N46" s="744"/>
      <c r="O46" s="738"/>
      <c r="P46" s="735"/>
      <c r="Q46" s="735"/>
      <c r="R46" s="735"/>
      <c r="S46" s="735"/>
      <c r="T46" s="735"/>
      <c r="U46" s="735"/>
      <c r="V46" s="735"/>
      <c r="W46" s="735"/>
      <c r="X46" s="735"/>
      <c r="Y46" s="735"/>
      <c r="Z46" s="735"/>
      <c r="AA46" s="735"/>
      <c r="AB46" s="735"/>
      <c r="AC46" s="735"/>
      <c r="AD46" s="735"/>
      <c r="AE46" s="735"/>
      <c r="AF46" s="735"/>
      <c r="AG46" s="735"/>
    </row>
    <row r="47" spans="1:33" ht="24" customHeight="1" outlineLevel="1">
      <c r="A47" s="786"/>
      <c r="B47" s="274">
        <v>2</v>
      </c>
      <c r="C47" s="274" t="s">
        <v>417</v>
      </c>
      <c r="D47" s="735"/>
      <c r="E47" s="735"/>
      <c r="F47" s="735"/>
      <c r="G47" s="735"/>
      <c r="H47" s="735"/>
      <c r="I47" s="774" t="s">
        <v>711</v>
      </c>
      <c r="J47" s="926">
        <f>YEAR(Startdatum)</f>
        <v>2018</v>
      </c>
      <c r="K47" s="926">
        <f>J47+1</f>
        <v>2019</v>
      </c>
      <c r="L47" s="926">
        <f>K47+1</f>
        <v>2020</v>
      </c>
      <c r="M47" s="926">
        <f>L47+1</f>
        <v>2021</v>
      </c>
      <c r="N47" s="931">
        <f>M47+1</f>
        <v>2022</v>
      </c>
      <c r="O47" s="738"/>
      <c r="P47" s="735"/>
      <c r="Q47" s="735"/>
      <c r="R47" s="735"/>
      <c r="S47" s="735"/>
      <c r="T47" s="735"/>
      <c r="U47" s="735"/>
      <c r="V47" s="735"/>
      <c r="W47" s="735"/>
      <c r="X47" s="735"/>
      <c r="Y47" s="735"/>
      <c r="Z47" s="735"/>
      <c r="AA47" s="735"/>
      <c r="AB47" s="735"/>
      <c r="AC47" s="735"/>
      <c r="AD47" s="735"/>
      <c r="AE47" s="735"/>
      <c r="AF47" s="735"/>
      <c r="AG47" s="735"/>
    </row>
    <row r="48" spans="1:33" ht="17.25" customHeight="1" outlineLevel="2">
      <c r="A48" s="786"/>
      <c r="B48" s="735"/>
      <c r="C48" s="733" t="s">
        <v>713</v>
      </c>
      <c r="D48" s="422" t="str">
        <f>Currency_Label</f>
        <v>USD</v>
      </c>
      <c r="E48" s="737"/>
      <c r="F48" s="737"/>
      <c r="G48" s="737"/>
      <c r="H48" s="737"/>
      <c r="I48" s="236">
        <f>SUM(J48:N48)</f>
        <v>25000</v>
      </c>
      <c r="J48" s="739">
        <f>Inputs!F202</f>
        <v>5000</v>
      </c>
      <c r="K48" s="739">
        <f>Inputs!G202</f>
        <v>20000</v>
      </c>
      <c r="L48" s="739">
        <f>Inputs!H202</f>
        <v>0</v>
      </c>
      <c r="M48" s="739">
        <f>Inputs!I202</f>
        <v>0</v>
      </c>
      <c r="N48" s="745">
        <f>Inputs!J202</f>
        <v>0</v>
      </c>
      <c r="O48" s="738"/>
      <c r="P48" s="735"/>
      <c r="Q48" s="735"/>
      <c r="R48" s="735"/>
      <c r="S48" s="735"/>
      <c r="T48" s="735"/>
      <c r="U48" s="735"/>
      <c r="V48" s="735"/>
      <c r="W48" s="735"/>
      <c r="X48" s="735"/>
      <c r="Y48" s="735"/>
      <c r="Z48" s="735"/>
      <c r="AA48" s="735"/>
      <c r="AB48" s="735"/>
      <c r="AC48" s="735"/>
      <c r="AD48" s="735"/>
      <c r="AE48" s="735"/>
      <c r="AF48" s="735"/>
      <c r="AG48" s="735"/>
    </row>
    <row r="49" spans="1:33" ht="17.25" customHeight="1" outlineLevel="2">
      <c r="A49" s="786"/>
      <c r="B49" s="735"/>
      <c r="C49" s="733" t="s">
        <v>712</v>
      </c>
      <c r="D49" s="615" t="s">
        <v>39</v>
      </c>
      <c r="E49" s="737"/>
      <c r="F49" s="737"/>
      <c r="G49" s="737"/>
      <c r="H49" s="737"/>
      <c r="I49" s="737"/>
      <c r="J49" s="739">
        <f>SUMIF(Timing!$J$15:$AG$15,J$33,$J$55:$AG$55)</f>
        <v>4</v>
      </c>
      <c r="K49" s="739">
        <f>SUMIF(Timing!$J$15:$AG$15,K$33,$J$55:$AG$55)</f>
        <v>4</v>
      </c>
      <c r="L49" s="739">
        <f>SUMIF(Timing!$J$15:$AG$15,L$33,$J$55:$AG$55)</f>
        <v>0</v>
      </c>
      <c r="M49" s="739">
        <f>SUMIF(Timing!$J$15:$AG$15,M$33,$J$55:$AG$55)</f>
        <v>0</v>
      </c>
      <c r="N49" s="745">
        <f>SUMIF(Timing!$J$15:$AG$15,N$33,$J$55:$AG$55)</f>
        <v>0</v>
      </c>
      <c r="O49" s="738"/>
      <c r="P49" s="735"/>
      <c r="Q49" s="735"/>
      <c r="R49" s="735"/>
      <c r="S49" s="735"/>
      <c r="T49" s="735"/>
      <c r="U49" s="735"/>
      <c r="V49" s="735"/>
      <c r="W49" s="735"/>
      <c r="X49" s="735"/>
      <c r="Y49" s="735"/>
      <c r="Z49" s="735"/>
      <c r="AA49" s="735"/>
      <c r="AB49" s="735"/>
      <c r="AC49" s="735"/>
      <c r="AD49" s="735"/>
      <c r="AE49" s="735"/>
      <c r="AF49" s="735"/>
      <c r="AG49" s="735"/>
    </row>
    <row r="50" spans="1:33" ht="17.25" customHeight="1" outlineLevel="2">
      <c r="A50" s="786"/>
      <c r="B50" s="735"/>
      <c r="C50" s="733" t="s">
        <v>418</v>
      </c>
      <c r="D50" s="422" t="str">
        <f>Currency_Label</f>
        <v>USD</v>
      </c>
      <c r="E50" s="737"/>
      <c r="F50" s="737"/>
      <c r="G50" s="737"/>
      <c r="H50" s="737"/>
      <c r="I50" s="737"/>
      <c r="J50" s="739">
        <f>IFERROR(J48/J49,0)</f>
        <v>1250</v>
      </c>
      <c r="K50" s="739">
        <f>IFERROR(K48/K49,0)</f>
        <v>5000</v>
      </c>
      <c r="L50" s="739">
        <f>IFERROR(L48/L49,0)</f>
        <v>0</v>
      </c>
      <c r="M50" s="739">
        <f>IFERROR(M48/M49,0)</f>
        <v>0</v>
      </c>
      <c r="N50" s="745">
        <f>IFERROR(N48/N49,0)</f>
        <v>0</v>
      </c>
      <c r="O50" s="738"/>
      <c r="P50" s="735"/>
      <c r="Q50" s="735"/>
      <c r="R50" s="735"/>
      <c r="S50" s="735"/>
      <c r="T50" s="735"/>
      <c r="U50" s="735"/>
      <c r="V50" s="735"/>
      <c r="W50" s="735"/>
      <c r="X50" s="735"/>
      <c r="Y50" s="735"/>
      <c r="Z50" s="735"/>
      <c r="AA50" s="735"/>
      <c r="AB50" s="735"/>
      <c r="AC50" s="735"/>
      <c r="AD50" s="735"/>
      <c r="AE50" s="735"/>
      <c r="AF50" s="735"/>
      <c r="AG50" s="735"/>
    </row>
    <row r="51" spans="1:33" ht="17.25" customHeight="1" outlineLevel="2">
      <c r="A51" s="786"/>
      <c r="B51" s="735"/>
      <c r="C51" s="733" t="s">
        <v>719</v>
      </c>
      <c r="D51" s="615" t="s">
        <v>39</v>
      </c>
      <c r="E51" s="737"/>
      <c r="F51" s="737"/>
      <c r="G51" s="737"/>
      <c r="H51" s="737"/>
      <c r="I51" s="737"/>
      <c r="J51" s="739">
        <f>SUMIF(Timing!$J$15:$AG$15,J$33,$J$6:$AG$6)</f>
        <v>10</v>
      </c>
      <c r="K51" s="739">
        <f>SUMIF(Timing!$J$15:$AG$15,K$33,$J$6:$AG$6)</f>
        <v>12</v>
      </c>
      <c r="L51" s="739">
        <f>SUMIF(Timing!$J$15:$AG$15,L$33,$J$6:$AG$6)</f>
        <v>0</v>
      </c>
      <c r="M51" s="739">
        <f>SUMIF(Timing!$J$15:$AG$15,M$33,$J$6:$AG$6)</f>
        <v>0</v>
      </c>
      <c r="N51" s="745">
        <f>SUMIF(Timing!$J$15:$AG$15,N$33,$J$6:$AG$6)</f>
        <v>0</v>
      </c>
      <c r="O51" s="738"/>
      <c r="P51" s="735"/>
      <c r="Q51" s="735"/>
      <c r="R51" s="735"/>
      <c r="S51" s="735"/>
      <c r="T51" s="735"/>
      <c r="U51" s="735"/>
      <c r="V51" s="735"/>
      <c r="W51" s="735"/>
      <c r="X51" s="735"/>
      <c r="Y51" s="735"/>
      <c r="Z51" s="735"/>
      <c r="AA51" s="735"/>
      <c r="AB51" s="735"/>
      <c r="AC51" s="735"/>
      <c r="AD51" s="735"/>
      <c r="AE51" s="735"/>
      <c r="AF51" s="735"/>
      <c r="AG51" s="735"/>
    </row>
    <row r="52" spans="1:33" ht="13.5" customHeight="1" outlineLevel="2">
      <c r="A52" s="786"/>
      <c r="B52" s="735"/>
      <c r="C52" s="409"/>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row>
    <row r="53" spans="1:33" ht="24" customHeight="1" outlineLevel="2">
      <c r="A53" s="786"/>
      <c r="B53" s="735"/>
      <c r="C53" s="274" t="s">
        <v>416</v>
      </c>
      <c r="D53" s="735"/>
      <c r="E53" s="735"/>
      <c r="F53" s="735"/>
      <c r="G53" s="735"/>
      <c r="H53" s="735"/>
      <c r="I53" s="735"/>
      <c r="J53" s="735"/>
      <c r="K53" s="735"/>
      <c r="L53" s="735"/>
      <c r="M53" s="735"/>
      <c r="N53" s="735"/>
      <c r="O53" s="735"/>
      <c r="P53" s="735"/>
      <c r="Q53" s="735"/>
      <c r="R53" s="735"/>
      <c r="S53" s="735"/>
      <c r="T53" s="735"/>
      <c r="U53" s="735"/>
      <c r="V53" s="735"/>
      <c r="W53" s="735"/>
      <c r="X53" s="735"/>
      <c r="Y53" s="735"/>
      <c r="Z53" s="735"/>
      <c r="AA53" s="735"/>
      <c r="AB53" s="735"/>
      <c r="AC53" s="735"/>
      <c r="AD53" s="735"/>
      <c r="AE53" s="735"/>
      <c r="AF53" s="735"/>
      <c r="AG53" s="735"/>
    </row>
    <row r="54" spans="1:33" ht="17.25" customHeight="1" outlineLevel="2">
      <c r="A54" s="786"/>
      <c r="B54" s="735"/>
      <c r="C54" s="411" t="s">
        <v>419</v>
      </c>
      <c r="D54" s="735"/>
      <c r="E54" s="934" t="s">
        <v>718</v>
      </c>
      <c r="F54" s="735"/>
      <c r="G54" s="735"/>
      <c r="H54" s="735"/>
      <c r="I54" s="735"/>
      <c r="J54" s="735"/>
      <c r="K54" s="735"/>
      <c r="L54" s="735"/>
      <c r="M54" s="735"/>
      <c r="N54" s="735"/>
      <c r="O54" s="735"/>
      <c r="P54" s="735"/>
      <c r="Q54" s="735"/>
      <c r="R54" s="735"/>
      <c r="S54" s="735"/>
      <c r="T54" s="735"/>
      <c r="U54" s="735"/>
      <c r="V54" s="735"/>
      <c r="W54" s="735"/>
      <c r="X54" s="735"/>
      <c r="Y54" s="735"/>
      <c r="Z54" s="735"/>
      <c r="AA54" s="735"/>
      <c r="AB54" s="735"/>
      <c r="AC54" s="735"/>
      <c r="AD54" s="735"/>
      <c r="AE54" s="735"/>
      <c r="AF54" s="735"/>
      <c r="AG54" s="735"/>
    </row>
    <row r="55" spans="1:33" ht="17.25" customHeight="1" outlineLevel="2">
      <c r="A55" s="786"/>
      <c r="B55" s="735"/>
      <c r="C55" s="733" t="s">
        <v>420</v>
      </c>
      <c r="D55" s="422" t="s">
        <v>29</v>
      </c>
      <c r="E55" s="511">
        <f>IF(Inputs!$J$20+Inputs!$F$205&gt;12,Inputs!$J$20+Inputs!$F$205-12,Inputs!$J$20+Inputs!$F$205)</f>
        <v>2</v>
      </c>
      <c r="F55" s="511">
        <f>E55+mths_quarter</f>
        <v>5</v>
      </c>
      <c r="G55" s="511">
        <f>F55+mths_quarter</f>
        <v>8</v>
      </c>
      <c r="H55" s="511">
        <f>G55+mths_quarter</f>
        <v>11</v>
      </c>
      <c r="I55" s="737"/>
      <c r="J55" s="507">
        <f t="shared" ref="J55:AG55" si="9">IF(OR(MONTH(J4)=$E55,MONTH(J4)=$F55,MONTH(J4)=$G55,MONTH(J4)=$H55),1,0)*J$6</f>
        <v>1</v>
      </c>
      <c r="K55" s="507">
        <f t="shared" si="9"/>
        <v>0</v>
      </c>
      <c r="L55" s="507">
        <f t="shared" si="9"/>
        <v>0</v>
      </c>
      <c r="M55" s="507">
        <f t="shared" si="9"/>
        <v>1</v>
      </c>
      <c r="N55" s="507">
        <f t="shared" si="9"/>
        <v>0</v>
      </c>
      <c r="O55" s="507">
        <f t="shared" si="9"/>
        <v>0</v>
      </c>
      <c r="P55" s="507">
        <f t="shared" si="9"/>
        <v>1</v>
      </c>
      <c r="Q55" s="507">
        <f t="shared" si="9"/>
        <v>0</v>
      </c>
      <c r="R55" s="507">
        <f t="shared" si="9"/>
        <v>0</v>
      </c>
      <c r="S55" s="507">
        <f t="shared" si="9"/>
        <v>1</v>
      </c>
      <c r="T55" s="507">
        <f t="shared" si="9"/>
        <v>0</v>
      </c>
      <c r="U55" s="507">
        <f t="shared" si="9"/>
        <v>0</v>
      </c>
      <c r="V55" s="507">
        <f t="shared" si="9"/>
        <v>1</v>
      </c>
      <c r="W55" s="507">
        <f t="shared" si="9"/>
        <v>0</v>
      </c>
      <c r="X55" s="507">
        <f t="shared" si="9"/>
        <v>0</v>
      </c>
      <c r="Y55" s="507">
        <f t="shared" si="9"/>
        <v>1</v>
      </c>
      <c r="Z55" s="507">
        <f t="shared" si="9"/>
        <v>0</v>
      </c>
      <c r="AA55" s="507">
        <f t="shared" si="9"/>
        <v>0</v>
      </c>
      <c r="AB55" s="507">
        <f t="shared" si="9"/>
        <v>1</v>
      </c>
      <c r="AC55" s="507">
        <f t="shared" si="9"/>
        <v>0</v>
      </c>
      <c r="AD55" s="507">
        <f t="shared" si="9"/>
        <v>0</v>
      </c>
      <c r="AE55" s="507">
        <f t="shared" si="9"/>
        <v>1</v>
      </c>
      <c r="AF55" s="507">
        <f t="shared" si="9"/>
        <v>0</v>
      </c>
      <c r="AG55" s="507">
        <f t="shared" si="9"/>
        <v>0</v>
      </c>
    </row>
    <row r="56" spans="1:33" ht="17.25" customHeight="1" outlineLevel="2">
      <c r="A56" s="786"/>
      <c r="B56" s="735"/>
      <c r="C56" s="733" t="s">
        <v>419</v>
      </c>
      <c r="D56" s="422" t="str">
        <f>Currency_Label</f>
        <v>USD</v>
      </c>
      <c r="E56" s="737"/>
      <c r="F56" s="737"/>
      <c r="G56" s="737"/>
      <c r="H56" s="737"/>
      <c r="I56" s="236">
        <f>SUM(J56:AG56)</f>
        <v>25000</v>
      </c>
      <c r="J56" s="739">
        <f t="shared" ref="J56:AG56" si="10">LOOKUP(J$7,$J$33:$N$33,$J$50:$N$50)*J$55</f>
        <v>1250</v>
      </c>
      <c r="K56" s="739">
        <f t="shared" si="10"/>
        <v>0</v>
      </c>
      <c r="L56" s="739">
        <f t="shared" si="10"/>
        <v>0</v>
      </c>
      <c r="M56" s="739">
        <f t="shared" si="10"/>
        <v>1250</v>
      </c>
      <c r="N56" s="739">
        <f t="shared" si="10"/>
        <v>0</v>
      </c>
      <c r="O56" s="739">
        <f t="shared" si="10"/>
        <v>0</v>
      </c>
      <c r="P56" s="739">
        <f t="shared" si="10"/>
        <v>1250</v>
      </c>
      <c r="Q56" s="739">
        <f t="shared" si="10"/>
        <v>0</v>
      </c>
      <c r="R56" s="739">
        <f t="shared" si="10"/>
        <v>0</v>
      </c>
      <c r="S56" s="739">
        <f t="shared" si="10"/>
        <v>1250</v>
      </c>
      <c r="T56" s="739">
        <f t="shared" si="10"/>
        <v>0</v>
      </c>
      <c r="U56" s="739">
        <f t="shared" si="10"/>
        <v>0</v>
      </c>
      <c r="V56" s="739">
        <f t="shared" si="10"/>
        <v>5000</v>
      </c>
      <c r="W56" s="739">
        <f t="shared" si="10"/>
        <v>0</v>
      </c>
      <c r="X56" s="739">
        <f t="shared" si="10"/>
        <v>0</v>
      </c>
      <c r="Y56" s="739">
        <f t="shared" si="10"/>
        <v>5000</v>
      </c>
      <c r="Z56" s="739">
        <f t="shared" si="10"/>
        <v>0</v>
      </c>
      <c r="AA56" s="739">
        <f t="shared" si="10"/>
        <v>0</v>
      </c>
      <c r="AB56" s="739">
        <f t="shared" si="10"/>
        <v>5000</v>
      </c>
      <c r="AC56" s="739">
        <f t="shared" si="10"/>
        <v>0</v>
      </c>
      <c r="AD56" s="739">
        <f t="shared" si="10"/>
        <v>0</v>
      </c>
      <c r="AE56" s="739">
        <f t="shared" si="10"/>
        <v>5000</v>
      </c>
      <c r="AF56" s="739">
        <f t="shared" si="10"/>
        <v>0</v>
      </c>
      <c r="AG56" s="739">
        <f t="shared" si="10"/>
        <v>0</v>
      </c>
    </row>
    <row r="57" spans="1:33" ht="13.5" customHeight="1" outlineLevel="2">
      <c r="A57" s="786"/>
      <c r="B57" s="735"/>
      <c r="C57" s="735"/>
      <c r="D57" s="735"/>
      <c r="E57" s="735"/>
      <c r="F57" s="735"/>
      <c r="G57" s="735"/>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row>
    <row r="58" spans="1:33" ht="17.25" customHeight="1" outlineLevel="2">
      <c r="A58" s="786"/>
      <c r="B58" s="735"/>
      <c r="C58" s="411" t="s">
        <v>426</v>
      </c>
      <c r="D58" s="735"/>
      <c r="E58" s="735"/>
      <c r="F58" s="735"/>
      <c r="G58" s="735"/>
      <c r="H58" s="735"/>
      <c r="I58" s="735"/>
      <c r="J58" s="735"/>
      <c r="K58" s="735"/>
      <c r="L58" s="735"/>
      <c r="M58" s="735"/>
      <c r="N58" s="735"/>
      <c r="O58" s="735"/>
      <c r="P58" s="735"/>
      <c r="Q58" s="735"/>
      <c r="R58" s="735"/>
      <c r="S58" s="735"/>
      <c r="T58" s="735"/>
      <c r="U58" s="735"/>
      <c r="V58" s="735"/>
      <c r="W58" s="735"/>
      <c r="X58" s="735"/>
      <c r="Y58" s="735"/>
      <c r="Z58" s="735"/>
      <c r="AA58" s="735"/>
      <c r="AB58" s="735"/>
      <c r="AC58" s="735"/>
      <c r="AD58" s="735"/>
      <c r="AE58" s="735"/>
      <c r="AF58" s="735"/>
      <c r="AG58" s="735"/>
    </row>
    <row r="59" spans="1:33" ht="17.25" customHeight="1" outlineLevel="2">
      <c r="A59" s="786"/>
      <c r="B59" s="735"/>
      <c r="C59" s="495" t="s">
        <v>421</v>
      </c>
      <c r="D59" s="422" t="s">
        <v>29</v>
      </c>
      <c r="E59" s="635" t="s">
        <v>425</v>
      </c>
      <c r="F59" s="511">
        <f>IF(Inputs!$J$20+Inputs!$F$206&gt;12,Inputs!$J$20+Inputs!$F$206-12,Inputs!$J$20+Inputs!$F$206)</f>
        <v>3</v>
      </c>
      <c r="G59" s="8" t="s">
        <v>717</v>
      </c>
      <c r="H59" s="422"/>
      <c r="I59" s="422"/>
      <c r="J59" s="507">
        <f t="shared" ref="J59:AG59" si="11">IF(MONTH(J$4)=$F59,1,0)*J6</f>
        <v>0</v>
      </c>
      <c r="K59" s="507">
        <f t="shared" si="11"/>
        <v>1</v>
      </c>
      <c r="L59" s="507">
        <f t="shared" si="11"/>
        <v>0</v>
      </c>
      <c r="M59" s="507">
        <f t="shared" si="11"/>
        <v>0</v>
      </c>
      <c r="N59" s="507">
        <f t="shared" si="11"/>
        <v>0</v>
      </c>
      <c r="O59" s="507">
        <f t="shared" si="11"/>
        <v>0</v>
      </c>
      <c r="P59" s="507">
        <f t="shared" si="11"/>
        <v>0</v>
      </c>
      <c r="Q59" s="507">
        <f t="shared" si="11"/>
        <v>0</v>
      </c>
      <c r="R59" s="507">
        <f t="shared" si="11"/>
        <v>0</v>
      </c>
      <c r="S59" s="507">
        <f t="shared" si="11"/>
        <v>0</v>
      </c>
      <c r="T59" s="507">
        <f t="shared" si="11"/>
        <v>0</v>
      </c>
      <c r="U59" s="507">
        <f t="shared" si="11"/>
        <v>0</v>
      </c>
      <c r="V59" s="507">
        <f t="shared" si="11"/>
        <v>0</v>
      </c>
      <c r="W59" s="507">
        <f t="shared" si="11"/>
        <v>1</v>
      </c>
      <c r="X59" s="507">
        <f t="shared" si="11"/>
        <v>0</v>
      </c>
      <c r="Y59" s="507">
        <f t="shared" si="11"/>
        <v>0</v>
      </c>
      <c r="Z59" s="507">
        <f t="shared" si="11"/>
        <v>0</v>
      </c>
      <c r="AA59" s="507">
        <f t="shared" si="11"/>
        <v>0</v>
      </c>
      <c r="AB59" s="507">
        <f t="shared" si="11"/>
        <v>0</v>
      </c>
      <c r="AC59" s="507">
        <f t="shared" si="11"/>
        <v>0</v>
      </c>
      <c r="AD59" s="507">
        <f t="shared" si="11"/>
        <v>0</v>
      </c>
      <c r="AE59" s="507">
        <f t="shared" si="11"/>
        <v>0</v>
      </c>
      <c r="AF59" s="507">
        <f t="shared" si="11"/>
        <v>0</v>
      </c>
      <c r="AG59" s="507">
        <f t="shared" si="11"/>
        <v>0</v>
      </c>
    </row>
    <row r="60" spans="1:33" ht="17.25" customHeight="1" outlineLevel="2">
      <c r="A60" s="786"/>
      <c r="B60" s="735"/>
      <c r="C60" s="495" t="s">
        <v>422</v>
      </c>
      <c r="D60" s="422" t="str">
        <f>Currency_Label</f>
        <v>USD</v>
      </c>
      <c r="E60" s="737"/>
      <c r="F60" s="737"/>
      <c r="G60" s="737"/>
      <c r="H60" s="737"/>
      <c r="I60" s="236">
        <f ca="1">SUM(J60:AG60)</f>
        <v>0</v>
      </c>
      <c r="J60" s="739">
        <f t="shared" ref="J60:AG60" si="12">IF(J$7=1,0,LOOKUP(MAX(1,J$7-1),$J$33:$N$33,$J$45:$N$45)*J$59)</f>
        <v>0</v>
      </c>
      <c r="K60" s="739">
        <f t="shared" si="12"/>
        <v>0</v>
      </c>
      <c r="L60" s="739">
        <f t="shared" si="12"/>
        <v>0</v>
      </c>
      <c r="M60" s="739">
        <f t="shared" si="12"/>
        <v>0</v>
      </c>
      <c r="N60" s="739">
        <f t="shared" si="12"/>
        <v>0</v>
      </c>
      <c r="O60" s="739">
        <f t="shared" si="12"/>
        <v>0</v>
      </c>
      <c r="P60" s="739">
        <f t="shared" si="12"/>
        <v>0</v>
      </c>
      <c r="Q60" s="739">
        <f t="shared" si="12"/>
        <v>0</v>
      </c>
      <c r="R60" s="739">
        <f t="shared" si="12"/>
        <v>0</v>
      </c>
      <c r="S60" s="739">
        <f t="shared" si="12"/>
        <v>0</v>
      </c>
      <c r="T60" s="739">
        <f t="shared" ca="1" si="12"/>
        <v>0</v>
      </c>
      <c r="U60" s="739">
        <f t="shared" ca="1" si="12"/>
        <v>0</v>
      </c>
      <c r="V60" s="739">
        <f t="shared" ca="1" si="12"/>
        <v>0</v>
      </c>
      <c r="W60" s="739">
        <f t="shared" ca="1" si="12"/>
        <v>0</v>
      </c>
      <c r="X60" s="739">
        <f t="shared" ca="1" si="12"/>
        <v>0</v>
      </c>
      <c r="Y60" s="739">
        <f t="shared" ca="1" si="12"/>
        <v>0</v>
      </c>
      <c r="Z60" s="739">
        <f t="shared" ca="1" si="12"/>
        <v>0</v>
      </c>
      <c r="AA60" s="739">
        <f t="shared" ca="1" si="12"/>
        <v>0</v>
      </c>
      <c r="AB60" s="739">
        <f t="shared" ca="1" si="12"/>
        <v>0</v>
      </c>
      <c r="AC60" s="739">
        <f t="shared" ca="1" si="12"/>
        <v>0</v>
      </c>
      <c r="AD60" s="739">
        <f t="shared" ca="1" si="12"/>
        <v>0</v>
      </c>
      <c r="AE60" s="739">
        <f t="shared" ca="1" si="12"/>
        <v>0</v>
      </c>
      <c r="AF60" s="739">
        <f t="shared" ca="1" si="12"/>
        <v>0</v>
      </c>
      <c r="AG60" s="739">
        <f t="shared" ca="1" si="12"/>
        <v>0</v>
      </c>
    </row>
    <row r="61" spans="1:33" ht="17.25" customHeight="1" outlineLevel="2">
      <c r="A61" s="786"/>
      <c r="B61" s="735"/>
      <c r="C61" s="737" t="s">
        <v>423</v>
      </c>
      <c r="D61" s="422" t="str">
        <f>Currency_Label</f>
        <v>USD</v>
      </c>
      <c r="E61" s="737"/>
      <c r="F61" s="737"/>
      <c r="G61" s="737"/>
      <c r="H61" s="737"/>
      <c r="I61" s="236">
        <f>SUM(J61:AG61)</f>
        <v>5000</v>
      </c>
      <c r="J61" s="739">
        <f t="shared" ref="J61:AG61" si="13">IF(J$7=1,0,LOOKUP(MAX(1,J$7-1),$J$33:$N$33,$J$48:$N$48)*J$59)</f>
        <v>0</v>
      </c>
      <c r="K61" s="739">
        <f t="shared" si="13"/>
        <v>0</v>
      </c>
      <c r="L61" s="739">
        <f t="shared" si="13"/>
        <v>0</v>
      </c>
      <c r="M61" s="739">
        <f t="shared" si="13"/>
        <v>0</v>
      </c>
      <c r="N61" s="739">
        <f t="shared" si="13"/>
        <v>0</v>
      </c>
      <c r="O61" s="739">
        <f t="shared" si="13"/>
        <v>0</v>
      </c>
      <c r="P61" s="739">
        <f t="shared" si="13"/>
        <v>0</v>
      </c>
      <c r="Q61" s="739">
        <f t="shared" si="13"/>
        <v>0</v>
      </c>
      <c r="R61" s="739">
        <f t="shared" si="13"/>
        <v>0</v>
      </c>
      <c r="S61" s="739">
        <f t="shared" si="13"/>
        <v>0</v>
      </c>
      <c r="T61" s="739">
        <f t="shared" si="13"/>
        <v>0</v>
      </c>
      <c r="U61" s="739">
        <f t="shared" si="13"/>
        <v>0</v>
      </c>
      <c r="V61" s="739">
        <f t="shared" si="13"/>
        <v>0</v>
      </c>
      <c r="W61" s="739">
        <f t="shared" si="13"/>
        <v>5000</v>
      </c>
      <c r="X61" s="739">
        <f t="shared" si="13"/>
        <v>0</v>
      </c>
      <c r="Y61" s="739">
        <f t="shared" si="13"/>
        <v>0</v>
      </c>
      <c r="Z61" s="739">
        <f t="shared" si="13"/>
        <v>0</v>
      </c>
      <c r="AA61" s="739">
        <f t="shared" si="13"/>
        <v>0</v>
      </c>
      <c r="AB61" s="739">
        <f t="shared" si="13"/>
        <v>0</v>
      </c>
      <c r="AC61" s="739">
        <f t="shared" si="13"/>
        <v>0</v>
      </c>
      <c r="AD61" s="739">
        <f t="shared" si="13"/>
        <v>0</v>
      </c>
      <c r="AE61" s="739">
        <f t="shared" si="13"/>
        <v>0</v>
      </c>
      <c r="AF61" s="739">
        <f t="shared" si="13"/>
        <v>0</v>
      </c>
      <c r="AG61" s="739">
        <f t="shared" si="13"/>
        <v>0</v>
      </c>
    </row>
    <row r="62" spans="1:33" ht="17.25" customHeight="1" outlineLevel="2">
      <c r="A62" s="786"/>
      <c r="B62" s="735"/>
      <c r="C62" s="737" t="s">
        <v>424</v>
      </c>
      <c r="D62" s="422" t="str">
        <f>Currency_Label</f>
        <v>USD</v>
      </c>
      <c r="E62" s="737"/>
      <c r="F62" s="737"/>
      <c r="G62" s="737"/>
      <c r="H62" s="737"/>
      <c r="I62" s="236">
        <f ca="1">SUM(J62:AG62)</f>
        <v>-5000</v>
      </c>
      <c r="J62" s="423">
        <f t="shared" ref="J62:AG62" si="14">(J60-J61)*J$59</f>
        <v>0</v>
      </c>
      <c r="K62" s="423">
        <f t="shared" si="14"/>
        <v>0</v>
      </c>
      <c r="L62" s="423">
        <f t="shared" si="14"/>
        <v>0</v>
      </c>
      <c r="M62" s="423">
        <f t="shared" si="14"/>
        <v>0</v>
      </c>
      <c r="N62" s="423">
        <f t="shared" si="14"/>
        <v>0</v>
      </c>
      <c r="O62" s="423">
        <f t="shared" si="14"/>
        <v>0</v>
      </c>
      <c r="P62" s="423">
        <f t="shared" si="14"/>
        <v>0</v>
      </c>
      <c r="Q62" s="423">
        <f t="shared" si="14"/>
        <v>0</v>
      </c>
      <c r="R62" s="423">
        <f t="shared" si="14"/>
        <v>0</v>
      </c>
      <c r="S62" s="423">
        <f t="shared" si="14"/>
        <v>0</v>
      </c>
      <c r="T62" s="423">
        <f t="shared" ca="1" si="14"/>
        <v>0</v>
      </c>
      <c r="U62" s="423">
        <f t="shared" ca="1" si="14"/>
        <v>0</v>
      </c>
      <c r="V62" s="423">
        <f t="shared" ca="1" si="14"/>
        <v>0</v>
      </c>
      <c r="W62" s="423">
        <f t="shared" ca="1" si="14"/>
        <v>-5000</v>
      </c>
      <c r="X62" s="423">
        <f t="shared" ca="1" si="14"/>
        <v>0</v>
      </c>
      <c r="Y62" s="423">
        <f t="shared" ca="1" si="14"/>
        <v>0</v>
      </c>
      <c r="Z62" s="423">
        <f t="shared" ca="1" si="14"/>
        <v>0</v>
      </c>
      <c r="AA62" s="423">
        <f t="shared" ca="1" si="14"/>
        <v>0</v>
      </c>
      <c r="AB62" s="423">
        <f t="shared" ca="1" si="14"/>
        <v>0</v>
      </c>
      <c r="AC62" s="423">
        <f t="shared" ca="1" si="14"/>
        <v>0</v>
      </c>
      <c r="AD62" s="423">
        <f t="shared" ca="1" si="14"/>
        <v>0</v>
      </c>
      <c r="AE62" s="423">
        <f t="shared" ca="1" si="14"/>
        <v>0</v>
      </c>
      <c r="AF62" s="423">
        <f t="shared" ca="1" si="14"/>
        <v>0</v>
      </c>
      <c r="AG62" s="423">
        <f t="shared" ca="1" si="14"/>
        <v>0</v>
      </c>
    </row>
    <row r="63" spans="1:33" ht="13.5" customHeight="1" outlineLevel="2">
      <c r="A63" s="786"/>
      <c r="B63" s="735"/>
      <c r="C63" s="735"/>
      <c r="D63" s="735"/>
      <c r="E63" s="735"/>
      <c r="F63" s="735"/>
      <c r="G63" s="735"/>
      <c r="H63" s="735"/>
      <c r="I63" s="441"/>
      <c r="J63" s="735"/>
      <c r="K63" s="735"/>
      <c r="L63" s="735"/>
      <c r="M63" s="735"/>
      <c r="N63" s="735"/>
      <c r="O63" s="735"/>
      <c r="P63" s="735"/>
      <c r="Q63" s="735"/>
      <c r="R63" s="735"/>
      <c r="S63" s="735"/>
      <c r="T63" s="735"/>
      <c r="U63" s="735"/>
      <c r="V63" s="735"/>
      <c r="W63" s="735"/>
      <c r="X63" s="735"/>
      <c r="Y63" s="735"/>
      <c r="Z63" s="735"/>
      <c r="AA63" s="735"/>
      <c r="AB63" s="735"/>
      <c r="AC63" s="735"/>
      <c r="AD63" s="735"/>
      <c r="AE63" s="735"/>
      <c r="AF63" s="735"/>
      <c r="AG63" s="735"/>
    </row>
    <row r="64" spans="1:33" ht="21" customHeight="1" outlineLevel="1">
      <c r="A64" s="786"/>
      <c r="B64" s="274">
        <v>3</v>
      </c>
      <c r="C64" s="274" t="s">
        <v>427</v>
      </c>
      <c r="D64" s="735"/>
      <c r="E64" s="735"/>
      <c r="F64" s="735"/>
      <c r="G64" s="735"/>
      <c r="H64" s="735"/>
      <c r="I64" s="735"/>
      <c r="J64" s="735"/>
      <c r="K64" s="735"/>
      <c r="L64" s="735"/>
      <c r="M64" s="735"/>
      <c r="N64" s="735"/>
      <c r="O64" s="735"/>
      <c r="P64" s="735"/>
      <c r="Q64" s="735"/>
      <c r="R64" s="735"/>
      <c r="S64" s="735"/>
      <c r="T64" s="735"/>
      <c r="U64" s="735"/>
      <c r="V64" s="735"/>
      <c r="W64" s="735"/>
      <c r="X64" s="735"/>
      <c r="Y64" s="735"/>
      <c r="Z64" s="735"/>
      <c r="AA64" s="735"/>
      <c r="AB64" s="735"/>
      <c r="AC64" s="735"/>
      <c r="AD64" s="735"/>
      <c r="AE64" s="735"/>
      <c r="AF64" s="735"/>
      <c r="AG64" s="735"/>
    </row>
    <row r="65" spans="1:33" ht="17.25" customHeight="1" outlineLevel="2">
      <c r="A65" s="786"/>
      <c r="B65" s="735"/>
      <c r="C65" s="737" t="s">
        <v>428</v>
      </c>
      <c r="D65" s="422" t="str">
        <f>Currency_Label</f>
        <v>USD</v>
      </c>
      <c r="E65" s="191" t="s">
        <v>429</v>
      </c>
      <c r="F65" s="737"/>
      <c r="G65" s="737"/>
      <c r="H65" s="737"/>
      <c r="I65" s="236">
        <f ca="1">SUM(J65:AG65)</f>
        <v>42080.28112706219</v>
      </c>
      <c r="J65" s="739">
        <f t="shared" ref="J65:AG65" ca="1" si="15">IF(J6=0,0,LOOKUP(J$7,$J$33:$N$33,$J$45:$N$45)/LOOKUP(J$7,$J$33:$N$33,$J$51:$N$51))</f>
        <v>0</v>
      </c>
      <c r="K65" s="739">
        <f t="shared" ca="1" si="15"/>
        <v>0</v>
      </c>
      <c r="L65" s="739">
        <f t="shared" ca="1" si="15"/>
        <v>0</v>
      </c>
      <c r="M65" s="739">
        <f t="shared" ca="1" si="15"/>
        <v>0</v>
      </c>
      <c r="N65" s="739">
        <f t="shared" ca="1" si="15"/>
        <v>0</v>
      </c>
      <c r="O65" s="739">
        <f t="shared" ca="1" si="15"/>
        <v>0</v>
      </c>
      <c r="P65" s="739">
        <f t="shared" ca="1" si="15"/>
        <v>0</v>
      </c>
      <c r="Q65" s="739">
        <f t="shared" ca="1" si="15"/>
        <v>0</v>
      </c>
      <c r="R65" s="739">
        <f t="shared" ca="1" si="15"/>
        <v>0</v>
      </c>
      <c r="S65" s="739">
        <f t="shared" ca="1" si="15"/>
        <v>0</v>
      </c>
      <c r="T65" s="739">
        <f t="shared" ca="1" si="15"/>
        <v>3506.6900939218499</v>
      </c>
      <c r="U65" s="739">
        <f t="shared" ca="1" si="15"/>
        <v>3506.6900939218499</v>
      </c>
      <c r="V65" s="739">
        <f t="shared" ca="1" si="15"/>
        <v>3506.6900939218499</v>
      </c>
      <c r="W65" s="739">
        <f t="shared" ca="1" si="15"/>
        <v>3506.6900939218499</v>
      </c>
      <c r="X65" s="739">
        <f t="shared" ca="1" si="15"/>
        <v>3506.6900939218499</v>
      </c>
      <c r="Y65" s="739">
        <f t="shared" ca="1" si="15"/>
        <v>3506.6900939218499</v>
      </c>
      <c r="Z65" s="739">
        <f t="shared" ca="1" si="15"/>
        <v>3506.6900939218499</v>
      </c>
      <c r="AA65" s="739">
        <f t="shared" ca="1" si="15"/>
        <v>3506.6900939218499</v>
      </c>
      <c r="AB65" s="739">
        <f t="shared" ca="1" si="15"/>
        <v>3506.6900939218499</v>
      </c>
      <c r="AC65" s="739">
        <f t="shared" ca="1" si="15"/>
        <v>3506.6900939218499</v>
      </c>
      <c r="AD65" s="739">
        <f t="shared" ca="1" si="15"/>
        <v>3506.6900939218499</v>
      </c>
      <c r="AE65" s="739">
        <f t="shared" ca="1" si="15"/>
        <v>3506.6900939218499</v>
      </c>
      <c r="AF65" s="739">
        <f t="shared" si="15"/>
        <v>0</v>
      </c>
      <c r="AG65" s="739">
        <f t="shared" si="15"/>
        <v>0</v>
      </c>
    </row>
    <row r="66" spans="1:33" ht="13.5" customHeight="1" outlineLevel="2">
      <c r="A66" s="786"/>
      <c r="B66" s="735"/>
      <c r="C66" s="735"/>
      <c r="D66" s="735"/>
      <c r="E66" s="735"/>
      <c r="F66" s="735"/>
      <c r="G66" s="735"/>
      <c r="H66" s="735"/>
      <c r="I66" s="735"/>
      <c r="J66" s="441"/>
      <c r="K66" s="441"/>
      <c r="L66" s="441"/>
      <c r="M66" s="441"/>
      <c r="N66" s="441"/>
      <c r="O66" s="441"/>
      <c r="P66" s="441"/>
      <c r="Q66" s="441"/>
      <c r="R66" s="441"/>
      <c r="S66" s="441"/>
      <c r="T66" s="441"/>
      <c r="U66" s="441"/>
      <c r="V66" s="441"/>
      <c r="W66" s="441"/>
      <c r="X66" s="441"/>
      <c r="Y66" s="441"/>
      <c r="Z66" s="441"/>
      <c r="AA66" s="441"/>
      <c r="AB66" s="441"/>
      <c r="AC66" s="441"/>
      <c r="AD66" s="441"/>
      <c r="AE66" s="441"/>
      <c r="AF66" s="441"/>
      <c r="AG66" s="441"/>
    </row>
    <row r="67" spans="1:33" ht="21" customHeight="1" outlineLevel="1">
      <c r="A67" s="786"/>
      <c r="B67" s="274">
        <v>4</v>
      </c>
      <c r="C67" s="274" t="str">
        <f>CHOOSE(language,"BS Account: Taxes on profit owed","BS Account: Taxes on income owed")</f>
        <v>BS Account: Taxes on income owed</v>
      </c>
      <c r="D67" s="735"/>
      <c r="E67" s="735"/>
      <c r="F67" s="735"/>
      <c r="G67" s="735"/>
      <c r="H67" s="735"/>
      <c r="I67" s="735"/>
      <c r="J67" s="735"/>
      <c r="K67" s="735"/>
      <c r="L67" s="735"/>
      <c r="M67" s="735"/>
      <c r="N67" s="735"/>
      <c r="O67" s="735"/>
      <c r="P67" s="735"/>
      <c r="Q67" s="735"/>
      <c r="R67" s="735"/>
      <c r="S67" s="735"/>
      <c r="T67" s="735"/>
      <c r="U67" s="735"/>
      <c r="V67" s="735"/>
      <c r="W67" s="735"/>
      <c r="X67" s="735"/>
      <c r="Y67" s="735"/>
      <c r="Z67" s="735"/>
      <c r="AA67" s="735"/>
      <c r="AB67" s="735"/>
      <c r="AC67" s="735"/>
      <c r="AD67" s="735"/>
      <c r="AE67" s="735"/>
      <c r="AF67" s="735"/>
      <c r="AG67" s="735"/>
    </row>
    <row r="68" spans="1:33" ht="17.25" customHeight="1" outlineLevel="2">
      <c r="A68" s="786"/>
      <c r="B68" s="735"/>
      <c r="C68" s="737" t="s">
        <v>140</v>
      </c>
      <c r="D68" s="422" t="str">
        <f>Currency_Label</f>
        <v>USD</v>
      </c>
      <c r="E68" s="737"/>
      <c r="F68" s="737"/>
      <c r="G68" s="737"/>
      <c r="H68" s="737"/>
      <c r="I68" s="737"/>
      <c r="J68" s="739">
        <f t="shared" ref="J68:AG68" si="16">I71*J6</f>
        <v>0</v>
      </c>
      <c r="K68" s="739">
        <f t="shared" ca="1" si="16"/>
        <v>-1250</v>
      </c>
      <c r="L68" s="739">
        <f t="shared" ca="1" si="16"/>
        <v>-1250</v>
      </c>
      <c r="M68" s="739">
        <f t="shared" ca="1" si="16"/>
        <v>-1250</v>
      </c>
      <c r="N68" s="739">
        <f t="shared" ca="1" si="16"/>
        <v>-2500</v>
      </c>
      <c r="O68" s="739">
        <f t="shared" ca="1" si="16"/>
        <v>-2500</v>
      </c>
      <c r="P68" s="739">
        <f t="shared" ca="1" si="16"/>
        <v>-2500</v>
      </c>
      <c r="Q68" s="739">
        <f t="shared" ca="1" si="16"/>
        <v>-3750</v>
      </c>
      <c r="R68" s="739">
        <f t="shared" ca="1" si="16"/>
        <v>-3750</v>
      </c>
      <c r="S68" s="739">
        <f t="shared" ca="1" si="16"/>
        <v>-3750</v>
      </c>
      <c r="T68" s="739">
        <f t="shared" ca="1" si="16"/>
        <v>-5000</v>
      </c>
      <c r="U68" s="739">
        <f t="shared" ca="1" si="16"/>
        <v>-1493.3099060781501</v>
      </c>
      <c r="V68" s="739">
        <f t="shared" ca="1" si="16"/>
        <v>2013.3801878436998</v>
      </c>
      <c r="W68" s="739">
        <f t="shared" ca="1" si="16"/>
        <v>520.07028176554923</v>
      </c>
      <c r="X68" s="739">
        <f t="shared" ca="1" si="16"/>
        <v>9026.7603756873996</v>
      </c>
      <c r="Y68" s="739">
        <f t="shared" ca="1" si="16"/>
        <v>12533.45046960925</v>
      </c>
      <c r="Z68" s="739">
        <f t="shared" ca="1" si="16"/>
        <v>11040.1405635311</v>
      </c>
      <c r="AA68" s="739">
        <f t="shared" ca="1" si="16"/>
        <v>14546.830657452951</v>
      </c>
      <c r="AB68" s="739">
        <f t="shared" ca="1" si="16"/>
        <v>18053.520751374799</v>
      </c>
      <c r="AC68" s="739">
        <f t="shared" ca="1" si="16"/>
        <v>16560.210845296649</v>
      </c>
      <c r="AD68" s="739">
        <f t="shared" ca="1" si="16"/>
        <v>20066.9009392185</v>
      </c>
      <c r="AE68" s="739">
        <f t="shared" ca="1" si="16"/>
        <v>23573.59103314035</v>
      </c>
      <c r="AF68" s="739">
        <f t="shared" ca="1" si="16"/>
        <v>0</v>
      </c>
      <c r="AG68" s="739">
        <f t="shared" ca="1" si="16"/>
        <v>0</v>
      </c>
    </row>
    <row r="69" spans="1:33" ht="17.25" customHeight="1" outlineLevel="2">
      <c r="A69" s="786"/>
      <c r="B69" s="735"/>
      <c r="C69" s="737" t="s">
        <v>430</v>
      </c>
      <c r="D69" s="422" t="str">
        <f>Currency_Label</f>
        <v>USD</v>
      </c>
      <c r="E69" s="737"/>
      <c r="F69" s="737"/>
      <c r="G69" s="737"/>
      <c r="H69" s="737"/>
      <c r="I69" s="236">
        <f ca="1">SUM(J69:AG69)</f>
        <v>42080.28112706219</v>
      </c>
      <c r="J69" s="739">
        <f ca="1">J65</f>
        <v>0</v>
      </c>
      <c r="K69" s="739">
        <f t="shared" ref="K69:AG69" ca="1" si="17">K65</f>
        <v>0</v>
      </c>
      <c r="L69" s="739">
        <f t="shared" ca="1" si="17"/>
        <v>0</v>
      </c>
      <c r="M69" s="739">
        <f t="shared" ca="1" si="17"/>
        <v>0</v>
      </c>
      <c r="N69" s="739">
        <f t="shared" ca="1" si="17"/>
        <v>0</v>
      </c>
      <c r="O69" s="739">
        <f t="shared" ca="1" si="17"/>
        <v>0</v>
      </c>
      <c r="P69" s="739">
        <f t="shared" ca="1" si="17"/>
        <v>0</v>
      </c>
      <c r="Q69" s="739">
        <f t="shared" ca="1" si="17"/>
        <v>0</v>
      </c>
      <c r="R69" s="739">
        <f t="shared" ca="1" si="17"/>
        <v>0</v>
      </c>
      <c r="S69" s="739">
        <f t="shared" ca="1" si="17"/>
        <v>0</v>
      </c>
      <c r="T69" s="739">
        <f t="shared" ca="1" si="17"/>
        <v>3506.6900939218499</v>
      </c>
      <c r="U69" s="739">
        <f t="shared" ca="1" si="17"/>
        <v>3506.6900939218499</v>
      </c>
      <c r="V69" s="739">
        <f t="shared" ca="1" si="17"/>
        <v>3506.6900939218499</v>
      </c>
      <c r="W69" s="739">
        <f t="shared" ca="1" si="17"/>
        <v>3506.6900939218499</v>
      </c>
      <c r="X69" s="739">
        <f t="shared" ca="1" si="17"/>
        <v>3506.6900939218499</v>
      </c>
      <c r="Y69" s="739">
        <f t="shared" ca="1" si="17"/>
        <v>3506.6900939218499</v>
      </c>
      <c r="Z69" s="739">
        <f t="shared" ca="1" si="17"/>
        <v>3506.6900939218499</v>
      </c>
      <c r="AA69" s="739">
        <f t="shared" ca="1" si="17"/>
        <v>3506.6900939218499</v>
      </c>
      <c r="AB69" s="739">
        <f t="shared" ca="1" si="17"/>
        <v>3506.6900939218499</v>
      </c>
      <c r="AC69" s="739">
        <f t="shared" ca="1" si="17"/>
        <v>3506.6900939218499</v>
      </c>
      <c r="AD69" s="739">
        <f t="shared" ca="1" si="17"/>
        <v>3506.6900939218499</v>
      </c>
      <c r="AE69" s="739">
        <f t="shared" ca="1" si="17"/>
        <v>3506.6900939218499</v>
      </c>
      <c r="AF69" s="739">
        <f t="shared" si="17"/>
        <v>0</v>
      </c>
      <c r="AG69" s="739">
        <f t="shared" si="17"/>
        <v>0</v>
      </c>
    </row>
    <row r="70" spans="1:33" ht="17.25" customHeight="1" outlineLevel="2">
      <c r="A70" s="786"/>
      <c r="B70" s="735"/>
      <c r="C70" s="737" t="s">
        <v>602</v>
      </c>
      <c r="D70" s="422" t="str">
        <f>Currency_Label</f>
        <v>USD</v>
      </c>
      <c r="E70" s="191" t="s">
        <v>432</v>
      </c>
      <c r="F70" s="737"/>
      <c r="G70" s="746"/>
      <c r="H70" s="737"/>
      <c r="I70" s="236">
        <f ca="1">SUM(J70:AG70)</f>
        <v>-20000</v>
      </c>
      <c r="J70" s="237">
        <f>-(J56+J62)</f>
        <v>-1250</v>
      </c>
      <c r="K70" s="237">
        <f t="shared" ref="K70:AG70" si="18">-(K56+K62)</f>
        <v>0</v>
      </c>
      <c r="L70" s="237">
        <f t="shared" si="18"/>
        <v>0</v>
      </c>
      <c r="M70" s="237">
        <f t="shared" si="18"/>
        <v>-1250</v>
      </c>
      <c r="N70" s="237">
        <f t="shared" si="18"/>
        <v>0</v>
      </c>
      <c r="O70" s="237">
        <f t="shared" si="18"/>
        <v>0</v>
      </c>
      <c r="P70" s="237">
        <f t="shared" si="18"/>
        <v>-1250</v>
      </c>
      <c r="Q70" s="237">
        <f t="shared" si="18"/>
        <v>0</v>
      </c>
      <c r="R70" s="237">
        <f t="shared" si="18"/>
        <v>0</v>
      </c>
      <c r="S70" s="237">
        <f t="shared" si="18"/>
        <v>-1250</v>
      </c>
      <c r="T70" s="237">
        <f t="shared" ca="1" si="18"/>
        <v>0</v>
      </c>
      <c r="U70" s="237">
        <f t="shared" ca="1" si="18"/>
        <v>0</v>
      </c>
      <c r="V70" s="237">
        <f t="shared" ca="1" si="18"/>
        <v>-5000</v>
      </c>
      <c r="W70" s="237">
        <f t="shared" ca="1" si="18"/>
        <v>5000</v>
      </c>
      <c r="X70" s="237">
        <f t="shared" ca="1" si="18"/>
        <v>0</v>
      </c>
      <c r="Y70" s="237">
        <f t="shared" ca="1" si="18"/>
        <v>-5000</v>
      </c>
      <c r="Z70" s="237">
        <f t="shared" ca="1" si="18"/>
        <v>0</v>
      </c>
      <c r="AA70" s="237">
        <f t="shared" ca="1" si="18"/>
        <v>0</v>
      </c>
      <c r="AB70" s="237">
        <f t="shared" ca="1" si="18"/>
        <v>-5000</v>
      </c>
      <c r="AC70" s="237">
        <f t="shared" ca="1" si="18"/>
        <v>0</v>
      </c>
      <c r="AD70" s="237">
        <f t="shared" ca="1" si="18"/>
        <v>0</v>
      </c>
      <c r="AE70" s="237">
        <f t="shared" ca="1" si="18"/>
        <v>-5000</v>
      </c>
      <c r="AF70" s="237">
        <f t="shared" ca="1" si="18"/>
        <v>0</v>
      </c>
      <c r="AG70" s="237">
        <f t="shared" ca="1" si="18"/>
        <v>0</v>
      </c>
    </row>
    <row r="71" spans="1:33" ht="17.25" customHeight="1" outlineLevel="2" thickBot="1">
      <c r="A71" s="786"/>
      <c r="B71" s="735"/>
      <c r="C71" s="737" t="s">
        <v>141</v>
      </c>
      <c r="D71" s="422" t="str">
        <f>Currency_Label</f>
        <v>USD</v>
      </c>
      <c r="E71" s="737"/>
      <c r="F71" s="737"/>
      <c r="G71" s="737"/>
      <c r="H71" s="737"/>
      <c r="I71" s="508"/>
      <c r="J71" s="747">
        <f t="shared" ref="J71" ca="1" si="19">SUM(J68:J70)</f>
        <v>-1250</v>
      </c>
      <c r="K71" s="747">
        <f t="shared" ref="K71:AG71" ca="1" si="20">SUM(K68:K70)</f>
        <v>-1250</v>
      </c>
      <c r="L71" s="747">
        <f t="shared" ca="1" si="20"/>
        <v>-1250</v>
      </c>
      <c r="M71" s="747">
        <f t="shared" ca="1" si="20"/>
        <v>-2500</v>
      </c>
      <c r="N71" s="747">
        <f t="shared" ca="1" si="20"/>
        <v>-2500</v>
      </c>
      <c r="O71" s="747">
        <f t="shared" ca="1" si="20"/>
        <v>-2500</v>
      </c>
      <c r="P71" s="747">
        <f t="shared" ca="1" si="20"/>
        <v>-3750</v>
      </c>
      <c r="Q71" s="747">
        <f t="shared" ca="1" si="20"/>
        <v>-3750</v>
      </c>
      <c r="R71" s="747">
        <f t="shared" ca="1" si="20"/>
        <v>-3750</v>
      </c>
      <c r="S71" s="747">
        <f t="shared" ca="1" si="20"/>
        <v>-5000</v>
      </c>
      <c r="T71" s="747">
        <f t="shared" ca="1" si="20"/>
        <v>-1493.3099060781501</v>
      </c>
      <c r="U71" s="747">
        <f t="shared" ca="1" si="20"/>
        <v>2013.3801878436998</v>
      </c>
      <c r="V71" s="747">
        <f t="shared" ca="1" si="20"/>
        <v>520.07028176554923</v>
      </c>
      <c r="W71" s="747">
        <f t="shared" ca="1" si="20"/>
        <v>9026.7603756873996</v>
      </c>
      <c r="X71" s="747">
        <f t="shared" ca="1" si="20"/>
        <v>12533.45046960925</v>
      </c>
      <c r="Y71" s="747">
        <f t="shared" ca="1" si="20"/>
        <v>11040.1405635311</v>
      </c>
      <c r="Z71" s="747">
        <f t="shared" ca="1" si="20"/>
        <v>14546.830657452951</v>
      </c>
      <c r="AA71" s="747">
        <f t="shared" ca="1" si="20"/>
        <v>18053.520751374799</v>
      </c>
      <c r="AB71" s="747">
        <f t="shared" ca="1" si="20"/>
        <v>16560.210845296649</v>
      </c>
      <c r="AC71" s="747">
        <f t="shared" ca="1" si="20"/>
        <v>20066.9009392185</v>
      </c>
      <c r="AD71" s="747">
        <f t="shared" ca="1" si="20"/>
        <v>23573.59103314035</v>
      </c>
      <c r="AE71" s="747">
        <f t="shared" ca="1" si="20"/>
        <v>22080.281127062201</v>
      </c>
      <c r="AF71" s="747">
        <f t="shared" ca="1" si="20"/>
        <v>0</v>
      </c>
      <c r="AG71" s="747">
        <f t="shared" ca="1" si="20"/>
        <v>0</v>
      </c>
    </row>
    <row r="72" spans="1:33" ht="17.25" customHeight="1" outlineLevel="2" thickTop="1">
      <c r="A72" s="786"/>
      <c r="B72" s="735"/>
      <c r="C72" s="737" t="s">
        <v>431</v>
      </c>
      <c r="D72" s="422" t="str">
        <f>Currency_Label</f>
        <v>USD</v>
      </c>
      <c r="E72" s="737"/>
      <c r="F72" s="496">
        <f ca="1">I69+I70</f>
        <v>22080.28112706219</v>
      </c>
      <c r="G72" s="668">
        <f ca="1">ROUND(I69+I70-F72,4)</f>
        <v>0</v>
      </c>
      <c r="H72" s="737"/>
      <c r="I72" s="441"/>
      <c r="J72" s="441"/>
      <c r="K72" s="735"/>
      <c r="L72" s="735"/>
      <c r="M72" s="735"/>
      <c r="N72" s="735"/>
      <c r="O72" s="735"/>
      <c r="P72" s="735"/>
      <c r="Q72" s="735"/>
      <c r="R72" s="735"/>
      <c r="S72" s="735"/>
      <c r="T72" s="735"/>
      <c r="U72" s="735"/>
      <c r="V72" s="735"/>
      <c r="W72" s="735"/>
      <c r="X72" s="735"/>
      <c r="Y72" s="735"/>
      <c r="Z72" s="735"/>
      <c r="AA72" s="735"/>
      <c r="AB72" s="735"/>
      <c r="AC72" s="735"/>
      <c r="AD72" s="735"/>
      <c r="AE72" s="735"/>
      <c r="AF72" s="735"/>
      <c r="AG72" s="735"/>
    </row>
    <row r="73" spans="1:33" ht="17.25" customHeight="1" outlineLevel="1">
      <c r="A73" s="786"/>
      <c r="B73" s="735"/>
      <c r="C73" s="735"/>
      <c r="D73" s="512"/>
      <c r="E73" s="735"/>
      <c r="F73" s="735"/>
      <c r="G73" s="735"/>
      <c r="H73" s="441"/>
      <c r="I73" s="748"/>
      <c r="J73" s="749"/>
      <c r="K73" s="516"/>
      <c r="L73" s="735"/>
      <c r="M73" s="735"/>
      <c r="N73" s="735"/>
      <c r="O73" s="735"/>
      <c r="P73" s="735"/>
      <c r="Q73" s="735"/>
      <c r="R73" s="735"/>
      <c r="S73" s="735"/>
      <c r="T73" s="735"/>
      <c r="U73" s="735"/>
      <c r="V73" s="735"/>
      <c r="W73" s="735"/>
      <c r="X73" s="735"/>
      <c r="Y73" s="735"/>
      <c r="Z73" s="735"/>
      <c r="AA73" s="735"/>
      <c r="AB73" s="735"/>
      <c r="AC73" s="735"/>
      <c r="AD73" s="735"/>
      <c r="AE73" s="735"/>
      <c r="AF73" s="735"/>
      <c r="AG73" s="735"/>
    </row>
    <row r="74" spans="1:33" ht="17.25" customHeight="1">
      <c r="A74" s="786"/>
      <c r="B74" s="735"/>
      <c r="C74" s="735"/>
      <c r="D74" s="735"/>
      <c r="E74" s="735"/>
      <c r="F74" s="735"/>
      <c r="G74" s="735"/>
      <c r="H74" s="735"/>
      <c r="I74" s="735"/>
      <c r="J74" s="735"/>
      <c r="K74" s="735"/>
      <c r="L74" s="735"/>
      <c r="M74" s="735"/>
      <c r="N74" s="735"/>
      <c r="O74" s="735"/>
      <c r="P74" s="735"/>
      <c r="Q74" s="735"/>
      <c r="R74" s="735"/>
      <c r="S74" s="735"/>
      <c r="T74" s="735"/>
      <c r="U74" s="735"/>
      <c r="V74" s="735"/>
      <c r="W74" s="735"/>
      <c r="X74" s="735"/>
      <c r="Y74" s="735"/>
      <c r="Z74" s="735"/>
      <c r="AA74" s="735"/>
      <c r="AB74" s="735"/>
      <c r="AC74" s="735"/>
      <c r="AD74" s="735"/>
      <c r="AE74" s="735"/>
      <c r="AF74" s="735"/>
      <c r="AG74" s="735"/>
    </row>
    <row r="75" spans="1:33" ht="17.25" customHeight="1">
      <c r="A75" s="861"/>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row>
    <row r="76" spans="1:33" ht="17.2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row>
    <row r="77" spans="1:33" ht="17.2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row>
    <row r="78" spans="1:33" ht="17.2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row>
    <row r="79" spans="1:33" ht="17.2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row>
    <row r="80" spans="1:33" s="878" customFormat="1" ht="17.25" customHeight="1">
      <c r="A80" s="861"/>
      <c r="B80" s="861"/>
      <c r="C80" s="861"/>
      <c r="D80" s="861"/>
      <c r="E80" s="861"/>
      <c r="F80" s="861"/>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row>
    <row r="81" spans="1:33" s="878" customFormat="1" ht="17.25" customHeight="1">
      <c r="A81" s="861"/>
      <c r="B81" s="861"/>
      <c r="C81" s="861"/>
      <c r="D81" s="861"/>
      <c r="E81" s="861"/>
      <c r="F81" s="861"/>
      <c r="G81" s="861"/>
      <c r="H81" s="861"/>
      <c r="I81" s="861"/>
      <c r="J81" s="861"/>
      <c r="K81" s="861"/>
      <c r="L81" s="861"/>
      <c r="M81" s="861"/>
      <c r="N81" s="861"/>
      <c r="O81" s="861"/>
      <c r="P81" s="861"/>
      <c r="Q81" s="861"/>
      <c r="R81" s="861"/>
      <c r="S81" s="861"/>
      <c r="T81" s="861"/>
      <c r="U81" s="861"/>
      <c r="V81" s="861"/>
      <c r="W81" s="861"/>
      <c r="X81" s="861"/>
      <c r="Y81" s="861"/>
      <c r="Z81" s="861"/>
      <c r="AA81" s="861"/>
      <c r="AB81" s="861"/>
      <c r="AC81" s="861"/>
      <c r="AD81" s="861"/>
      <c r="AE81" s="861"/>
      <c r="AF81" s="861"/>
      <c r="AG81" s="861"/>
    </row>
    <row r="82" spans="1:33" s="878" customFormat="1" ht="17.25" customHeight="1">
      <c r="A82" s="861"/>
      <c r="B82" s="861"/>
      <c r="C82" s="861"/>
      <c r="D82" s="861"/>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row>
    <row r="83" spans="1:33" s="878" customFormat="1" ht="17.25" customHeight="1">
      <c r="A83" s="861"/>
      <c r="B83" s="861"/>
      <c r="C83" s="861"/>
      <c r="D83" s="861"/>
      <c r="E83" s="861"/>
      <c r="F83" s="861"/>
      <c r="G83" s="861"/>
      <c r="H83" s="861"/>
      <c r="I83" s="861"/>
      <c r="J83" s="861"/>
      <c r="K83" s="861"/>
      <c r="L83" s="861"/>
      <c r="M83" s="861"/>
      <c r="N83" s="861"/>
      <c r="O83" s="861"/>
      <c r="P83" s="861"/>
      <c r="Q83" s="861"/>
      <c r="R83" s="861"/>
      <c r="S83" s="861"/>
      <c r="T83" s="861"/>
      <c r="U83" s="861"/>
      <c r="V83" s="861"/>
      <c r="W83" s="861"/>
      <c r="X83" s="861"/>
      <c r="Y83" s="861"/>
      <c r="Z83" s="861"/>
      <c r="AA83" s="861"/>
      <c r="AB83" s="861"/>
      <c r="AC83" s="861"/>
      <c r="AD83" s="861"/>
      <c r="AE83" s="861"/>
      <c r="AF83" s="861"/>
      <c r="AG83" s="861"/>
    </row>
    <row r="84" spans="1:33" s="878" customFormat="1" ht="17.25" customHeight="1">
      <c r="A84" s="861"/>
      <c r="B84" s="861"/>
      <c r="C84" s="861"/>
      <c r="D84" s="861"/>
      <c r="E84" s="861"/>
      <c r="F84" s="861"/>
      <c r="G84" s="861"/>
      <c r="H84" s="861"/>
      <c r="I84" s="861"/>
      <c r="J84" s="861"/>
      <c r="K84" s="861"/>
      <c r="L84" s="861"/>
      <c r="M84" s="861"/>
      <c r="N84" s="861"/>
      <c r="O84" s="861"/>
      <c r="P84" s="861"/>
      <c r="Q84" s="861"/>
      <c r="R84" s="861"/>
      <c r="S84" s="861"/>
      <c r="T84" s="861"/>
      <c r="U84" s="861"/>
      <c r="V84" s="861"/>
      <c r="W84" s="861"/>
      <c r="X84" s="861"/>
      <c r="Y84" s="861"/>
      <c r="Z84" s="861"/>
      <c r="AA84" s="861"/>
      <c r="AB84" s="861"/>
      <c r="AC84" s="861"/>
      <c r="AD84" s="861"/>
      <c r="AE84" s="861"/>
      <c r="AF84" s="861"/>
      <c r="AG84" s="861"/>
    </row>
    <row r="85" spans="1:33" s="878" customFormat="1" ht="17.25" customHeight="1">
      <c r="A85" s="861"/>
      <c r="B85" s="861"/>
      <c r="C85" s="861"/>
      <c r="D85" s="861"/>
      <c r="E85" s="861"/>
      <c r="F85" s="861"/>
      <c r="G85" s="861"/>
      <c r="H85" s="861"/>
      <c r="I85" s="861"/>
      <c r="J85" s="861"/>
      <c r="K85" s="861"/>
      <c r="L85" s="861"/>
      <c r="M85" s="861"/>
      <c r="N85" s="861"/>
      <c r="O85" s="861"/>
      <c r="P85" s="861"/>
      <c r="Q85" s="861"/>
      <c r="R85" s="861"/>
      <c r="S85" s="861"/>
      <c r="T85" s="861"/>
      <c r="U85" s="861"/>
      <c r="V85" s="861"/>
      <c r="W85" s="861"/>
      <c r="X85" s="861"/>
      <c r="Y85" s="861"/>
      <c r="Z85" s="861"/>
      <c r="AA85" s="861"/>
      <c r="AB85" s="861"/>
      <c r="AC85" s="861"/>
      <c r="AD85" s="861"/>
      <c r="AE85" s="861"/>
      <c r="AF85" s="861"/>
      <c r="AG85" s="861"/>
    </row>
    <row r="86" spans="1:33" s="878" customFormat="1" ht="17.25" customHeight="1">
      <c r="A86" s="861"/>
      <c r="B86" s="861"/>
      <c r="C86" s="861"/>
      <c r="D86" s="861"/>
      <c r="E86" s="861"/>
      <c r="F86" s="861"/>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row>
    <row r="87" spans="1:33" s="878" customFormat="1" ht="17.25" customHeight="1">
      <c r="A87" s="861"/>
      <c r="B87" s="861"/>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row>
    <row r="88" spans="1:33" s="878" customFormat="1" ht="17.25" customHeight="1">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c r="Z88" s="861"/>
      <c r="AA88" s="861"/>
      <c r="AB88" s="861"/>
      <c r="AC88" s="861"/>
      <c r="AD88" s="861"/>
      <c r="AE88" s="861"/>
      <c r="AF88" s="861"/>
      <c r="AG88" s="861"/>
    </row>
    <row r="89" spans="1:33" s="878" customFormat="1" ht="17.25" customHeight="1">
      <c r="A89" s="861"/>
      <c r="B89" s="861"/>
      <c r="C89" s="861"/>
      <c r="D89" s="861"/>
      <c r="E89" s="861"/>
      <c r="F89" s="861"/>
      <c r="G89" s="861"/>
      <c r="H89" s="861"/>
      <c r="I89" s="861"/>
      <c r="J89" s="861"/>
      <c r="K89" s="861"/>
      <c r="L89" s="861"/>
      <c r="M89" s="861"/>
      <c r="N89" s="861"/>
      <c r="O89" s="861"/>
      <c r="P89" s="861"/>
      <c r="Q89" s="861"/>
      <c r="R89" s="861"/>
      <c r="S89" s="861"/>
      <c r="T89" s="861"/>
      <c r="U89" s="861"/>
      <c r="V89" s="861"/>
      <c r="W89" s="861"/>
      <c r="X89" s="861"/>
      <c r="Y89" s="861"/>
      <c r="Z89" s="861"/>
      <c r="AA89" s="861"/>
      <c r="AB89" s="861"/>
      <c r="AC89" s="861"/>
      <c r="AD89" s="861"/>
      <c r="AE89" s="861"/>
      <c r="AF89" s="861"/>
      <c r="AG89" s="861"/>
    </row>
    <row r="90" spans="1:33" ht="17.2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row>
    <row r="91" spans="1:33" ht="17.2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row>
    <row r="92" spans="1:33" ht="17.2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row>
    <row r="93" spans="1:33" ht="17.2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row>
    <row r="94" spans="1:33" s="878" customFormat="1" ht="17.25" customHeight="1">
      <c r="A94" s="861"/>
      <c r="B94" s="861"/>
      <c r="C94" s="861"/>
      <c r="D94" s="861"/>
      <c r="E94" s="861"/>
      <c r="F94" s="861"/>
      <c r="G94" s="861"/>
      <c r="H94" s="861"/>
      <c r="I94" s="861"/>
      <c r="J94" s="861"/>
      <c r="K94" s="861"/>
      <c r="L94" s="861"/>
      <c r="M94" s="861"/>
      <c r="N94" s="861"/>
      <c r="O94" s="861"/>
      <c r="P94" s="861"/>
      <c r="Q94" s="861"/>
      <c r="R94" s="861"/>
      <c r="S94" s="861"/>
      <c r="T94" s="861"/>
      <c r="U94" s="861"/>
      <c r="V94" s="861"/>
      <c r="W94" s="861"/>
      <c r="X94" s="861"/>
      <c r="Y94" s="861"/>
      <c r="Z94" s="861"/>
      <c r="AA94" s="861"/>
      <c r="AB94" s="861"/>
      <c r="AC94" s="861"/>
      <c r="AD94" s="861"/>
      <c r="AE94" s="861"/>
      <c r="AF94" s="861"/>
      <c r="AG94" s="861"/>
    </row>
    <row r="95" spans="1:33" s="878" customFormat="1" ht="17.25" customHeight="1">
      <c r="A95" s="861"/>
      <c r="B95" s="861"/>
      <c r="C95" s="861"/>
      <c r="D95" s="861"/>
      <c r="E95" s="861"/>
      <c r="F95" s="861"/>
      <c r="G95" s="861"/>
      <c r="H95" s="861"/>
      <c r="I95" s="861"/>
      <c r="J95" s="861"/>
      <c r="K95" s="861"/>
      <c r="L95" s="861"/>
      <c r="M95" s="861"/>
      <c r="N95" s="861"/>
      <c r="O95" s="861"/>
      <c r="P95" s="861"/>
      <c r="Q95" s="861"/>
      <c r="R95" s="861"/>
      <c r="S95" s="861"/>
      <c r="T95" s="861"/>
      <c r="U95" s="861"/>
      <c r="V95" s="861"/>
      <c r="W95" s="861"/>
      <c r="X95" s="861"/>
      <c r="Y95" s="861"/>
      <c r="Z95" s="861"/>
      <c r="AA95" s="861"/>
      <c r="AB95" s="861"/>
      <c r="AC95" s="861"/>
      <c r="AD95" s="861"/>
      <c r="AE95" s="861"/>
      <c r="AF95" s="861"/>
      <c r="AG95" s="861"/>
    </row>
    <row r="96" spans="1:33" s="878" customFormat="1" ht="17.25" customHeight="1">
      <c r="A96" s="861"/>
      <c r="B96" s="861"/>
      <c r="C96" s="861"/>
      <c r="D96" s="861"/>
      <c r="E96" s="861"/>
      <c r="F96" s="861"/>
      <c r="G96" s="861"/>
      <c r="H96" s="861"/>
      <c r="I96" s="861"/>
      <c r="J96" s="861"/>
      <c r="K96" s="861"/>
      <c r="L96" s="861"/>
      <c r="M96" s="861"/>
      <c r="N96" s="861"/>
      <c r="O96" s="861"/>
      <c r="P96" s="861"/>
      <c r="Q96" s="861"/>
      <c r="R96" s="861"/>
      <c r="S96" s="861"/>
      <c r="T96" s="861"/>
      <c r="U96" s="861"/>
      <c r="V96" s="861"/>
      <c r="W96" s="861"/>
      <c r="X96" s="861"/>
      <c r="Y96" s="861"/>
      <c r="Z96" s="861"/>
      <c r="AA96" s="861"/>
      <c r="AB96" s="861"/>
      <c r="AC96" s="861"/>
      <c r="AD96" s="861"/>
      <c r="AE96" s="861"/>
      <c r="AF96" s="861"/>
      <c r="AG96" s="861"/>
    </row>
    <row r="97" spans="1:33" s="878" customFormat="1" ht="17.25" customHeight="1">
      <c r="A97" s="861"/>
      <c r="B97" s="861"/>
      <c r="C97" s="861"/>
      <c r="D97" s="861"/>
      <c r="E97" s="861"/>
      <c r="F97" s="861"/>
      <c r="G97" s="861"/>
      <c r="H97" s="861"/>
      <c r="I97" s="861"/>
      <c r="J97" s="861"/>
      <c r="K97" s="861"/>
      <c r="L97" s="861"/>
      <c r="M97" s="861"/>
      <c r="N97" s="861"/>
      <c r="O97" s="861"/>
      <c r="P97" s="861"/>
      <c r="Q97" s="861"/>
      <c r="R97" s="861"/>
      <c r="S97" s="861"/>
      <c r="T97" s="861"/>
      <c r="U97" s="861"/>
      <c r="V97" s="861"/>
      <c r="W97" s="861"/>
      <c r="X97" s="861"/>
      <c r="Y97" s="861"/>
      <c r="Z97" s="861"/>
      <c r="AA97" s="861"/>
      <c r="AB97" s="861"/>
      <c r="AC97" s="861"/>
      <c r="AD97" s="861"/>
      <c r="AE97" s="861"/>
      <c r="AF97" s="861"/>
      <c r="AG97" s="861"/>
    </row>
    <row r="98" spans="1:33" ht="17.2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row>
    <row r="99" spans="1:33" ht="17.2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row>
    <row r="100" spans="1:33" ht="17.2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row>
    <row r="101" spans="1:33" ht="17.2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row>
    <row r="102" spans="1:33" ht="17.2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row>
    <row r="103" spans="1:33" ht="17.2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row>
    <row r="104" spans="1:33" ht="17.2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row>
    <row r="105" spans="1:33" ht="17.2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row>
    <row r="106" spans="1:33" ht="17.2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row>
    <row r="107" spans="1:33" ht="17.2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row>
    <row r="108" spans="1:33" ht="17.2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row>
    <row r="109" spans="1:33" ht="17.2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row>
    <row r="110" spans="1:33" ht="17.2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row>
    <row r="111" spans="1:33" ht="17.2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row>
    <row r="112" spans="1:33" ht="17.2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row>
    <row r="113" spans="1:33" ht="17.2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row>
    <row r="114" spans="1:33" ht="17.2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row>
  </sheetData>
  <sheetProtection password="F66A" sheet="1"/>
  <conditionalFormatting sqref="D3">
    <cfRule type="cellIs" dxfId="30" priority="74" operator="notEqual">
      <formula>0</formula>
    </cfRule>
  </conditionalFormatting>
  <conditionalFormatting sqref="J59:AG59 J55:AG55 J28:AG28">
    <cfRule type="cellIs" dxfId="29" priority="56" stopIfTrue="1" operator="equal">
      <formula>1</formula>
    </cfRule>
  </conditionalFormatting>
  <conditionalFormatting sqref="H23">
    <cfRule type="cellIs" dxfId="28" priority="9" operator="notEqual">
      <formula>0</formula>
    </cfRule>
  </conditionalFormatting>
  <conditionalFormatting sqref="G72">
    <cfRule type="cellIs" dxfId="27" priority="8" operator="notEqual">
      <formula>0</formula>
    </cfRule>
  </conditionalFormatting>
  <conditionalFormatting sqref="J35">
    <cfRule type="cellIs" dxfId="26" priority="7" stopIfTrue="1" operator="equal">
      <formula>1</formula>
    </cfRule>
  </conditionalFormatting>
  <conditionalFormatting sqref="K35:N35">
    <cfRule type="cellIs" dxfId="25" priority="6" stopIfTrue="1" operator="equal">
      <formula>1</formula>
    </cfRule>
  </conditionalFormatting>
  <conditionalFormatting sqref="K6:L6 R6:AG6">
    <cfRule type="cellIs" dxfId="24" priority="5" stopIfTrue="1" operator="equal">
      <formula>1</formula>
    </cfRule>
  </conditionalFormatting>
  <conditionalFormatting sqref="J4 K4:AG5">
    <cfRule type="expression" dxfId="23" priority="4" stopIfTrue="1">
      <formula>J$6=1</formula>
    </cfRule>
  </conditionalFormatting>
  <conditionalFormatting sqref="M6:Q6">
    <cfRule type="cellIs" dxfId="22" priority="3" stopIfTrue="1" operator="equal">
      <formula>1</formula>
    </cfRule>
  </conditionalFormatting>
  <conditionalFormatting sqref="J5">
    <cfRule type="expression" dxfId="21" priority="2" stopIfTrue="1">
      <formula>J$6=1</formula>
    </cfRule>
  </conditionalFormatting>
  <conditionalFormatting sqref="J6:AG6">
    <cfRule type="cellIs" dxfId="20" priority="1" stopIfTrue="1" operator="equal">
      <formula>1</formula>
    </cfRule>
  </conditionalFormatting>
  <dataValidations disablePrompts="1" count="1">
    <dataValidation type="whole" allowBlank="1" showInputMessage="1" showErrorMessage="1" errorTitle="Error" error="Only integral numbers between 0 and 11" sqref="H28">
      <formula1>0</formula1>
      <formula2>11</formula2>
    </dataValidation>
  </dataValidations>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iming">
    <tabColor theme="1"/>
    <pageSetUpPr autoPageBreaks="0"/>
  </sheetPr>
  <dimension ref="A1:MJ40"/>
  <sheetViews>
    <sheetView showGridLines="0" zoomScaleNormal="100" workbookViewId="0"/>
  </sheetViews>
  <sheetFormatPr baseColWidth="10" defaultColWidth="0" defaultRowHeight="12.75" zeroHeight="1"/>
  <cols>
    <col min="1" max="2" width="4.140625" style="229" customWidth="1"/>
    <col min="3" max="3" width="49.42578125" style="229" customWidth="1"/>
    <col min="4" max="5" width="13" style="229" customWidth="1"/>
    <col min="6" max="8" width="5.85546875" style="229" customWidth="1"/>
    <col min="9" max="33" width="11.42578125" style="229" customWidth="1"/>
    <col min="34" max="348" width="0" style="229" hidden="1" customWidth="1"/>
    <col min="349" max="16384" width="11.42578125" style="229" hidden="1"/>
  </cols>
  <sheetData>
    <row r="1" spans="1:33" ht="20.25">
      <c r="A1" s="228" t="s">
        <v>150</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row>
    <row r="2" spans="1:33" ht="15" customHeight="1">
      <c r="A2" s="285"/>
      <c r="B2" s="285"/>
      <c r="C2" s="286" t="str">
        <f>"Model: "&amp;Name_Model</f>
        <v>Model: Fictitious 5 Year Forecast</v>
      </c>
      <c r="D2" s="286"/>
      <c r="E2" s="287" t="s">
        <v>148</v>
      </c>
      <c r="F2" s="285"/>
      <c r="G2" s="285"/>
      <c r="H2" s="180"/>
      <c r="I2" s="180"/>
      <c r="J2" s="1097" t="s">
        <v>1069</v>
      </c>
      <c r="K2" s="1098"/>
      <c r="L2" s="1098"/>
      <c r="M2" s="1098"/>
      <c r="N2" s="1098"/>
      <c r="O2" s="1098"/>
      <c r="P2" s="334"/>
      <c r="Q2" s="334"/>
      <c r="R2" s="334"/>
      <c r="S2" s="334"/>
      <c r="T2" s="334"/>
      <c r="U2" s="334"/>
      <c r="V2" s="334"/>
      <c r="W2" s="334"/>
      <c r="X2" s="334"/>
      <c r="Y2" s="334"/>
      <c r="Z2" s="334"/>
      <c r="AA2" s="334"/>
      <c r="AB2" s="334"/>
      <c r="AC2" s="334"/>
      <c r="AD2" s="334"/>
      <c r="AE2" s="334"/>
      <c r="AF2" s="334"/>
      <c r="AG2" s="334"/>
    </row>
    <row r="3" spans="1:33" ht="15" customHeight="1">
      <c r="A3" s="285"/>
      <c r="B3" s="285"/>
      <c r="C3" s="286" t="s">
        <v>151</v>
      </c>
      <c r="D3" s="663">
        <f ca="1">Fehlerkontrolle</f>
        <v>0</v>
      </c>
      <c r="E3" s="287" t="s">
        <v>149</v>
      </c>
      <c r="F3" s="285"/>
      <c r="G3" s="292"/>
      <c r="H3" s="292"/>
      <c r="I3" s="337"/>
      <c r="J3" s="338"/>
      <c r="K3" s="334"/>
      <c r="L3" s="339"/>
      <c r="M3" s="334"/>
      <c r="N3" s="339"/>
      <c r="O3" s="334"/>
      <c r="P3" s="339"/>
      <c r="Q3" s="334"/>
      <c r="R3" s="339"/>
      <c r="S3" s="334"/>
      <c r="T3" s="339"/>
      <c r="U3" s="334"/>
      <c r="V3" s="339"/>
      <c r="W3" s="334"/>
      <c r="X3" s="339"/>
      <c r="Y3" s="334"/>
      <c r="Z3" s="339"/>
      <c r="AA3" s="334"/>
      <c r="AB3" s="339"/>
      <c r="AC3" s="334"/>
      <c r="AD3" s="339"/>
      <c r="AE3" s="334"/>
      <c r="AF3" s="339"/>
      <c r="AG3" s="334"/>
    </row>
    <row r="4" spans="1:33" ht="15" customHeight="1">
      <c r="A4" s="285"/>
      <c r="B4" s="289"/>
      <c r="C4" s="554" t="s">
        <v>152</v>
      </c>
      <c r="D4" s="340"/>
      <c r="E4" s="340"/>
      <c r="F4" s="340"/>
      <c r="G4" s="341"/>
      <c r="H4" s="337"/>
      <c r="I4" s="401"/>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ht="15" customHeight="1">
      <c r="A5" s="285"/>
      <c r="B5" s="285"/>
      <c r="C5" s="554" t="s">
        <v>153</v>
      </c>
      <c r="D5" s="65" t="s">
        <v>25</v>
      </c>
      <c r="E5" s="11" t="s">
        <v>155</v>
      </c>
      <c r="F5" s="340"/>
      <c r="G5" s="341"/>
      <c r="H5" s="33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ht="15" customHeight="1">
      <c r="A6" s="335"/>
      <c r="B6" s="335"/>
      <c r="C6" s="337" t="s">
        <v>154</v>
      </c>
      <c r="D6" s="637">
        <v>43132</v>
      </c>
      <c r="E6" s="637">
        <v>43799</v>
      </c>
      <c r="F6" s="337"/>
      <c r="G6" s="640"/>
      <c r="H6" s="641"/>
      <c r="I6" s="642">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ht="15" customHeight="1">
      <c r="A7" s="334"/>
      <c r="B7" s="337"/>
      <c r="C7" s="337"/>
      <c r="D7" s="337"/>
      <c r="E7" s="337"/>
      <c r="F7" s="337"/>
      <c r="G7" s="341"/>
      <c r="H7" s="337"/>
      <c r="I7" s="334"/>
      <c r="J7" s="313"/>
      <c r="K7" s="313"/>
      <c r="L7" s="313"/>
      <c r="M7" s="313"/>
      <c r="N7" s="313"/>
      <c r="O7" s="313"/>
      <c r="P7" s="313"/>
      <c r="Q7" s="313"/>
      <c r="R7" s="313"/>
      <c r="S7" s="313"/>
      <c r="T7" s="313"/>
      <c r="U7" s="313"/>
      <c r="V7" s="313"/>
      <c r="W7" s="313"/>
      <c r="X7" s="313"/>
      <c r="Y7" s="313"/>
      <c r="Z7" s="313"/>
      <c r="AA7" s="313"/>
      <c r="AB7" s="313"/>
      <c r="AC7" s="313"/>
      <c r="AD7" s="313"/>
      <c r="AE7" s="313"/>
      <c r="AF7" s="313"/>
      <c r="AG7" s="313"/>
    </row>
    <row r="8" spans="1:33" ht="21.75" customHeight="1">
      <c r="A8" s="334"/>
      <c r="B8" s="334"/>
      <c r="C8" s="336" t="s">
        <v>156</v>
      </c>
      <c r="D8" s="334"/>
      <c r="E8" s="334"/>
      <c r="F8" s="337"/>
      <c r="G8" s="341"/>
      <c r="H8" s="337"/>
      <c r="I8" s="334"/>
      <c r="J8" s="313"/>
      <c r="K8" s="313"/>
      <c r="L8" s="313"/>
      <c r="M8" s="313"/>
      <c r="N8" s="313"/>
      <c r="O8" s="313"/>
      <c r="P8" s="313"/>
      <c r="Q8" s="313"/>
      <c r="R8" s="313"/>
      <c r="S8" s="313"/>
      <c r="T8" s="313"/>
      <c r="U8" s="313"/>
      <c r="V8" s="313"/>
      <c r="W8" s="313"/>
      <c r="X8" s="313"/>
      <c r="Y8" s="313"/>
      <c r="Z8" s="313"/>
      <c r="AA8" s="313"/>
      <c r="AB8" s="313"/>
      <c r="AC8" s="313"/>
      <c r="AD8" s="313"/>
      <c r="AE8" s="313"/>
      <c r="AF8" s="313"/>
      <c r="AG8" s="313"/>
    </row>
    <row r="9" spans="1:33" ht="18" customHeight="1">
      <c r="A9" s="334"/>
      <c r="B9" s="645"/>
      <c r="C9" s="227" t="s">
        <v>157</v>
      </c>
      <c r="D9" s="422" t="s">
        <v>171</v>
      </c>
      <c r="E9" s="227"/>
      <c r="F9" s="402"/>
      <c r="G9" s="402"/>
      <c r="H9" s="402"/>
      <c r="I9" s="402"/>
      <c r="J9" s="402">
        <v>28</v>
      </c>
      <c r="K9" s="402">
        <v>31</v>
      </c>
      <c r="L9" s="402">
        <v>30</v>
      </c>
      <c r="M9" s="402">
        <v>31</v>
      </c>
      <c r="N9" s="402">
        <v>30</v>
      </c>
      <c r="O9" s="402">
        <v>31</v>
      </c>
      <c r="P9" s="402">
        <v>31</v>
      </c>
      <c r="Q9" s="402">
        <v>30</v>
      </c>
      <c r="R9" s="402">
        <v>31</v>
      </c>
      <c r="S9" s="402">
        <v>30</v>
      </c>
      <c r="T9" s="402">
        <v>31</v>
      </c>
      <c r="U9" s="402">
        <v>31</v>
      </c>
      <c r="V9" s="402">
        <v>28</v>
      </c>
      <c r="W9" s="402">
        <v>31</v>
      </c>
      <c r="X9" s="402">
        <v>30</v>
      </c>
      <c r="Y9" s="402">
        <v>31</v>
      </c>
      <c r="Z9" s="402">
        <v>30</v>
      </c>
      <c r="AA9" s="402">
        <v>31</v>
      </c>
      <c r="AB9" s="402">
        <v>31</v>
      </c>
      <c r="AC9" s="402">
        <v>30</v>
      </c>
      <c r="AD9" s="402">
        <v>31</v>
      </c>
      <c r="AE9" s="402">
        <v>30</v>
      </c>
      <c r="AF9" s="402">
        <v>31</v>
      </c>
      <c r="AG9" s="402">
        <v>31</v>
      </c>
    </row>
    <row r="10" spans="1:33" ht="18" customHeight="1">
      <c r="A10" s="334"/>
      <c r="B10" s="645"/>
      <c r="C10" s="227" t="s">
        <v>158</v>
      </c>
      <c r="D10" s="422" t="s">
        <v>172</v>
      </c>
      <c r="E10" s="227"/>
      <c r="F10" s="402"/>
      <c r="G10" s="402"/>
      <c r="H10" s="402"/>
      <c r="I10" s="402"/>
      <c r="J10" s="402">
        <v>2018</v>
      </c>
      <c r="K10" s="402">
        <v>2018</v>
      </c>
      <c r="L10" s="402">
        <v>2018</v>
      </c>
      <c r="M10" s="402">
        <v>2018</v>
      </c>
      <c r="N10" s="402">
        <v>2018</v>
      </c>
      <c r="O10" s="402">
        <v>2018</v>
      </c>
      <c r="P10" s="402">
        <v>2018</v>
      </c>
      <c r="Q10" s="402">
        <v>2018</v>
      </c>
      <c r="R10" s="402">
        <v>2018</v>
      </c>
      <c r="S10" s="402">
        <v>2018</v>
      </c>
      <c r="T10" s="402">
        <v>2018</v>
      </c>
      <c r="U10" s="402">
        <v>2019</v>
      </c>
      <c r="V10" s="402">
        <v>2019</v>
      </c>
      <c r="W10" s="402">
        <v>2019</v>
      </c>
      <c r="X10" s="402">
        <v>2019</v>
      </c>
      <c r="Y10" s="402">
        <v>2019</v>
      </c>
      <c r="Z10" s="402">
        <v>2019</v>
      </c>
      <c r="AA10" s="402">
        <v>2019</v>
      </c>
      <c r="AB10" s="402">
        <v>2019</v>
      </c>
      <c r="AC10" s="402">
        <v>2019</v>
      </c>
      <c r="AD10" s="402">
        <v>2019</v>
      </c>
      <c r="AE10" s="402">
        <v>2019</v>
      </c>
      <c r="AF10" s="402">
        <v>2019</v>
      </c>
      <c r="AG10" s="402">
        <v>2020</v>
      </c>
    </row>
    <row r="11" spans="1:33" ht="18" customHeight="1">
      <c r="A11" s="334"/>
      <c r="B11" s="645"/>
      <c r="C11" s="227" t="s">
        <v>159</v>
      </c>
      <c r="D11" s="646" t="s">
        <v>39</v>
      </c>
      <c r="E11" s="227"/>
      <c r="F11" s="402"/>
      <c r="G11" s="402"/>
      <c r="H11" s="402"/>
      <c r="I11" s="402"/>
      <c r="J11" s="403">
        <v>1</v>
      </c>
      <c r="K11" s="403">
        <v>1</v>
      </c>
      <c r="L11" s="403">
        <v>1</v>
      </c>
      <c r="M11" s="403">
        <v>1</v>
      </c>
      <c r="N11" s="403">
        <v>1</v>
      </c>
      <c r="O11" s="403">
        <v>1</v>
      </c>
      <c r="P11" s="403">
        <v>1</v>
      </c>
      <c r="Q11" s="403">
        <v>1</v>
      </c>
      <c r="R11" s="403">
        <v>1</v>
      </c>
      <c r="S11" s="403">
        <v>1</v>
      </c>
      <c r="T11" s="403">
        <v>1</v>
      </c>
      <c r="U11" s="403">
        <v>2</v>
      </c>
      <c r="V11" s="403">
        <v>2</v>
      </c>
      <c r="W11" s="403">
        <v>2</v>
      </c>
      <c r="X11" s="403">
        <v>2</v>
      </c>
      <c r="Y11" s="403">
        <v>2</v>
      </c>
      <c r="Z11" s="403">
        <v>2</v>
      </c>
      <c r="AA11" s="403">
        <v>2</v>
      </c>
      <c r="AB11" s="403">
        <v>2</v>
      </c>
      <c r="AC11" s="403">
        <v>2</v>
      </c>
      <c r="AD11" s="403">
        <v>2</v>
      </c>
      <c r="AE11" s="403">
        <v>2</v>
      </c>
      <c r="AF11" s="403">
        <v>2</v>
      </c>
      <c r="AG11" s="403">
        <v>3</v>
      </c>
    </row>
    <row r="12" spans="1:33" ht="18" customHeight="1">
      <c r="A12" s="334"/>
      <c r="B12" s="645"/>
      <c r="C12" s="227" t="s">
        <v>160</v>
      </c>
      <c r="D12" s="646" t="s">
        <v>39</v>
      </c>
      <c r="E12" s="227"/>
      <c r="F12" s="402"/>
      <c r="G12" s="402"/>
      <c r="H12" s="407"/>
      <c r="I12" s="652">
        <v>2</v>
      </c>
      <c r="J12" s="403">
        <v>3</v>
      </c>
      <c r="K12" s="403">
        <v>4</v>
      </c>
      <c r="L12" s="403">
        <v>5</v>
      </c>
      <c r="M12" s="403">
        <v>6</v>
      </c>
      <c r="N12" s="403">
        <v>7</v>
      </c>
      <c r="O12" s="403">
        <v>8</v>
      </c>
      <c r="P12" s="403">
        <v>9</v>
      </c>
      <c r="Q12" s="403">
        <v>10</v>
      </c>
      <c r="R12" s="403">
        <v>11</v>
      </c>
      <c r="S12" s="403">
        <v>12</v>
      </c>
      <c r="T12" s="403">
        <v>13</v>
      </c>
      <c r="U12" s="403">
        <v>14</v>
      </c>
      <c r="V12" s="403">
        <v>15</v>
      </c>
      <c r="W12" s="403">
        <v>16</v>
      </c>
      <c r="X12" s="403">
        <v>17</v>
      </c>
      <c r="Y12" s="403">
        <v>18</v>
      </c>
      <c r="Z12" s="403">
        <v>19</v>
      </c>
      <c r="AA12" s="403">
        <v>20</v>
      </c>
      <c r="AB12" s="403">
        <v>21</v>
      </c>
      <c r="AC12" s="403">
        <v>22</v>
      </c>
      <c r="AD12" s="403">
        <v>23</v>
      </c>
      <c r="AE12" s="403">
        <v>24</v>
      </c>
      <c r="AF12" s="403">
        <v>25</v>
      </c>
      <c r="AG12" s="403">
        <v>26</v>
      </c>
    </row>
    <row r="13" spans="1:33" ht="18" customHeight="1">
      <c r="A13" s="334"/>
      <c r="B13" s="645"/>
      <c r="C13" s="227" t="s">
        <v>161</v>
      </c>
      <c r="D13" s="422" t="s">
        <v>172</v>
      </c>
      <c r="E13" s="227"/>
      <c r="F13" s="407"/>
      <c r="G13" s="402"/>
      <c r="H13" s="407" t="s">
        <v>173</v>
      </c>
      <c r="I13" s="653">
        <v>11</v>
      </c>
      <c r="J13" s="404">
        <v>2018</v>
      </c>
      <c r="K13" s="404">
        <v>2018</v>
      </c>
      <c r="L13" s="404">
        <v>2018</v>
      </c>
      <c r="M13" s="404">
        <v>2018</v>
      </c>
      <c r="N13" s="404">
        <v>2018</v>
      </c>
      <c r="O13" s="404">
        <v>2018</v>
      </c>
      <c r="P13" s="404">
        <v>2018</v>
      </c>
      <c r="Q13" s="404">
        <v>2018</v>
      </c>
      <c r="R13" s="404">
        <v>2018</v>
      </c>
      <c r="S13" s="404">
        <v>2018</v>
      </c>
      <c r="T13" s="404">
        <v>2019</v>
      </c>
      <c r="U13" s="404">
        <v>2019</v>
      </c>
      <c r="V13" s="404">
        <v>2019</v>
      </c>
      <c r="W13" s="404">
        <v>2019</v>
      </c>
      <c r="X13" s="404">
        <v>2019</v>
      </c>
      <c r="Y13" s="404">
        <v>2019</v>
      </c>
      <c r="Z13" s="404">
        <v>2019</v>
      </c>
      <c r="AA13" s="404">
        <v>2019</v>
      </c>
      <c r="AB13" s="404">
        <v>2019</v>
      </c>
      <c r="AC13" s="404">
        <v>2019</v>
      </c>
      <c r="AD13" s="404">
        <v>2019</v>
      </c>
      <c r="AE13" s="404">
        <v>2019</v>
      </c>
      <c r="AF13" s="404">
        <v>2020</v>
      </c>
      <c r="AG13" s="404">
        <v>2020</v>
      </c>
    </row>
    <row r="14" spans="1:33" ht="18" customHeight="1">
      <c r="A14" s="334"/>
      <c r="B14" s="645"/>
      <c r="C14" s="227" t="s">
        <v>546</v>
      </c>
      <c r="D14" s="646" t="s">
        <v>39</v>
      </c>
      <c r="E14" s="647"/>
      <c r="F14" s="402"/>
      <c r="G14" s="402"/>
      <c r="H14" s="402"/>
      <c r="I14" s="402"/>
      <c r="J14" s="405">
        <v>3</v>
      </c>
      <c r="K14" s="405">
        <v>4</v>
      </c>
      <c r="L14" s="405">
        <v>5</v>
      </c>
      <c r="M14" s="405">
        <v>6</v>
      </c>
      <c r="N14" s="405">
        <v>7</v>
      </c>
      <c r="O14" s="405">
        <v>8</v>
      </c>
      <c r="P14" s="405">
        <v>9</v>
      </c>
      <c r="Q14" s="405">
        <v>10</v>
      </c>
      <c r="R14" s="405">
        <v>11</v>
      </c>
      <c r="S14" s="405">
        <v>12</v>
      </c>
      <c r="T14" s="405">
        <v>1</v>
      </c>
      <c r="U14" s="405">
        <v>2</v>
      </c>
      <c r="V14" s="405">
        <v>3</v>
      </c>
      <c r="W14" s="405">
        <v>4</v>
      </c>
      <c r="X14" s="405">
        <v>5</v>
      </c>
      <c r="Y14" s="405">
        <v>6</v>
      </c>
      <c r="Z14" s="405">
        <v>7</v>
      </c>
      <c r="AA14" s="405">
        <v>8</v>
      </c>
      <c r="AB14" s="405">
        <v>9</v>
      </c>
      <c r="AC14" s="405">
        <v>10</v>
      </c>
      <c r="AD14" s="405">
        <v>11</v>
      </c>
      <c r="AE14" s="405">
        <v>12</v>
      </c>
      <c r="AF14" s="405">
        <v>1</v>
      </c>
      <c r="AG14" s="405">
        <v>2</v>
      </c>
    </row>
    <row r="15" spans="1:33" ht="18" customHeight="1">
      <c r="A15" s="334"/>
      <c r="B15" s="645"/>
      <c r="C15" s="227" t="s">
        <v>162</v>
      </c>
      <c r="D15" s="646" t="s">
        <v>39</v>
      </c>
      <c r="E15" s="647"/>
      <c r="F15" s="402"/>
      <c r="G15" s="402"/>
      <c r="H15" s="402"/>
      <c r="I15" s="402"/>
      <c r="J15" s="405">
        <v>1</v>
      </c>
      <c r="K15" s="405">
        <v>1</v>
      </c>
      <c r="L15" s="405">
        <v>1</v>
      </c>
      <c r="M15" s="405">
        <v>1</v>
      </c>
      <c r="N15" s="405">
        <v>1</v>
      </c>
      <c r="O15" s="405">
        <v>1</v>
      </c>
      <c r="P15" s="405">
        <v>1</v>
      </c>
      <c r="Q15" s="405">
        <v>1</v>
      </c>
      <c r="R15" s="405">
        <v>1</v>
      </c>
      <c r="S15" s="405">
        <v>1</v>
      </c>
      <c r="T15" s="405">
        <v>2</v>
      </c>
      <c r="U15" s="405">
        <v>2</v>
      </c>
      <c r="V15" s="405">
        <v>2</v>
      </c>
      <c r="W15" s="405">
        <v>2</v>
      </c>
      <c r="X15" s="405">
        <v>2</v>
      </c>
      <c r="Y15" s="405">
        <v>2</v>
      </c>
      <c r="Z15" s="405">
        <v>2</v>
      </c>
      <c r="AA15" s="405">
        <v>2</v>
      </c>
      <c r="AB15" s="405">
        <v>2</v>
      </c>
      <c r="AC15" s="405">
        <v>2</v>
      </c>
      <c r="AD15" s="405">
        <v>2</v>
      </c>
      <c r="AE15" s="405">
        <v>2</v>
      </c>
      <c r="AF15" s="405">
        <v>3</v>
      </c>
      <c r="AG15" s="405">
        <v>3</v>
      </c>
    </row>
    <row r="16" spans="1:33" ht="18" customHeight="1">
      <c r="A16" s="334"/>
      <c r="B16" s="645"/>
      <c r="C16" s="645"/>
      <c r="D16" s="648"/>
      <c r="E16" s="645"/>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row>
    <row r="17" spans="1:33" ht="18" customHeight="1">
      <c r="A17" s="334"/>
      <c r="B17" s="645"/>
      <c r="C17" s="227" t="s">
        <v>163</v>
      </c>
      <c r="D17" s="646" t="s">
        <v>39</v>
      </c>
      <c r="E17" s="227"/>
      <c r="F17" s="402"/>
      <c r="G17" s="402"/>
      <c r="H17" s="402"/>
      <c r="I17" s="408"/>
      <c r="J17" s="403">
        <v>1</v>
      </c>
      <c r="K17" s="403">
        <v>2</v>
      </c>
      <c r="L17" s="403">
        <v>3</v>
      </c>
      <c r="M17" s="403">
        <v>4</v>
      </c>
      <c r="N17" s="403">
        <v>5</v>
      </c>
      <c r="O17" s="403">
        <v>6</v>
      </c>
      <c r="P17" s="403">
        <v>7</v>
      </c>
      <c r="Q17" s="403">
        <v>8</v>
      </c>
      <c r="R17" s="403">
        <v>9</v>
      </c>
      <c r="S17" s="403">
        <v>10</v>
      </c>
      <c r="T17" s="403">
        <v>11</v>
      </c>
      <c r="U17" s="403">
        <v>12</v>
      </c>
      <c r="V17" s="403">
        <v>13</v>
      </c>
      <c r="W17" s="403">
        <v>14</v>
      </c>
      <c r="X17" s="403">
        <v>15</v>
      </c>
      <c r="Y17" s="403">
        <v>16</v>
      </c>
      <c r="Z17" s="403">
        <v>17</v>
      </c>
      <c r="AA17" s="403">
        <v>18</v>
      </c>
      <c r="AB17" s="403">
        <v>19</v>
      </c>
      <c r="AC17" s="403">
        <v>20</v>
      </c>
      <c r="AD17" s="403">
        <v>21</v>
      </c>
      <c r="AE17" s="403">
        <v>22</v>
      </c>
      <c r="AF17" s="403">
        <v>23</v>
      </c>
      <c r="AG17" s="403">
        <v>24</v>
      </c>
    </row>
    <row r="18" spans="1:33" ht="18" customHeight="1">
      <c r="A18" s="334"/>
      <c r="B18" s="645"/>
      <c r="C18" s="227" t="s">
        <v>164</v>
      </c>
      <c r="D18" s="646" t="s">
        <v>39</v>
      </c>
      <c r="E18" s="227"/>
      <c r="F18" s="402"/>
      <c r="G18" s="402"/>
      <c r="H18" s="402"/>
      <c r="I18" s="402"/>
      <c r="J18" s="403">
        <v>1</v>
      </c>
      <c r="K18" s="403">
        <v>1</v>
      </c>
      <c r="L18" s="403">
        <v>1</v>
      </c>
      <c r="M18" s="403">
        <v>1</v>
      </c>
      <c r="N18" s="403">
        <v>1</v>
      </c>
      <c r="O18" s="403">
        <v>1</v>
      </c>
      <c r="P18" s="403">
        <v>1</v>
      </c>
      <c r="Q18" s="403">
        <v>1</v>
      </c>
      <c r="R18" s="403">
        <v>1</v>
      </c>
      <c r="S18" s="403">
        <v>1</v>
      </c>
      <c r="T18" s="403">
        <v>1</v>
      </c>
      <c r="U18" s="403">
        <v>1</v>
      </c>
      <c r="V18" s="403">
        <v>2</v>
      </c>
      <c r="W18" s="403">
        <v>2</v>
      </c>
      <c r="X18" s="403">
        <v>2</v>
      </c>
      <c r="Y18" s="403">
        <v>2</v>
      </c>
      <c r="Z18" s="403">
        <v>2</v>
      </c>
      <c r="AA18" s="403">
        <v>2</v>
      </c>
      <c r="AB18" s="403">
        <v>2</v>
      </c>
      <c r="AC18" s="403">
        <v>2</v>
      </c>
      <c r="AD18" s="403">
        <v>2</v>
      </c>
      <c r="AE18" s="403">
        <v>2</v>
      </c>
      <c r="AF18" s="403">
        <v>0</v>
      </c>
      <c r="AG18" s="403">
        <v>0</v>
      </c>
    </row>
    <row r="19" spans="1:33" ht="18" customHeight="1">
      <c r="A19" s="334"/>
      <c r="B19" s="645"/>
      <c r="C19" s="645"/>
      <c r="D19" s="648"/>
      <c r="E19" s="645"/>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row>
    <row r="20" spans="1:33" ht="18" customHeight="1">
      <c r="A20" s="334"/>
      <c r="B20" s="645"/>
      <c r="C20" s="649" t="s">
        <v>165</v>
      </c>
      <c r="D20" s="422"/>
      <c r="E20" s="227"/>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row>
    <row r="21" spans="1:33" ht="18" customHeight="1">
      <c r="A21" s="334"/>
      <c r="B21" s="645"/>
      <c r="C21" s="227" t="s">
        <v>166</v>
      </c>
      <c r="D21" s="646" t="s">
        <v>39</v>
      </c>
      <c r="E21" s="658" t="s">
        <v>175</v>
      </c>
      <c r="F21" s="402"/>
      <c r="G21" s="402"/>
      <c r="H21" s="402"/>
      <c r="I21" s="402"/>
      <c r="J21" s="660">
        <v>1</v>
      </c>
      <c r="K21" s="660">
        <v>1</v>
      </c>
      <c r="L21" s="660">
        <v>2</v>
      </c>
      <c r="M21" s="660">
        <v>2</v>
      </c>
      <c r="N21" s="660">
        <v>2</v>
      </c>
      <c r="O21" s="660">
        <v>3</v>
      </c>
      <c r="P21" s="660">
        <v>3</v>
      </c>
      <c r="Q21" s="660">
        <v>3</v>
      </c>
      <c r="R21" s="660">
        <v>4</v>
      </c>
      <c r="S21" s="660">
        <v>4</v>
      </c>
      <c r="T21" s="660">
        <v>4</v>
      </c>
      <c r="U21" s="660">
        <v>1</v>
      </c>
      <c r="V21" s="660">
        <v>1</v>
      </c>
      <c r="W21" s="660">
        <v>1</v>
      </c>
      <c r="X21" s="660">
        <v>2</v>
      </c>
      <c r="Y21" s="660">
        <v>2</v>
      </c>
      <c r="Z21" s="660">
        <v>2</v>
      </c>
      <c r="AA21" s="660">
        <v>3</v>
      </c>
      <c r="AB21" s="660">
        <v>3</v>
      </c>
      <c r="AC21" s="660">
        <v>3</v>
      </c>
      <c r="AD21" s="660">
        <v>4</v>
      </c>
      <c r="AE21" s="660">
        <v>4</v>
      </c>
      <c r="AF21" s="660">
        <v>4</v>
      </c>
      <c r="AG21" s="660">
        <v>1</v>
      </c>
    </row>
    <row r="22" spans="1:33" ht="18" customHeight="1">
      <c r="A22" s="334"/>
      <c r="B22" s="645"/>
      <c r="C22" s="227" t="s">
        <v>167</v>
      </c>
      <c r="D22" s="646" t="s">
        <v>39</v>
      </c>
      <c r="E22" s="658" t="s">
        <v>174</v>
      </c>
      <c r="F22" s="402"/>
      <c r="G22" s="402"/>
      <c r="H22" s="402"/>
      <c r="I22" s="402"/>
      <c r="J22" s="659">
        <v>1</v>
      </c>
      <c r="K22" s="659">
        <v>1</v>
      </c>
      <c r="L22" s="659">
        <v>1</v>
      </c>
      <c r="M22" s="659">
        <v>1</v>
      </c>
      <c r="N22" s="659">
        <v>1</v>
      </c>
      <c r="O22" s="659">
        <v>2</v>
      </c>
      <c r="P22" s="659">
        <v>2</v>
      </c>
      <c r="Q22" s="659">
        <v>2</v>
      </c>
      <c r="R22" s="659">
        <v>2</v>
      </c>
      <c r="S22" s="659">
        <v>2</v>
      </c>
      <c r="T22" s="659">
        <v>2</v>
      </c>
      <c r="U22" s="659">
        <v>1</v>
      </c>
      <c r="V22" s="659">
        <v>1</v>
      </c>
      <c r="W22" s="659">
        <v>1</v>
      </c>
      <c r="X22" s="659">
        <v>1</v>
      </c>
      <c r="Y22" s="659">
        <v>1</v>
      </c>
      <c r="Z22" s="659">
        <v>1</v>
      </c>
      <c r="AA22" s="659">
        <v>2</v>
      </c>
      <c r="AB22" s="659">
        <v>2</v>
      </c>
      <c r="AC22" s="659">
        <v>2</v>
      </c>
      <c r="AD22" s="659">
        <v>2</v>
      </c>
      <c r="AE22" s="659">
        <v>2</v>
      </c>
      <c r="AF22" s="659">
        <v>2</v>
      </c>
      <c r="AG22" s="659">
        <v>1</v>
      </c>
    </row>
    <row r="23" spans="1:33" ht="18" customHeight="1">
      <c r="A23" s="334"/>
      <c r="B23" s="645"/>
      <c r="C23" s="645"/>
      <c r="D23" s="645"/>
      <c r="E23" s="645"/>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row>
    <row r="24" spans="1:33" ht="18" customHeight="1">
      <c r="A24" s="334"/>
      <c r="B24" s="645"/>
      <c r="C24" s="649" t="s">
        <v>168</v>
      </c>
      <c r="D24" s="650"/>
      <c r="E24" s="227"/>
      <c r="F24" s="402"/>
      <c r="G24" s="402"/>
      <c r="H24" s="402"/>
      <c r="I24" s="402"/>
      <c r="J24" s="656">
        <v>1</v>
      </c>
      <c r="K24" s="656">
        <v>2</v>
      </c>
      <c r="L24" s="656">
        <v>3</v>
      </c>
      <c r="M24" s="656">
        <v>4</v>
      </c>
      <c r="N24" s="656">
        <v>5</v>
      </c>
      <c r="O24" s="656">
        <v>6</v>
      </c>
      <c r="P24" s="656">
        <v>7</v>
      </c>
      <c r="Q24" s="656">
        <v>8</v>
      </c>
      <c r="R24" s="656">
        <v>9</v>
      </c>
      <c r="S24" s="656">
        <v>10</v>
      </c>
      <c r="T24" s="656">
        <v>11</v>
      </c>
      <c r="U24" s="656">
        <v>12</v>
      </c>
      <c r="V24" s="313"/>
      <c r="W24" s="313"/>
      <c r="X24" s="313"/>
      <c r="Y24" s="313"/>
      <c r="Z24" s="313"/>
      <c r="AA24" s="313"/>
      <c r="AB24" s="313"/>
      <c r="AC24" s="313"/>
      <c r="AD24" s="313"/>
      <c r="AE24" s="313"/>
      <c r="AF24" s="313"/>
      <c r="AG24" s="313"/>
    </row>
    <row r="25" spans="1:33" ht="18" customHeight="1">
      <c r="A25" s="334"/>
      <c r="B25" s="645"/>
      <c r="C25" s="645"/>
      <c r="D25" s="645"/>
      <c r="E25" s="645"/>
      <c r="F25" s="313"/>
      <c r="G25" s="313"/>
      <c r="H25" s="313"/>
      <c r="I25" s="313"/>
      <c r="J25" s="654">
        <v>12</v>
      </c>
      <c r="K25" s="654">
        <v>1</v>
      </c>
      <c r="L25" s="654">
        <v>2</v>
      </c>
      <c r="M25" s="655">
        <v>3</v>
      </c>
      <c r="N25" s="655">
        <v>4</v>
      </c>
      <c r="O25" s="655">
        <v>5</v>
      </c>
      <c r="P25" s="654">
        <v>6</v>
      </c>
      <c r="Q25" s="654">
        <v>7</v>
      </c>
      <c r="R25" s="654">
        <v>8</v>
      </c>
      <c r="S25" s="655">
        <v>9</v>
      </c>
      <c r="T25" s="655">
        <v>10</v>
      </c>
      <c r="U25" s="655">
        <v>11</v>
      </c>
      <c r="V25" s="313"/>
      <c r="W25" s="313"/>
      <c r="X25" s="313"/>
      <c r="Y25" s="313"/>
      <c r="Z25" s="313"/>
      <c r="AA25" s="313"/>
      <c r="AB25" s="313"/>
      <c r="AC25" s="313"/>
      <c r="AD25" s="313"/>
      <c r="AE25" s="313"/>
      <c r="AF25" s="313"/>
      <c r="AG25" s="313"/>
    </row>
    <row r="26" spans="1:33" ht="18" customHeight="1">
      <c r="A26" s="334"/>
      <c r="B26" s="645"/>
      <c r="C26" s="645"/>
      <c r="D26" s="645"/>
      <c r="E26" s="645"/>
      <c r="F26" s="313"/>
      <c r="G26" s="313"/>
      <c r="H26" s="313"/>
      <c r="I26" s="313"/>
      <c r="J26" s="661">
        <v>1</v>
      </c>
      <c r="K26" s="661">
        <v>1</v>
      </c>
      <c r="L26" s="661">
        <v>1</v>
      </c>
      <c r="M26" s="662">
        <v>2</v>
      </c>
      <c r="N26" s="662">
        <v>2</v>
      </c>
      <c r="O26" s="662">
        <v>2</v>
      </c>
      <c r="P26" s="661">
        <v>3</v>
      </c>
      <c r="Q26" s="661">
        <v>3</v>
      </c>
      <c r="R26" s="661">
        <v>3</v>
      </c>
      <c r="S26" s="662">
        <v>4</v>
      </c>
      <c r="T26" s="662">
        <v>4</v>
      </c>
      <c r="U26" s="662">
        <v>4</v>
      </c>
      <c r="V26" s="313"/>
      <c r="W26" s="313"/>
      <c r="X26" s="313"/>
      <c r="Y26" s="313"/>
      <c r="Z26" s="313"/>
      <c r="AA26" s="313"/>
      <c r="AB26" s="313"/>
      <c r="AC26" s="313"/>
      <c r="AD26" s="313"/>
      <c r="AE26" s="313"/>
      <c r="AF26" s="313"/>
      <c r="AG26" s="313"/>
    </row>
    <row r="27" spans="1:33" ht="18" customHeight="1">
      <c r="A27" s="334"/>
      <c r="B27" s="645"/>
      <c r="C27" s="645"/>
      <c r="D27" s="645"/>
      <c r="E27" s="645"/>
      <c r="F27" s="313"/>
      <c r="G27" s="313"/>
      <c r="H27" s="313"/>
      <c r="I27" s="313"/>
      <c r="J27" s="657">
        <v>1</v>
      </c>
      <c r="K27" s="657">
        <v>2</v>
      </c>
      <c r="L27" s="657">
        <v>3</v>
      </c>
      <c r="M27" s="657">
        <v>4</v>
      </c>
      <c r="N27" s="657">
        <v>5</v>
      </c>
      <c r="O27" s="657">
        <v>6</v>
      </c>
      <c r="P27" s="657">
        <v>7</v>
      </c>
      <c r="Q27" s="657">
        <v>8</v>
      </c>
      <c r="R27" s="657">
        <v>9</v>
      </c>
      <c r="S27" s="657">
        <v>10</v>
      </c>
      <c r="T27" s="657">
        <v>11</v>
      </c>
      <c r="U27" s="657">
        <v>12</v>
      </c>
      <c r="V27" s="313"/>
      <c r="W27" s="313"/>
      <c r="X27" s="313"/>
      <c r="Y27" s="313"/>
      <c r="Z27" s="313"/>
      <c r="AA27" s="313"/>
      <c r="AB27" s="313"/>
      <c r="AC27" s="313"/>
      <c r="AD27" s="313"/>
      <c r="AE27" s="313"/>
      <c r="AF27" s="313"/>
      <c r="AG27" s="313"/>
    </row>
    <row r="28" spans="1:33" ht="18" customHeight="1">
      <c r="A28" s="334"/>
      <c r="B28" s="645"/>
      <c r="C28" s="649" t="s">
        <v>169</v>
      </c>
      <c r="D28" s="651"/>
      <c r="E28" s="227"/>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row>
    <row r="29" spans="1:33" ht="18" customHeight="1">
      <c r="A29" s="334"/>
      <c r="B29" s="645"/>
      <c r="C29" s="227" t="s">
        <v>170</v>
      </c>
      <c r="D29" s="646" t="s">
        <v>39</v>
      </c>
      <c r="E29" s="227"/>
      <c r="F29" s="402"/>
      <c r="G29" s="402"/>
      <c r="H29" s="402"/>
      <c r="I29" s="402"/>
      <c r="J29" s="660">
        <v>1</v>
      </c>
      <c r="K29" s="660">
        <v>2</v>
      </c>
      <c r="L29" s="660">
        <v>2</v>
      </c>
      <c r="M29" s="660">
        <v>2</v>
      </c>
      <c r="N29" s="660">
        <v>3</v>
      </c>
      <c r="O29" s="660">
        <v>3</v>
      </c>
      <c r="P29" s="660">
        <v>3</v>
      </c>
      <c r="Q29" s="660">
        <v>4</v>
      </c>
      <c r="R29" s="660">
        <v>4</v>
      </c>
      <c r="S29" s="660">
        <v>4</v>
      </c>
      <c r="T29" s="660">
        <v>1</v>
      </c>
      <c r="U29" s="660">
        <v>1</v>
      </c>
      <c r="V29" s="660">
        <v>1</v>
      </c>
      <c r="W29" s="660">
        <v>2</v>
      </c>
      <c r="X29" s="660">
        <v>2</v>
      </c>
      <c r="Y29" s="660">
        <v>2</v>
      </c>
      <c r="Z29" s="660">
        <v>3</v>
      </c>
      <c r="AA29" s="660">
        <v>3</v>
      </c>
      <c r="AB29" s="660">
        <v>3</v>
      </c>
      <c r="AC29" s="660">
        <v>4</v>
      </c>
      <c r="AD29" s="660">
        <v>4</v>
      </c>
      <c r="AE29" s="660">
        <v>4</v>
      </c>
      <c r="AF29" s="660">
        <v>1</v>
      </c>
      <c r="AG29" s="660">
        <v>1</v>
      </c>
    </row>
    <row r="30" spans="1:33" ht="18" customHeight="1">
      <c r="A30" s="334"/>
      <c r="B30" s="645"/>
      <c r="C30" s="645"/>
      <c r="D30" s="645"/>
      <c r="E30" s="645"/>
      <c r="F30" s="313"/>
      <c r="G30" s="313"/>
      <c r="H30" s="313"/>
      <c r="I30" s="313"/>
      <c r="J30" s="406"/>
      <c r="K30" s="406"/>
      <c r="L30" s="406"/>
      <c r="M30" s="406"/>
      <c r="N30" s="406"/>
      <c r="O30" s="313"/>
      <c r="P30" s="313"/>
      <c r="Q30" s="313"/>
      <c r="R30" s="313"/>
      <c r="S30" s="313"/>
      <c r="T30" s="313"/>
      <c r="U30" s="313"/>
      <c r="V30" s="313"/>
      <c r="W30" s="313"/>
      <c r="X30" s="313"/>
      <c r="Y30" s="313"/>
      <c r="Z30" s="313"/>
      <c r="AA30" s="313"/>
      <c r="AB30" s="313"/>
      <c r="AC30" s="313"/>
      <c r="AD30" s="313"/>
      <c r="AE30" s="313"/>
      <c r="AF30" s="313"/>
      <c r="AG30" s="313"/>
    </row>
    <row r="31" spans="1:33" ht="18" customHeight="1">
      <c r="A31" s="313"/>
      <c r="B31" s="645"/>
      <c r="C31" s="227" t="s">
        <v>934</v>
      </c>
      <c r="I31" s="1005" t="s">
        <v>17</v>
      </c>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row>
    <row r="32" spans="1:33">
      <c r="A32" s="313"/>
      <c r="B32" s="313"/>
      <c r="C32" s="227" t="s">
        <v>935</v>
      </c>
      <c r="I32" s="1006">
        <v>2018</v>
      </c>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row>
    <row r="33" spans="1:33">
      <c r="A33" s="334"/>
      <c r="B33" s="334"/>
      <c r="C33" s="334"/>
      <c r="D33" s="334"/>
      <c r="E33" s="334"/>
      <c r="F33" s="334"/>
      <c r="G33" s="334"/>
      <c r="H33" s="334"/>
      <c r="I33" s="1093" t="s">
        <v>1038</v>
      </c>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row>
    <row r="34" spans="1:33">
      <c r="A34" s="334"/>
      <c r="B34" s="334"/>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row>
    <row r="35" spans="1:33">
      <c r="A35" s="334"/>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row>
    <row r="36" spans="1:33">
      <c r="A36" s="334"/>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row>
    <row r="37" spans="1:33" hidden="1">
      <c r="A37" s="334"/>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row>
    <row r="38" spans="1:33" hidden="1">
      <c r="A38" s="334"/>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row>
    <row r="39" spans="1:33" hidden="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row>
    <row r="40" spans="1:33" hidden="1">
      <c r="A40" s="334"/>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row>
  </sheetData>
  <sheetProtection password="F66A" sheet="1"/>
  <conditionalFormatting sqref="K6:L6 R6:AG6">
    <cfRule type="cellIs" dxfId="19" priority="67" stopIfTrue="1" operator="equal">
      <formula>1</formula>
    </cfRule>
  </conditionalFormatting>
  <conditionalFormatting sqref="J4 K4:AG5">
    <cfRule type="expression" dxfId="18" priority="61" stopIfTrue="1">
      <formula>J$6=1</formula>
    </cfRule>
  </conditionalFormatting>
  <conditionalFormatting sqref="M6:Q6">
    <cfRule type="cellIs" dxfId="17" priority="59" stopIfTrue="1" operator="equal">
      <formula>1</formula>
    </cfRule>
  </conditionalFormatting>
  <conditionalFormatting sqref="J5">
    <cfRule type="expression" dxfId="16" priority="51" stopIfTrue="1">
      <formula>J$6=1</formula>
    </cfRule>
  </conditionalFormatting>
  <conditionalFormatting sqref="J21:AG21 R29:AG29">
    <cfRule type="expression" dxfId="15" priority="47">
      <formula>MOD(J21,2)=0</formula>
    </cfRule>
  </conditionalFormatting>
  <conditionalFormatting sqref="J22:AG22">
    <cfRule type="expression" dxfId="14" priority="46">
      <formula>MOD(J22,2)=0</formula>
    </cfRule>
  </conditionalFormatting>
  <conditionalFormatting sqref="J6:AG6">
    <cfRule type="cellIs" dxfId="13" priority="15" stopIfTrue="1" operator="equal">
      <formula>1</formula>
    </cfRule>
  </conditionalFormatting>
  <conditionalFormatting sqref="D3">
    <cfRule type="cellIs" dxfId="12" priority="3" operator="notEqual">
      <formula>0</formula>
    </cfRule>
  </conditionalFormatting>
  <conditionalFormatting sqref="J29:Q29">
    <cfRule type="expression" dxfId="11" priority="2">
      <formula>MOD(J29,2)=0</formula>
    </cfRule>
  </conditionalFormatting>
  <hyperlinks>
    <hyperlink ref="E3" location="Fehlerkontrolle" display="Go to error checks"/>
    <hyperlink ref="E2" location="Index!A1" display="Go to table of contents"/>
  </hyperlinks>
  <pageMargins left="0.70866141732283472" right="0.70866141732283472" top="0.78740157480314965" bottom="0.78740157480314965"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rmate">
    <tabColor theme="1"/>
    <pageSetUpPr autoPageBreaks="0"/>
  </sheetPr>
  <dimension ref="A1:S96"/>
  <sheetViews>
    <sheetView showGridLines="0" zoomScaleNormal="100" zoomScaleSheetLayoutView="85" workbookViewId="0"/>
  </sheetViews>
  <sheetFormatPr baseColWidth="10" defaultColWidth="0" defaultRowHeight="12.75"/>
  <cols>
    <col min="1" max="1" width="4.7109375" style="88" customWidth="1"/>
    <col min="2" max="2" width="32.28515625" style="88" customWidth="1"/>
    <col min="3" max="3" width="11.42578125" style="88" customWidth="1"/>
    <col min="4" max="4" width="21.5703125" style="88" customWidth="1"/>
    <col min="5" max="5" width="15.85546875" style="88" customWidth="1"/>
    <col min="6" max="6" width="12.7109375" style="88" customWidth="1"/>
    <col min="7" max="9" width="11.42578125" style="88" customWidth="1"/>
    <col min="10" max="10" width="31.5703125" style="88" customWidth="1"/>
    <col min="11" max="11" width="11.42578125" style="88" customWidth="1"/>
    <col min="12" max="12" width="13.28515625" style="88" customWidth="1"/>
    <col min="13" max="19" width="0" style="88" hidden="1" customWidth="1"/>
    <col min="20" max="16384" width="11.42578125" style="88" hidden="1"/>
  </cols>
  <sheetData>
    <row r="1" spans="1:12" ht="20.25">
      <c r="A1" s="41"/>
      <c r="B1" s="41" t="s">
        <v>677</v>
      </c>
      <c r="C1" s="41"/>
      <c r="D1" s="41"/>
      <c r="E1" s="41"/>
      <c r="F1" s="41"/>
      <c r="G1" s="41"/>
      <c r="H1" s="41"/>
      <c r="I1" s="41"/>
      <c r="J1" s="41"/>
      <c r="K1" s="41"/>
      <c r="L1" s="41"/>
    </row>
    <row r="2" spans="1:12">
      <c r="G2" s="234"/>
    </row>
    <row r="3" spans="1:12" ht="24" thickBot="1">
      <c r="A3" s="38"/>
      <c r="B3" s="38" t="s">
        <v>678</v>
      </c>
      <c r="C3" s="1"/>
      <c r="D3" s="38"/>
      <c r="E3" s="38"/>
      <c r="F3" s="38"/>
      <c r="G3" s="38"/>
      <c r="H3" s="1"/>
      <c r="I3" s="1"/>
      <c r="J3" s="1"/>
      <c r="K3" s="1"/>
      <c r="L3" s="1"/>
    </row>
    <row r="4" spans="1:12" ht="18" customHeight="1">
      <c r="A4" s="800"/>
      <c r="B4" s="88" t="s">
        <v>63</v>
      </c>
      <c r="D4" s="11" t="s">
        <v>63</v>
      </c>
    </row>
    <row r="5" spans="1:12" ht="18" customHeight="1">
      <c r="A5" s="800"/>
    </row>
    <row r="6" spans="1:12" ht="18" customHeight="1">
      <c r="A6" s="800"/>
      <c r="B6" s="88" t="s">
        <v>54</v>
      </c>
      <c r="D6" s="46">
        <v>100</v>
      </c>
    </row>
    <row r="7" spans="1:12" s="199" customFormat="1" ht="18" customHeight="1">
      <c r="A7" s="800"/>
      <c r="B7" s="199" t="s">
        <v>61</v>
      </c>
      <c r="D7" s="46">
        <v>100</v>
      </c>
      <c r="E7" s="199" t="s">
        <v>666</v>
      </c>
    </row>
    <row r="8" spans="1:12" ht="18" customHeight="1">
      <c r="A8" s="800"/>
      <c r="B8" s="88" t="s">
        <v>60</v>
      </c>
      <c r="D8" s="15">
        <v>100</v>
      </c>
    </row>
    <row r="9" spans="1:12" ht="18" customHeight="1">
      <c r="A9" s="800"/>
      <c r="B9" s="88" t="s">
        <v>59</v>
      </c>
      <c r="D9" s="17">
        <v>100</v>
      </c>
    </row>
    <row r="10" spans="1:12" ht="18" customHeight="1">
      <c r="A10" s="800"/>
      <c r="B10" s="88" t="s">
        <v>58</v>
      </c>
      <c r="D10" s="18" t="s">
        <v>2</v>
      </c>
      <c r="G10" s="199"/>
      <c r="H10" s="47"/>
    </row>
    <row r="11" spans="1:12" ht="18" customHeight="1">
      <c r="A11" s="800"/>
      <c r="B11" s="88" t="s">
        <v>57</v>
      </c>
      <c r="D11" s="19">
        <v>100</v>
      </c>
    </row>
    <row r="12" spans="1:12" s="117" customFormat="1" ht="18" customHeight="1">
      <c r="A12" s="800"/>
      <c r="B12" s="117" t="s">
        <v>98</v>
      </c>
      <c r="D12" s="622">
        <v>100</v>
      </c>
    </row>
    <row r="13" spans="1:12" ht="18" customHeight="1">
      <c r="A13" s="800"/>
      <c r="B13" s="88" t="s">
        <v>56</v>
      </c>
      <c r="D13" s="21"/>
    </row>
    <row r="14" spans="1:12" ht="18" customHeight="1">
      <c r="A14" s="800"/>
      <c r="B14" s="88" t="s">
        <v>55</v>
      </c>
      <c r="D14" s="89">
        <v>100</v>
      </c>
    </row>
    <row r="15" spans="1:12" ht="18" customHeight="1">
      <c r="A15" s="800"/>
      <c r="B15" s="88" t="s">
        <v>32</v>
      </c>
      <c r="D15" s="22">
        <v>1</v>
      </c>
    </row>
    <row r="16" spans="1:12" ht="18" customHeight="1">
      <c r="A16" s="800"/>
      <c r="D16" s="29">
        <v>1</v>
      </c>
      <c r="E16" s="88" t="s">
        <v>62</v>
      </c>
    </row>
    <row r="17" spans="1:12" ht="18" customHeight="1">
      <c r="A17" s="800"/>
      <c r="D17" s="30">
        <v>1</v>
      </c>
      <c r="E17" s="199" t="s">
        <v>62</v>
      </c>
    </row>
    <row r="18" spans="1:12" ht="18" customHeight="1">
      <c r="A18" s="800"/>
      <c r="D18" s="30">
        <v>1</v>
      </c>
      <c r="E18" s="199" t="s">
        <v>62</v>
      </c>
    </row>
    <row r="19" spans="1:12" ht="18" customHeight="1">
      <c r="A19" s="800"/>
      <c r="D19" s="22">
        <v>1</v>
      </c>
      <c r="E19" s="199" t="s">
        <v>62</v>
      </c>
    </row>
    <row r="20" spans="1:12" ht="18" customHeight="1">
      <c r="A20" s="800"/>
    </row>
    <row r="21" spans="1:12" ht="24" thickBot="1">
      <c r="A21" s="38"/>
      <c r="B21" s="38" t="s">
        <v>676</v>
      </c>
      <c r="C21" s="1"/>
      <c r="D21" s="38"/>
      <c r="E21" s="38"/>
      <c r="F21" s="38"/>
      <c r="G21" s="38"/>
      <c r="H21" s="1"/>
      <c r="I21" s="1"/>
      <c r="J21" s="1"/>
      <c r="K21" s="1"/>
      <c r="L21" s="1"/>
    </row>
    <row r="22" spans="1:12" ht="18" customHeight="1">
      <c r="A22" s="800"/>
      <c r="B22" s="88" t="s">
        <v>15</v>
      </c>
      <c r="D22" s="34" t="s">
        <v>15</v>
      </c>
    </row>
    <row r="23" spans="1:12" ht="18" customHeight="1">
      <c r="A23" s="800"/>
      <c r="D23" s="33"/>
      <c r="E23" s="33"/>
      <c r="F23" s="33"/>
    </row>
    <row r="24" spans="1:12" ht="18" customHeight="1">
      <c r="A24" s="800"/>
      <c r="B24" s="88" t="s">
        <v>64</v>
      </c>
      <c r="D24" s="626">
        <v>1</v>
      </c>
      <c r="E24" s="199" t="s">
        <v>664</v>
      </c>
      <c r="K24" s="632"/>
    </row>
    <row r="25" spans="1:12" s="115" customFormat="1" ht="18" customHeight="1">
      <c r="A25" s="800"/>
      <c r="B25" s="115" t="s">
        <v>65</v>
      </c>
      <c r="D25" s="627">
        <v>1</v>
      </c>
      <c r="E25" s="878" t="s">
        <v>664</v>
      </c>
    </row>
    <row r="26" spans="1:12" ht="18" customHeight="1">
      <c r="A26" s="800"/>
      <c r="B26" s="88" t="s">
        <v>66</v>
      </c>
      <c r="D26" s="628">
        <v>1</v>
      </c>
      <c r="E26" s="878" t="s">
        <v>664</v>
      </c>
    </row>
    <row r="27" spans="1:12" ht="18" customHeight="1">
      <c r="A27" s="800"/>
      <c r="B27" s="557" t="s">
        <v>67</v>
      </c>
      <c r="C27" s="557"/>
      <c r="D27" s="623">
        <v>1</v>
      </c>
      <c r="E27" s="615" t="s">
        <v>28</v>
      </c>
      <c r="F27" s="88" t="s">
        <v>665</v>
      </c>
      <c r="J27" s="878"/>
    </row>
    <row r="28" spans="1:12" ht="18" customHeight="1">
      <c r="A28" s="800"/>
      <c r="B28" s="88" t="s">
        <v>68</v>
      </c>
      <c r="D28" s="624">
        <v>1</v>
      </c>
      <c r="E28" s="199" t="s">
        <v>62</v>
      </c>
    </row>
    <row r="29" spans="1:12" ht="18" customHeight="1">
      <c r="A29" s="800"/>
    </row>
    <row r="30" spans="1:12" ht="18" customHeight="1">
      <c r="A30" s="800"/>
      <c r="B30" s="88" t="s">
        <v>69</v>
      </c>
      <c r="D30" s="23" t="s">
        <v>70</v>
      </c>
    </row>
    <row r="31" spans="1:12" ht="18" customHeight="1">
      <c r="A31" s="800"/>
      <c r="B31" s="199" t="s">
        <v>74</v>
      </c>
      <c r="D31" s="44" t="s">
        <v>71</v>
      </c>
    </row>
    <row r="32" spans="1:12" ht="18" customHeight="1">
      <c r="A32" s="800"/>
      <c r="B32" s="199" t="s">
        <v>75</v>
      </c>
      <c r="D32" s="45" t="s">
        <v>72</v>
      </c>
    </row>
    <row r="33" spans="1:12" ht="18" customHeight="1">
      <c r="A33" s="800"/>
      <c r="B33" s="88" t="s">
        <v>73</v>
      </c>
      <c r="D33" s="35" t="s">
        <v>73</v>
      </c>
    </row>
    <row r="34" spans="1:12" ht="18" customHeight="1">
      <c r="A34" s="800"/>
    </row>
    <row r="35" spans="1:12" ht="18" customHeight="1">
      <c r="A35" s="800"/>
      <c r="B35" s="88" t="s">
        <v>77</v>
      </c>
      <c r="D35" s="16">
        <v>1</v>
      </c>
    </row>
    <row r="36" spans="1:12" ht="18" customHeight="1">
      <c r="A36" s="800"/>
      <c r="B36" s="88" t="s">
        <v>146</v>
      </c>
      <c r="D36" s="896">
        <v>43831</v>
      </c>
      <c r="F36" s="88" t="s">
        <v>82</v>
      </c>
    </row>
    <row r="37" spans="1:12" s="632" customFormat="1" ht="18" customHeight="1">
      <c r="A37" s="800"/>
      <c r="B37" s="632" t="s">
        <v>147</v>
      </c>
      <c r="D37" s="636">
        <v>43831</v>
      </c>
      <c r="F37" s="632" t="s">
        <v>82</v>
      </c>
    </row>
    <row r="38" spans="1:12" ht="18" customHeight="1">
      <c r="A38" s="800"/>
      <c r="D38" s="16"/>
    </row>
    <row r="39" spans="1:12" ht="18" customHeight="1">
      <c r="A39" s="800"/>
      <c r="D39" s="90" t="s">
        <v>78</v>
      </c>
      <c r="E39" s="11" t="s">
        <v>667</v>
      </c>
      <c r="F39" s="11" t="s">
        <v>79</v>
      </c>
    </row>
    <row r="40" spans="1:12" ht="18" customHeight="1">
      <c r="A40" s="800"/>
      <c r="B40" s="88" t="s">
        <v>80</v>
      </c>
      <c r="D40" s="79">
        <v>1500</v>
      </c>
      <c r="E40" s="79">
        <v>0</v>
      </c>
      <c r="F40" s="79">
        <v>-1500</v>
      </c>
      <c r="H40" s="199" t="s">
        <v>82</v>
      </c>
    </row>
    <row r="41" spans="1:12" ht="18" customHeight="1">
      <c r="A41" s="800"/>
      <c r="B41" s="88" t="s">
        <v>81</v>
      </c>
      <c r="D41" s="81">
        <v>0.25</v>
      </c>
      <c r="E41" s="81">
        <v>0</v>
      </c>
      <c r="F41" s="81">
        <v>-0.25</v>
      </c>
      <c r="H41" s="199" t="s">
        <v>82</v>
      </c>
    </row>
    <row r="42" spans="1:12" ht="18" customHeight="1">
      <c r="D42" s="4"/>
    </row>
    <row r="43" spans="1:12" ht="24" thickBot="1">
      <c r="A43" s="38"/>
      <c r="B43" s="38" t="s">
        <v>674</v>
      </c>
      <c r="C43" s="1"/>
      <c r="D43" s="38"/>
      <c r="E43" s="38"/>
      <c r="F43" s="38"/>
      <c r="G43" s="38"/>
      <c r="H43" s="1"/>
      <c r="I43" s="1"/>
      <c r="J43" s="1"/>
      <c r="K43" s="1"/>
      <c r="L43" s="1"/>
    </row>
    <row r="44" spans="1:12" ht="20.25">
      <c r="B44" s="2" t="s">
        <v>93</v>
      </c>
      <c r="H44" s="2" t="s">
        <v>92</v>
      </c>
    </row>
    <row r="45" spans="1:12" ht="20.25">
      <c r="B45" s="2"/>
      <c r="H45" s="2"/>
    </row>
    <row r="46" spans="1:12" ht="20.25">
      <c r="A46" s="800"/>
      <c r="B46" s="88" t="s">
        <v>83</v>
      </c>
      <c r="D46" s="8" t="s">
        <v>3</v>
      </c>
      <c r="G46" s="800"/>
      <c r="H46" s="88" t="s">
        <v>89</v>
      </c>
      <c r="J46" s="41" t="s">
        <v>89</v>
      </c>
    </row>
    <row r="47" spans="1:12" ht="18">
      <c r="A47" s="800"/>
      <c r="B47" s="3"/>
      <c r="G47" s="800"/>
      <c r="H47" s="199" t="s">
        <v>90</v>
      </c>
      <c r="J47" s="42" t="s">
        <v>90</v>
      </c>
    </row>
    <row r="48" spans="1:12" ht="15">
      <c r="A48" s="800"/>
      <c r="B48" s="88" t="s">
        <v>84</v>
      </c>
      <c r="D48" s="7">
        <v>100</v>
      </c>
      <c r="G48" s="800"/>
      <c r="H48" s="199" t="s">
        <v>91</v>
      </c>
      <c r="J48" s="43" t="s">
        <v>91</v>
      </c>
    </row>
    <row r="49" spans="1:12">
      <c r="A49" s="800"/>
      <c r="G49" s="800"/>
    </row>
    <row r="50" spans="1:12">
      <c r="A50" s="800"/>
      <c r="B50" s="88" t="s">
        <v>88</v>
      </c>
      <c r="D50" s="10">
        <v>100</v>
      </c>
      <c r="G50" s="800"/>
    </row>
    <row r="51" spans="1:12">
      <c r="A51" s="800"/>
      <c r="G51" s="800"/>
    </row>
    <row r="52" spans="1:12" ht="20.25">
      <c r="A52" s="800"/>
      <c r="B52" s="88" t="s">
        <v>87</v>
      </c>
      <c r="D52" s="12">
        <v>100</v>
      </c>
      <c r="G52" s="800"/>
      <c r="H52" s="2" t="s">
        <v>675</v>
      </c>
    </row>
    <row r="53" spans="1:12">
      <c r="A53" s="800"/>
      <c r="G53" s="800"/>
    </row>
    <row r="54" spans="1:12" ht="24" thickBot="1">
      <c r="A54" s="800"/>
      <c r="B54" s="88" t="s">
        <v>86</v>
      </c>
      <c r="D54" s="13">
        <v>100</v>
      </c>
      <c r="G54" s="800"/>
      <c r="H54" s="88" t="s">
        <v>94</v>
      </c>
      <c r="J54" s="1" t="s">
        <v>99</v>
      </c>
    </row>
    <row r="55" spans="1:12">
      <c r="A55" s="800"/>
      <c r="G55" s="800"/>
    </row>
    <row r="56" spans="1:12" ht="21" thickBot="1">
      <c r="A56" s="800"/>
      <c r="B56" s="88" t="s">
        <v>85</v>
      </c>
      <c r="D56" s="14">
        <v>100</v>
      </c>
      <c r="G56" s="800"/>
      <c r="H56" s="199" t="s">
        <v>97</v>
      </c>
      <c r="J56" s="2" t="s">
        <v>100</v>
      </c>
    </row>
    <row r="57" spans="1:12" ht="15.75" thickTop="1">
      <c r="A57" s="800"/>
      <c r="G57" s="800"/>
      <c r="H57" s="199" t="s">
        <v>96</v>
      </c>
      <c r="J57" s="3" t="s">
        <v>101</v>
      </c>
    </row>
    <row r="58" spans="1:12" ht="14.25">
      <c r="G58" s="800"/>
      <c r="H58" s="199" t="s">
        <v>95</v>
      </c>
      <c r="J58" s="9" t="s">
        <v>102</v>
      </c>
    </row>
    <row r="60" spans="1:12" ht="24" thickBot="1">
      <c r="A60" s="38"/>
      <c r="B60" s="38" t="s">
        <v>672</v>
      </c>
      <c r="C60" s="1"/>
      <c r="D60" s="38"/>
      <c r="E60" s="38"/>
      <c r="F60" s="38"/>
      <c r="G60" s="38"/>
      <c r="H60" s="38"/>
      <c r="I60" s="38"/>
      <c r="J60" s="38"/>
      <c r="K60" s="38"/>
      <c r="L60" s="38"/>
    </row>
    <row r="61" spans="1:12" ht="20.25">
      <c r="A61" s="800"/>
      <c r="B61" s="2" t="s">
        <v>103</v>
      </c>
      <c r="E61" s="3" t="s">
        <v>2</v>
      </c>
      <c r="H61" s="2" t="s">
        <v>673</v>
      </c>
      <c r="L61" s="3"/>
    </row>
    <row r="62" spans="1:12" ht="17.25" customHeight="1">
      <c r="A62" s="800"/>
      <c r="B62" s="553" t="s">
        <v>104</v>
      </c>
      <c r="D62" s="6">
        <v>365</v>
      </c>
      <c r="E62" s="88" t="s">
        <v>111</v>
      </c>
      <c r="F62" s="199"/>
      <c r="G62" s="199"/>
      <c r="I62" s="800"/>
      <c r="J62" s="11" t="s">
        <v>188</v>
      </c>
      <c r="K62" s="11" t="s">
        <v>185</v>
      </c>
      <c r="L62" s="3" t="s">
        <v>2</v>
      </c>
    </row>
    <row r="63" spans="1:12" ht="17.25" customHeight="1">
      <c r="A63" s="800"/>
      <c r="B63" s="553" t="s">
        <v>105</v>
      </c>
      <c r="D63" s="6">
        <v>12</v>
      </c>
      <c r="E63" s="88" t="s">
        <v>112</v>
      </c>
      <c r="I63" s="800"/>
      <c r="J63" s="15" t="s">
        <v>16</v>
      </c>
      <c r="K63" s="69">
        <v>1</v>
      </c>
      <c r="L63" s="88" t="s">
        <v>189</v>
      </c>
    </row>
    <row r="64" spans="1:12" ht="17.25" customHeight="1">
      <c r="A64" s="800"/>
      <c r="B64" s="553" t="s">
        <v>106</v>
      </c>
      <c r="D64" s="6">
        <v>4</v>
      </c>
      <c r="E64" s="88" t="s">
        <v>113</v>
      </c>
      <c r="G64" s="199"/>
      <c r="I64" s="800"/>
      <c r="J64" s="15" t="s">
        <v>17</v>
      </c>
      <c r="K64" s="69">
        <v>2</v>
      </c>
    </row>
    <row r="65" spans="1:12" ht="17.25" customHeight="1">
      <c r="A65" s="800"/>
      <c r="B65" s="553" t="s">
        <v>107</v>
      </c>
      <c r="D65" s="6">
        <v>3</v>
      </c>
      <c r="E65" s="88" t="s">
        <v>114</v>
      </c>
      <c r="G65" s="199"/>
      <c r="I65" s="800"/>
      <c r="J65" s="15" t="s">
        <v>190</v>
      </c>
      <c r="K65" s="69">
        <v>3</v>
      </c>
    </row>
    <row r="66" spans="1:12" ht="17.25" customHeight="1">
      <c r="A66" s="800"/>
      <c r="D66" s="4"/>
      <c r="G66" s="199"/>
      <c r="I66" s="800"/>
      <c r="J66" s="15" t="s">
        <v>18</v>
      </c>
      <c r="K66" s="69">
        <v>4</v>
      </c>
    </row>
    <row r="67" spans="1:12" ht="17.25" customHeight="1">
      <c r="A67" s="800"/>
      <c r="B67" s="88" t="s">
        <v>942</v>
      </c>
      <c r="D67" s="5">
        <v>1.0000000000000001E-5</v>
      </c>
      <c r="E67" s="88" t="s">
        <v>115</v>
      </c>
      <c r="G67" s="199"/>
      <c r="I67" s="800"/>
      <c r="J67" s="15" t="s">
        <v>191</v>
      </c>
      <c r="K67" s="69">
        <v>5</v>
      </c>
    </row>
    <row r="68" spans="1:12" ht="17.25" customHeight="1">
      <c r="A68" s="800"/>
      <c r="B68" s="553" t="s">
        <v>108</v>
      </c>
      <c r="D68" s="6">
        <v>1000</v>
      </c>
      <c r="E68" s="88" t="s">
        <v>108</v>
      </c>
      <c r="G68" s="199"/>
      <c r="I68" s="800"/>
      <c r="J68" s="15" t="s">
        <v>19</v>
      </c>
      <c r="K68" s="69">
        <v>6</v>
      </c>
    </row>
    <row r="69" spans="1:12" ht="17.25" customHeight="1">
      <c r="A69" s="800"/>
      <c r="B69" s="553" t="s">
        <v>0</v>
      </c>
      <c r="D69" s="6">
        <v>1000000</v>
      </c>
      <c r="E69" s="88" t="s">
        <v>0</v>
      </c>
      <c r="G69" s="199"/>
      <c r="I69" s="800"/>
      <c r="J69" s="15" t="s">
        <v>20</v>
      </c>
      <c r="K69" s="69">
        <v>7</v>
      </c>
    </row>
    <row r="70" spans="1:12" ht="17.25" customHeight="1">
      <c r="A70" s="800"/>
      <c r="B70" s="88" t="s">
        <v>110</v>
      </c>
      <c r="D70" s="6">
        <v>1000000000</v>
      </c>
      <c r="E70" s="88" t="s">
        <v>110</v>
      </c>
      <c r="G70" s="199"/>
      <c r="I70" s="800"/>
      <c r="J70" s="15" t="s">
        <v>21</v>
      </c>
      <c r="K70" s="69">
        <v>8</v>
      </c>
    </row>
    <row r="71" spans="1:12" ht="17.25" customHeight="1">
      <c r="A71" s="800"/>
      <c r="B71" s="553" t="s">
        <v>109</v>
      </c>
      <c r="D71" s="5">
        <v>9.9999999999999995E-8</v>
      </c>
      <c r="E71" s="88" t="s">
        <v>116</v>
      </c>
      <c r="G71" s="199"/>
      <c r="I71" s="800"/>
      <c r="J71" s="15" t="s">
        <v>22</v>
      </c>
      <c r="K71" s="69">
        <v>9</v>
      </c>
    </row>
    <row r="72" spans="1:12" ht="17.25" customHeight="1">
      <c r="A72" s="800"/>
      <c r="G72" s="199"/>
      <c r="I72" s="800"/>
      <c r="J72" s="15" t="s">
        <v>192</v>
      </c>
      <c r="K72" s="69">
        <v>10</v>
      </c>
    </row>
    <row r="73" spans="1:12" ht="17.25" customHeight="1">
      <c r="A73" s="800"/>
      <c r="I73" s="800"/>
      <c r="J73" s="15" t="s">
        <v>23</v>
      </c>
      <c r="K73" s="69">
        <v>11</v>
      </c>
    </row>
    <row r="74" spans="1:12" ht="17.25" customHeight="1">
      <c r="A74" s="878"/>
      <c r="I74" s="800"/>
      <c r="J74" s="15" t="s">
        <v>193</v>
      </c>
      <c r="K74" s="69">
        <v>12</v>
      </c>
    </row>
    <row r="75" spans="1:12" ht="17.25" customHeight="1">
      <c r="A75" s="878"/>
      <c r="B75" s="2" t="s">
        <v>117</v>
      </c>
      <c r="D75" s="4"/>
      <c r="I75" s="800"/>
    </row>
    <row r="76" spans="1:12" ht="17.25" customHeight="1">
      <c r="A76" s="878"/>
      <c r="B76" s="88" t="s">
        <v>723</v>
      </c>
      <c r="C76" s="24"/>
      <c r="D76" s="26" t="s">
        <v>1</v>
      </c>
      <c r="E76" s="88" t="s">
        <v>13</v>
      </c>
      <c r="I76" s="800"/>
      <c r="J76" s="11" t="s">
        <v>186</v>
      </c>
      <c r="K76" s="11" t="s">
        <v>185</v>
      </c>
      <c r="L76" s="3" t="s">
        <v>2</v>
      </c>
    </row>
    <row r="77" spans="1:12" ht="17.25" customHeight="1">
      <c r="A77" s="878"/>
      <c r="B77" s="878" t="s">
        <v>724</v>
      </c>
      <c r="C77" s="24"/>
      <c r="D77" s="26" t="s">
        <v>4</v>
      </c>
      <c r="E77" s="88" t="s">
        <v>14</v>
      </c>
      <c r="I77" s="800"/>
      <c r="J77" s="15" t="s">
        <v>194</v>
      </c>
      <c r="K77" s="69">
        <v>1</v>
      </c>
      <c r="L77" s="88" t="s">
        <v>186</v>
      </c>
    </row>
    <row r="78" spans="1:12" ht="17.25" customHeight="1">
      <c r="A78" s="878"/>
      <c r="B78" s="88" t="s">
        <v>725</v>
      </c>
      <c r="C78" s="25"/>
      <c r="D78" s="27" t="s">
        <v>5</v>
      </c>
      <c r="E78" s="88" t="s">
        <v>9</v>
      </c>
      <c r="I78" s="800"/>
      <c r="J78" s="15" t="s">
        <v>195</v>
      </c>
      <c r="K78" s="69">
        <v>3</v>
      </c>
    </row>
    <row r="79" spans="1:12" ht="17.25" customHeight="1">
      <c r="A79" s="878"/>
      <c r="B79" s="878" t="s">
        <v>726</v>
      </c>
      <c r="C79" s="25"/>
      <c r="D79" s="27" t="s">
        <v>8</v>
      </c>
      <c r="E79" s="88" t="s">
        <v>10</v>
      </c>
      <c r="I79" s="800"/>
      <c r="J79" s="15" t="s">
        <v>196</v>
      </c>
      <c r="K79" s="69">
        <v>6</v>
      </c>
    </row>
    <row r="80" spans="1:12" ht="17.25" customHeight="1">
      <c r="A80" s="878"/>
      <c r="B80" s="88" t="s">
        <v>727</v>
      </c>
      <c r="C80" s="25"/>
      <c r="D80" s="28" t="s">
        <v>7</v>
      </c>
      <c r="E80" s="88" t="s">
        <v>11</v>
      </c>
      <c r="I80" s="800"/>
      <c r="J80" s="15" t="s">
        <v>197</v>
      </c>
      <c r="K80" s="69">
        <v>12</v>
      </c>
    </row>
    <row r="81" spans="1:11" ht="17.25" customHeight="1">
      <c r="A81" s="878"/>
      <c r="B81" s="878" t="s">
        <v>728</v>
      </c>
      <c r="C81" s="25"/>
      <c r="D81" s="28" t="s">
        <v>6</v>
      </c>
      <c r="E81" s="88" t="s">
        <v>12</v>
      </c>
      <c r="I81" s="800"/>
    </row>
    <row r="82" spans="1:11">
      <c r="A82" s="878"/>
      <c r="C82" s="25"/>
      <c r="I82" s="800"/>
    </row>
    <row r="83" spans="1:11">
      <c r="A83" s="878"/>
      <c r="D83" s="32">
        <v>1</v>
      </c>
      <c r="I83" s="800"/>
    </row>
    <row r="84" spans="1:11" ht="20.25">
      <c r="A84" s="878"/>
      <c r="B84" s="88" t="s">
        <v>729</v>
      </c>
      <c r="D84" s="31" t="str">
        <f>IF(D83=1,Pf_unt_ja,Pf_unt_nein)</f>
        <v>▼</v>
      </c>
      <c r="E84" s="878" t="s">
        <v>62</v>
      </c>
      <c r="I84" s="800"/>
      <c r="J84" s="11" t="s">
        <v>184</v>
      </c>
      <c r="K84" s="11" t="s">
        <v>185</v>
      </c>
    </row>
    <row r="85" spans="1:11">
      <c r="A85" s="878"/>
      <c r="I85" s="800"/>
      <c r="J85" s="15" t="s">
        <v>182</v>
      </c>
      <c r="K85" s="69">
        <v>1</v>
      </c>
    </row>
    <row r="86" spans="1:11">
      <c r="I86" s="800"/>
      <c r="J86" s="15" t="s">
        <v>183</v>
      </c>
      <c r="K86" s="69">
        <v>2</v>
      </c>
    </row>
    <row r="87" spans="1:11">
      <c r="B87" s="878"/>
      <c r="C87" s="878"/>
      <c r="D87" s="878"/>
      <c r="E87" s="878"/>
      <c r="F87" s="878"/>
      <c r="I87" s="800"/>
    </row>
    <row r="88" spans="1:11" ht="15">
      <c r="B88" s="11" t="s">
        <v>844</v>
      </c>
      <c r="C88" s="11" t="s">
        <v>185</v>
      </c>
      <c r="D88" s="3" t="s">
        <v>2</v>
      </c>
      <c r="E88" s="878"/>
      <c r="F88" s="878"/>
      <c r="I88" s="800"/>
      <c r="J88" s="11" t="s">
        <v>129</v>
      </c>
    </row>
    <row r="89" spans="1:11">
      <c r="B89" s="15" t="s">
        <v>820</v>
      </c>
      <c r="C89" s="69">
        <v>1</v>
      </c>
      <c r="D89" s="878" t="s">
        <v>845</v>
      </c>
      <c r="E89" s="878"/>
      <c r="F89" s="878"/>
      <c r="I89" s="800"/>
      <c r="J89" s="15" t="s">
        <v>126</v>
      </c>
    </row>
    <row r="90" spans="1:11">
      <c r="B90" s="15" t="s">
        <v>846</v>
      </c>
      <c r="C90" s="69">
        <v>2</v>
      </c>
      <c r="D90" s="878"/>
      <c r="E90" s="878" t="s">
        <v>888</v>
      </c>
      <c r="F90" s="878"/>
      <c r="I90" s="800"/>
      <c r="J90" s="15" t="s">
        <v>128</v>
      </c>
    </row>
    <row r="91" spans="1:11" s="632" customFormat="1">
      <c r="B91" s="878"/>
      <c r="C91" s="878"/>
      <c r="D91" s="878"/>
      <c r="E91" s="878"/>
      <c r="F91" s="878"/>
      <c r="I91" s="800"/>
      <c r="J91" s="15" t="s">
        <v>125</v>
      </c>
    </row>
    <row r="92" spans="1:11" ht="15">
      <c r="B92" s="11" t="s">
        <v>844</v>
      </c>
      <c r="C92" s="11" t="s">
        <v>185</v>
      </c>
      <c r="D92" s="3" t="s">
        <v>2</v>
      </c>
      <c r="I92" s="800"/>
    </row>
    <row r="93" spans="1:11">
      <c r="B93" s="15" t="s">
        <v>823</v>
      </c>
      <c r="C93" s="69">
        <v>1</v>
      </c>
      <c r="D93" s="878" t="s">
        <v>889</v>
      </c>
    </row>
    <row r="94" spans="1:11">
      <c r="B94" s="15" t="s">
        <v>891</v>
      </c>
      <c r="C94" s="69">
        <v>2</v>
      </c>
      <c r="D94" s="878"/>
      <c r="J94" s="199"/>
    </row>
    <row r="95" spans="1:11">
      <c r="B95" s="15" t="s">
        <v>892</v>
      </c>
      <c r="C95" s="69">
        <v>3</v>
      </c>
    </row>
    <row r="96" spans="1:11">
      <c r="B96" s="15" t="s">
        <v>890</v>
      </c>
      <c r="C96" s="69">
        <v>4</v>
      </c>
    </row>
  </sheetData>
  <sheetProtection password="F66A" sheet="1"/>
  <conditionalFormatting sqref="D16">
    <cfRule type="cellIs" dxfId="10" priority="15" stopIfTrue="1" operator="equal">
      <formula>1</formula>
    </cfRule>
  </conditionalFormatting>
  <conditionalFormatting sqref="D17">
    <cfRule type="cellIs" dxfId="9" priority="14" stopIfTrue="1" operator="equal">
      <formula>1</formula>
    </cfRule>
  </conditionalFormatting>
  <conditionalFormatting sqref="D18">
    <cfRule type="cellIs" dxfId="8" priority="13" stopIfTrue="1" operator="equal">
      <formula>1</formula>
    </cfRule>
  </conditionalFormatting>
  <conditionalFormatting sqref="D19:D20">
    <cfRule type="cellIs" dxfId="7" priority="12" stopIfTrue="1" operator="equal">
      <formula>1</formula>
    </cfRule>
  </conditionalFormatting>
  <conditionalFormatting sqref="D24">
    <cfRule type="cellIs" dxfId="6" priority="11" operator="notEqual">
      <formula>0</formula>
    </cfRule>
  </conditionalFormatting>
  <conditionalFormatting sqref="D84">
    <cfRule type="cellIs" dxfId="5" priority="10" stopIfTrue="1" operator="equal">
      <formula>Pf_unt_ja</formula>
    </cfRule>
  </conditionalFormatting>
  <conditionalFormatting sqref="D26">
    <cfRule type="cellIs" dxfId="4" priority="8" stopIfTrue="1" operator="equal">
      <formula>1</formula>
    </cfRule>
  </conditionalFormatting>
  <conditionalFormatting sqref="D28">
    <cfRule type="expression" dxfId="3" priority="7" stopIfTrue="1">
      <formula>D28=1</formula>
    </cfRule>
  </conditionalFormatting>
  <conditionalFormatting sqref="D25">
    <cfRule type="cellIs" dxfId="2" priority="3" operator="notEqual">
      <formula>0</formula>
    </cfRule>
  </conditionalFormatting>
  <conditionalFormatting sqref="D36:D37">
    <cfRule type="expression" dxfId="1" priority="560" stopIfTrue="1">
      <formula>D$7=1</formula>
    </cfRule>
    <cfRule type="expression" dxfId="0" priority="561" stopIfTrue="1">
      <formula>F$8=1</formula>
    </cfRule>
  </conditionalFormatting>
  <dataValidations disablePrompts="1" count="1">
    <dataValidation type="list" allowBlank="1" showInputMessage="1" showErrorMessage="1" sqref="D27">
      <formula1>"1,0"</formula1>
    </dataValidation>
  </dataValidations>
  <pageMargins left="0.70866141732283472" right="0.70866141732283472" top="0.78740157480314965" bottom="0.78740157480314965" header="0.31496062992125984" footer="0.31496062992125984"/>
  <pageSetup paperSize="9" fitToHeight="3" orientation="portrait" r:id="rId1"/>
  <rowBreaks count="1" manualBreakCount="1">
    <brk id="42" max="1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nleitung">
    <tabColor rgb="FF00B0F0"/>
  </sheetPr>
  <dimension ref="A1:AK245"/>
  <sheetViews>
    <sheetView showGridLines="0" showRowColHeaders="0" zoomScale="115" zoomScaleNormal="115" zoomScaleSheetLayoutView="160" workbookViewId="0"/>
  </sheetViews>
  <sheetFormatPr baseColWidth="10" defaultColWidth="0" defaultRowHeight="12.75"/>
  <cols>
    <col min="1" max="1" width="3.28515625" customWidth="1"/>
    <col min="2" max="16" width="8.7109375" customWidth="1"/>
    <col min="17" max="17" width="3" customWidth="1"/>
    <col min="18" max="37" width="8.7109375" hidden="1" customWidth="1"/>
    <col min="38" max="16384" width="11.42578125" hidden="1"/>
  </cols>
  <sheetData>
    <row r="1" spans="1:17">
      <c r="A1" s="235"/>
      <c r="B1" s="235"/>
      <c r="C1" s="235"/>
      <c r="D1" s="235"/>
      <c r="E1" s="235"/>
      <c r="F1" s="235"/>
      <c r="G1" s="235"/>
      <c r="H1" s="235"/>
      <c r="I1" s="235"/>
      <c r="J1" s="235"/>
      <c r="K1" s="235"/>
      <c r="L1" s="235"/>
      <c r="M1" s="235"/>
      <c r="N1" s="235"/>
      <c r="O1" s="235"/>
      <c r="P1" s="235"/>
      <c r="Q1" s="235"/>
    </row>
    <row r="2" spans="1:17">
      <c r="A2" s="235"/>
      <c r="P2" s="1013"/>
      <c r="Q2" s="235"/>
    </row>
    <row r="3" spans="1:17">
      <c r="A3" s="235"/>
      <c r="O3" s="238"/>
      <c r="P3" s="239"/>
      <c r="Q3" s="235"/>
    </row>
    <row r="4" spans="1:17">
      <c r="A4" s="235"/>
      <c r="Q4" s="235"/>
    </row>
    <row r="5" spans="1:17">
      <c r="A5" s="235"/>
      <c r="Q5" s="235"/>
    </row>
    <row r="6" spans="1:17">
      <c r="A6" s="235"/>
      <c r="Q6" s="235"/>
    </row>
    <row r="7" spans="1:17">
      <c r="A7" s="235"/>
      <c r="Q7" s="235"/>
    </row>
    <row r="8" spans="1:17">
      <c r="A8" s="235"/>
      <c r="Q8" s="235"/>
    </row>
    <row r="9" spans="1:17">
      <c r="A9" s="235"/>
      <c r="Q9" s="235"/>
    </row>
    <row r="10" spans="1:17">
      <c r="A10" s="235"/>
      <c r="B10" s="235"/>
      <c r="C10" s="235"/>
      <c r="D10" s="235"/>
      <c r="E10" s="235"/>
      <c r="F10" s="235"/>
      <c r="G10" s="235"/>
      <c r="H10" s="235"/>
      <c r="I10" s="235"/>
      <c r="J10" s="235"/>
      <c r="K10" s="235"/>
      <c r="L10" s="235"/>
      <c r="M10" s="235"/>
      <c r="N10" s="235"/>
      <c r="O10" s="235"/>
      <c r="P10" s="235"/>
      <c r="Q10" s="235"/>
    </row>
    <row r="11" spans="1:17">
      <c r="A11" s="235"/>
      <c r="Q11" s="235"/>
    </row>
    <row r="12" spans="1:17">
      <c r="A12" s="235"/>
      <c r="Q12" s="235"/>
    </row>
    <row r="13" spans="1:17">
      <c r="A13" s="235"/>
      <c r="Q13" s="235"/>
    </row>
    <row r="14" spans="1:17">
      <c r="A14" s="235"/>
      <c r="Q14" s="235"/>
    </row>
    <row r="15" spans="1:17">
      <c r="A15" s="235"/>
      <c r="Q15" s="235"/>
    </row>
    <row r="16" spans="1:17">
      <c r="A16" s="235"/>
      <c r="Q16" s="235"/>
    </row>
    <row r="17" spans="1:17" s="199" customFormat="1">
      <c r="A17" s="235"/>
      <c r="Q17" s="235"/>
    </row>
    <row r="18" spans="1:17" s="199" customFormat="1">
      <c r="A18" s="235"/>
      <c r="Q18" s="235"/>
    </row>
    <row r="19" spans="1:17" s="199" customFormat="1">
      <c r="A19" s="235"/>
      <c r="Q19" s="235"/>
    </row>
    <row r="20" spans="1:17" s="199" customFormat="1">
      <c r="A20" s="235"/>
      <c r="Q20" s="235"/>
    </row>
    <row r="21" spans="1:17" s="199" customFormat="1">
      <c r="A21" s="235"/>
      <c r="Q21" s="235"/>
    </row>
    <row r="22" spans="1:17">
      <c r="A22" s="235"/>
      <c r="Q22" s="235"/>
    </row>
    <row r="23" spans="1:17">
      <c r="A23" s="235"/>
      <c r="Q23" s="235"/>
    </row>
    <row r="24" spans="1:17">
      <c r="A24" s="235"/>
      <c r="D24" s="878"/>
      <c r="E24" s="878"/>
      <c r="F24" s="878"/>
      <c r="G24" s="878"/>
      <c r="H24" s="878"/>
      <c r="I24" s="878"/>
      <c r="J24" s="878"/>
      <c r="Q24" s="235"/>
    </row>
    <row r="25" spans="1:17">
      <c r="A25" s="235"/>
      <c r="D25" s="878"/>
      <c r="E25" s="878"/>
      <c r="F25" s="878"/>
      <c r="G25" s="878"/>
      <c r="H25" s="878"/>
      <c r="I25" s="878"/>
      <c r="J25" s="878"/>
      <c r="Q25" s="235"/>
    </row>
    <row r="26" spans="1:17">
      <c r="A26" s="235"/>
      <c r="B26" s="199"/>
      <c r="C26" s="199"/>
      <c r="D26" s="878"/>
      <c r="E26" s="878"/>
      <c r="F26" s="878"/>
      <c r="G26" s="878"/>
      <c r="H26" s="878"/>
      <c r="I26" s="878"/>
      <c r="J26" s="878"/>
      <c r="K26" s="199"/>
      <c r="L26" s="199"/>
      <c r="M26" s="199"/>
      <c r="N26" s="199"/>
      <c r="O26" s="199"/>
      <c r="P26" s="199"/>
      <c r="Q26" s="235"/>
    </row>
    <row r="27" spans="1:17" s="199" customFormat="1">
      <c r="A27" s="235"/>
      <c r="D27" s="878"/>
      <c r="E27" s="878"/>
      <c r="F27" s="878"/>
      <c r="G27" s="878"/>
      <c r="H27" s="878"/>
      <c r="I27" s="878"/>
      <c r="J27" s="878"/>
      <c r="Q27" s="235"/>
    </row>
    <row r="28" spans="1:17" s="199" customFormat="1">
      <c r="A28" s="235"/>
      <c r="Q28" s="235"/>
    </row>
    <row r="29" spans="1:17" s="199" customFormat="1">
      <c r="A29" s="235"/>
      <c r="Q29" s="235"/>
    </row>
    <row r="30" spans="1:17" s="199" customFormat="1">
      <c r="A30" s="235"/>
      <c r="Q30" s="235"/>
    </row>
    <row r="31" spans="1:17" s="199" customFormat="1">
      <c r="A31" s="235"/>
      <c r="Q31" s="235"/>
    </row>
    <row r="32" spans="1:17" s="199" customFormat="1">
      <c r="A32" s="235"/>
      <c r="Q32" s="235"/>
    </row>
    <row r="33" spans="1:17" s="199" customFormat="1">
      <c r="A33" s="235"/>
      <c r="Q33" s="235"/>
    </row>
    <row r="34" spans="1:17" s="199" customFormat="1">
      <c r="A34" s="235"/>
      <c r="Q34" s="235"/>
    </row>
    <row r="35" spans="1:17" s="199" customFormat="1">
      <c r="A35" s="235"/>
      <c r="Q35" s="235"/>
    </row>
    <row r="36" spans="1:17" s="199" customFormat="1">
      <c r="A36" s="235"/>
      <c r="Q36" s="235"/>
    </row>
    <row r="37" spans="1:17" s="199" customFormat="1">
      <c r="A37" s="235"/>
      <c r="Q37" s="235"/>
    </row>
    <row r="38" spans="1:17" s="199" customFormat="1">
      <c r="A38" s="235"/>
      <c r="Q38" s="235"/>
    </row>
    <row r="39" spans="1:17" s="199" customFormat="1">
      <c r="A39" s="235"/>
      <c r="Q39" s="235"/>
    </row>
    <row r="40" spans="1:17" s="199" customFormat="1">
      <c r="A40" s="235"/>
      <c r="Q40" s="235"/>
    </row>
    <row r="41" spans="1:17" s="199" customFormat="1">
      <c r="A41" s="235"/>
      <c r="Q41" s="235"/>
    </row>
    <row r="42" spans="1:17" s="199" customFormat="1">
      <c r="A42" s="235"/>
      <c r="Q42" s="235"/>
    </row>
    <row r="43" spans="1:17" s="199" customFormat="1">
      <c r="A43" s="235"/>
      <c r="Q43" s="235"/>
    </row>
    <row r="44" spans="1:17" s="199" customFormat="1">
      <c r="A44" s="235"/>
      <c r="Q44" s="235"/>
    </row>
    <row r="45" spans="1:17" s="199" customFormat="1">
      <c r="A45" s="235"/>
      <c r="Q45" s="235"/>
    </row>
    <row r="46" spans="1:17" s="199" customFormat="1">
      <c r="A46" s="235"/>
      <c r="Q46" s="235"/>
    </row>
    <row r="47" spans="1:17" s="199" customFormat="1">
      <c r="A47" s="235"/>
      <c r="Q47" s="235"/>
    </row>
    <row r="48" spans="1:17" s="199" customFormat="1">
      <c r="A48" s="235"/>
      <c r="Q48" s="235"/>
    </row>
    <row r="49" spans="1:17" s="199" customFormat="1">
      <c r="A49" s="235"/>
      <c r="Q49" s="235"/>
    </row>
    <row r="50" spans="1:17" s="199" customFormat="1">
      <c r="A50" s="235"/>
      <c r="Q50" s="235"/>
    </row>
    <row r="51" spans="1:17" s="199" customFormat="1">
      <c r="A51" s="235"/>
      <c r="Q51" s="235"/>
    </row>
    <row r="52" spans="1:17" s="199" customFormat="1">
      <c r="A52" s="235"/>
      <c r="Q52" s="235"/>
    </row>
    <row r="53" spans="1:17" s="199" customFormat="1">
      <c r="A53" s="235"/>
      <c r="Q53" s="235"/>
    </row>
    <row r="54" spans="1:17" s="199" customFormat="1">
      <c r="A54" s="235"/>
      <c r="Q54" s="235"/>
    </row>
    <row r="55" spans="1:17" s="199" customFormat="1">
      <c r="A55" s="235"/>
      <c r="Q55" s="235"/>
    </row>
    <row r="56" spans="1:17" s="199" customFormat="1">
      <c r="A56" s="235"/>
      <c r="Q56" s="235"/>
    </row>
    <row r="57" spans="1:17" s="199" customFormat="1">
      <c r="A57" s="235"/>
      <c r="Q57" s="235"/>
    </row>
    <row r="58" spans="1:17" s="199" customFormat="1">
      <c r="A58" s="235"/>
      <c r="Q58" s="235"/>
    </row>
    <row r="59" spans="1:17" s="199" customFormat="1">
      <c r="A59" s="235"/>
      <c r="Q59" s="235"/>
    </row>
    <row r="60" spans="1:17" s="199" customFormat="1">
      <c r="A60" s="235"/>
      <c r="Q60" s="235"/>
    </row>
    <row r="61" spans="1:17" s="199" customFormat="1">
      <c r="A61" s="235"/>
      <c r="Q61" s="235"/>
    </row>
    <row r="62" spans="1:17" s="199" customFormat="1">
      <c r="A62" s="235"/>
      <c r="Q62" s="235"/>
    </row>
    <row r="63" spans="1:17" s="199" customFormat="1">
      <c r="A63" s="235"/>
      <c r="Q63" s="235"/>
    </row>
    <row r="64" spans="1:17" s="878" customFormat="1">
      <c r="A64" s="861"/>
      <c r="Q64" s="861"/>
    </row>
    <row r="65" spans="1:17" s="878" customFormat="1">
      <c r="A65" s="861"/>
      <c r="Q65" s="861"/>
    </row>
    <row r="66" spans="1:17" s="878" customFormat="1">
      <c r="A66" s="861"/>
      <c r="Q66" s="861"/>
    </row>
    <row r="67" spans="1:17" s="878" customFormat="1">
      <c r="A67" s="861"/>
      <c r="Q67" s="861"/>
    </row>
    <row r="68" spans="1:17" s="878" customFormat="1">
      <c r="A68" s="861"/>
      <c r="Q68" s="861"/>
    </row>
    <row r="69" spans="1:17" s="878" customFormat="1">
      <c r="A69" s="861"/>
      <c r="Q69" s="861"/>
    </row>
    <row r="70" spans="1:17" s="878" customFormat="1">
      <c r="A70" s="861"/>
      <c r="Q70" s="861"/>
    </row>
    <row r="71" spans="1:17" s="878" customFormat="1">
      <c r="A71" s="861"/>
      <c r="Q71" s="861"/>
    </row>
    <row r="72" spans="1:17" s="878" customFormat="1">
      <c r="A72" s="861"/>
      <c r="Q72" s="861"/>
    </row>
    <row r="73" spans="1:17" s="878" customFormat="1">
      <c r="A73" s="861"/>
      <c r="Q73" s="861"/>
    </row>
    <row r="74" spans="1:17" s="878" customFormat="1">
      <c r="A74" s="861"/>
      <c r="Q74" s="861"/>
    </row>
    <row r="75" spans="1:17" s="878" customFormat="1">
      <c r="A75" s="861"/>
      <c r="Q75" s="861"/>
    </row>
    <row r="76" spans="1:17" s="878" customFormat="1">
      <c r="A76" s="861"/>
      <c r="Q76" s="861"/>
    </row>
    <row r="77" spans="1:17" s="878" customFormat="1">
      <c r="A77" s="861"/>
      <c r="Q77" s="861"/>
    </row>
    <row r="78" spans="1:17" s="878" customFormat="1">
      <c r="A78" s="861"/>
      <c r="Q78" s="861"/>
    </row>
    <row r="79" spans="1:17" s="878" customFormat="1">
      <c r="A79" s="861"/>
      <c r="Q79" s="861"/>
    </row>
    <row r="80" spans="1:17" s="878" customFormat="1">
      <c r="A80" s="861"/>
      <c r="Q80" s="861"/>
    </row>
    <row r="81" spans="1:17" s="878" customFormat="1">
      <c r="A81" s="861"/>
      <c r="Q81" s="861"/>
    </row>
    <row r="82" spans="1:17" s="878" customFormat="1">
      <c r="A82" s="861"/>
      <c r="Q82" s="861"/>
    </row>
    <row r="83" spans="1:17" s="878" customFormat="1">
      <c r="A83" s="861"/>
      <c r="Q83" s="861"/>
    </row>
    <row r="84" spans="1:17" s="878" customFormat="1">
      <c r="A84" s="861"/>
      <c r="Q84" s="861"/>
    </row>
    <row r="85" spans="1:17" s="878" customFormat="1">
      <c r="A85" s="861"/>
      <c r="B85" s="861"/>
      <c r="C85" s="861"/>
      <c r="D85" s="861"/>
      <c r="E85" s="861"/>
      <c r="F85" s="861"/>
      <c r="G85" s="861"/>
      <c r="H85" s="861"/>
      <c r="I85" s="861"/>
      <c r="J85" s="861"/>
      <c r="K85" s="861"/>
      <c r="L85" s="861"/>
      <c r="M85" s="861"/>
      <c r="N85" s="861"/>
      <c r="O85" s="861"/>
      <c r="P85" s="861"/>
      <c r="Q85" s="861"/>
    </row>
    <row r="86" spans="1:17" s="878" customFormat="1">
      <c r="A86" s="861"/>
      <c r="B86" s="861"/>
      <c r="C86" s="861"/>
      <c r="D86" s="861"/>
      <c r="E86" s="861"/>
      <c r="F86" s="861"/>
      <c r="G86" s="861"/>
      <c r="H86" s="861"/>
      <c r="I86" s="861"/>
      <c r="J86" s="861"/>
      <c r="K86" s="861"/>
      <c r="L86" s="861"/>
      <c r="M86" s="861"/>
      <c r="N86" s="861"/>
      <c r="O86" s="861"/>
      <c r="P86" s="861"/>
      <c r="Q86" s="861"/>
    </row>
    <row r="87" spans="1:17" s="878" customFormat="1">
      <c r="A87" s="861"/>
      <c r="Q87" s="861"/>
    </row>
    <row r="88" spans="1:17" s="878" customFormat="1">
      <c r="A88" s="861"/>
      <c r="Q88" s="861"/>
    </row>
    <row r="89" spans="1:17" s="878" customFormat="1">
      <c r="A89" s="861"/>
      <c r="Q89" s="861"/>
    </row>
    <row r="90" spans="1:17" s="878" customFormat="1">
      <c r="A90" s="861"/>
      <c r="Q90" s="861"/>
    </row>
    <row r="91" spans="1:17" s="878" customFormat="1">
      <c r="A91" s="861"/>
      <c r="Q91" s="861"/>
    </row>
    <row r="92" spans="1:17" s="878" customFormat="1">
      <c r="A92" s="861"/>
      <c r="Q92" s="861"/>
    </row>
    <row r="93" spans="1:17" s="878" customFormat="1">
      <c r="A93" s="861"/>
      <c r="Q93" s="861"/>
    </row>
    <row r="94" spans="1:17" s="878" customFormat="1">
      <c r="A94" s="861"/>
      <c r="Q94" s="861"/>
    </row>
    <row r="95" spans="1:17" s="878" customFormat="1">
      <c r="A95" s="861"/>
      <c r="Q95" s="861"/>
    </row>
    <row r="96" spans="1:17" s="878" customFormat="1">
      <c r="A96" s="861"/>
      <c r="Q96" s="861"/>
    </row>
    <row r="97" spans="1:17" s="878" customFormat="1">
      <c r="A97" s="861"/>
      <c r="Q97" s="861"/>
    </row>
    <row r="98" spans="1:17" s="878" customFormat="1">
      <c r="A98" s="861"/>
      <c r="Q98" s="861"/>
    </row>
    <row r="99" spans="1:17" s="878" customFormat="1">
      <c r="A99" s="861"/>
      <c r="Q99" s="861"/>
    </row>
    <row r="100" spans="1:17" s="878" customFormat="1">
      <c r="A100" s="861"/>
      <c r="Q100" s="861"/>
    </row>
    <row r="101" spans="1:17" s="878" customFormat="1">
      <c r="A101" s="861"/>
      <c r="Q101" s="861"/>
    </row>
    <row r="102" spans="1:17" s="878" customFormat="1">
      <c r="A102" s="861"/>
      <c r="Q102" s="861"/>
    </row>
    <row r="103" spans="1:17" s="878" customFormat="1">
      <c r="A103" s="861"/>
      <c r="Q103" s="861"/>
    </row>
    <row r="104" spans="1:17" s="878" customFormat="1">
      <c r="A104" s="861"/>
      <c r="Q104" s="861"/>
    </row>
    <row r="105" spans="1:17" s="878" customFormat="1">
      <c r="A105" s="861"/>
      <c r="Q105" s="861"/>
    </row>
    <row r="106" spans="1:17" s="878" customFormat="1">
      <c r="A106" s="861"/>
      <c r="Q106" s="861"/>
    </row>
    <row r="107" spans="1:17" s="878" customFormat="1">
      <c r="A107" s="861"/>
      <c r="Q107" s="861"/>
    </row>
    <row r="108" spans="1:17" s="878" customFormat="1">
      <c r="A108" s="861"/>
      <c r="Q108" s="861"/>
    </row>
    <row r="109" spans="1:17" s="878" customFormat="1">
      <c r="A109" s="861"/>
      <c r="Q109" s="861"/>
    </row>
    <row r="110" spans="1:17" s="878" customFormat="1">
      <c r="A110" s="861"/>
      <c r="Q110" s="861"/>
    </row>
    <row r="111" spans="1:17" s="878" customFormat="1">
      <c r="A111" s="861"/>
      <c r="Q111" s="861"/>
    </row>
    <row r="112" spans="1:17" s="878" customFormat="1">
      <c r="A112" s="861"/>
      <c r="Q112" s="861"/>
    </row>
    <row r="113" spans="1:17" s="878" customFormat="1">
      <c r="A113" s="861"/>
      <c r="Q113" s="861"/>
    </row>
    <row r="114" spans="1:17" s="878" customFormat="1">
      <c r="A114" s="861"/>
      <c r="Q114" s="861"/>
    </row>
    <row r="115" spans="1:17" s="878" customFormat="1">
      <c r="A115" s="861"/>
      <c r="Q115" s="861"/>
    </row>
    <row r="116" spans="1:17" s="878" customFormat="1">
      <c r="A116" s="861"/>
      <c r="Q116" s="861"/>
    </row>
    <row r="117" spans="1:17" s="878" customFormat="1">
      <c r="A117" s="861"/>
      <c r="Q117" s="861"/>
    </row>
    <row r="118" spans="1:17" s="199" customFormat="1">
      <c r="A118" s="235"/>
      <c r="Q118" s="235"/>
    </row>
    <row r="119" spans="1:17" s="199" customFormat="1">
      <c r="A119" s="235"/>
      <c r="Q119" s="235"/>
    </row>
    <row r="120" spans="1:17" s="199" customFormat="1">
      <c r="A120" s="235"/>
      <c r="Q120" s="235"/>
    </row>
    <row r="121" spans="1:17" s="199" customFormat="1">
      <c r="A121" s="235"/>
      <c r="Q121" s="235"/>
    </row>
    <row r="122" spans="1:17" s="199" customFormat="1">
      <c r="A122" s="235"/>
      <c r="Q122" s="235"/>
    </row>
    <row r="123" spans="1:17" s="199" customFormat="1">
      <c r="A123" s="235"/>
      <c r="Q123" s="235"/>
    </row>
    <row r="124" spans="1:17" s="199" customFormat="1">
      <c r="A124" s="235"/>
      <c r="Q124" s="235"/>
    </row>
    <row r="125" spans="1:17" s="199" customFormat="1">
      <c r="A125" s="235"/>
      <c r="Q125" s="235"/>
    </row>
    <row r="126" spans="1:17" s="199" customFormat="1">
      <c r="A126" s="235"/>
      <c r="Q126" s="235"/>
    </row>
    <row r="127" spans="1:17" s="199" customFormat="1">
      <c r="A127" s="235"/>
      <c r="B127" s="800"/>
      <c r="C127" s="800"/>
      <c r="D127" s="800"/>
      <c r="E127" s="800"/>
      <c r="F127" s="800"/>
      <c r="G127" s="800"/>
      <c r="H127" s="800"/>
      <c r="I127" s="800"/>
      <c r="J127" s="800"/>
      <c r="K127" s="800"/>
      <c r="L127" s="800"/>
      <c r="M127" s="800"/>
      <c r="N127" s="800"/>
      <c r="O127" s="800"/>
      <c r="P127" s="800"/>
      <c r="Q127" s="235"/>
    </row>
    <row r="128" spans="1:17" s="199" customFormat="1">
      <c r="A128" s="235"/>
      <c r="B128" s="800"/>
      <c r="C128" s="800"/>
      <c r="D128" s="800"/>
      <c r="E128" s="800"/>
      <c r="F128" s="800"/>
      <c r="G128" s="800"/>
      <c r="H128" s="800"/>
      <c r="I128" s="800"/>
      <c r="J128" s="800"/>
      <c r="K128" s="800"/>
      <c r="L128" s="800"/>
      <c r="M128" s="800"/>
      <c r="N128" s="800"/>
      <c r="O128" s="800"/>
      <c r="P128" s="800"/>
      <c r="Q128" s="235"/>
    </row>
    <row r="129" spans="1:17">
      <c r="A129" s="235"/>
      <c r="B129" s="800"/>
      <c r="C129" s="800"/>
      <c r="D129" s="800"/>
      <c r="E129" s="800"/>
      <c r="F129" s="800"/>
      <c r="G129" s="800"/>
      <c r="H129" s="800"/>
      <c r="I129" s="800"/>
      <c r="J129" s="800"/>
      <c r="K129" s="800"/>
      <c r="L129" s="800"/>
      <c r="M129" s="800"/>
      <c r="N129" s="800"/>
      <c r="O129" s="800"/>
      <c r="P129" s="800"/>
      <c r="Q129" s="235"/>
    </row>
    <row r="130" spans="1:17">
      <c r="A130" s="235"/>
      <c r="B130" s="800"/>
      <c r="C130" s="800"/>
      <c r="D130" s="800"/>
      <c r="E130" s="800"/>
      <c r="F130" s="800"/>
      <c r="G130" s="800"/>
      <c r="H130" s="800"/>
      <c r="I130" s="800"/>
      <c r="J130" s="800"/>
      <c r="K130" s="800"/>
      <c r="L130" s="800"/>
      <c r="M130" s="800"/>
      <c r="N130" s="800"/>
      <c r="O130" s="800"/>
      <c r="P130" s="800"/>
      <c r="Q130" s="235"/>
    </row>
    <row r="131" spans="1:17">
      <c r="A131" s="235"/>
      <c r="B131" s="800"/>
      <c r="C131" s="800"/>
      <c r="D131" s="800"/>
      <c r="E131" s="800"/>
      <c r="F131" s="800"/>
      <c r="G131" s="800"/>
      <c r="H131" s="800"/>
      <c r="I131" s="800"/>
      <c r="J131" s="800"/>
      <c r="K131" s="800"/>
      <c r="L131" s="800"/>
      <c r="M131" s="800"/>
      <c r="N131" s="800"/>
      <c r="O131" s="800"/>
      <c r="P131" s="800"/>
      <c r="Q131" s="235"/>
    </row>
    <row r="132" spans="1:17">
      <c r="A132" s="235"/>
      <c r="B132" s="800"/>
      <c r="C132" s="800"/>
      <c r="D132" s="800"/>
      <c r="E132" s="800"/>
      <c r="F132" s="800"/>
      <c r="G132" s="800"/>
      <c r="H132" s="800"/>
      <c r="I132" s="800"/>
      <c r="J132" s="800"/>
      <c r="K132" s="800"/>
      <c r="L132" s="800"/>
      <c r="M132" s="800"/>
      <c r="N132" s="800"/>
      <c r="O132" s="800"/>
      <c r="P132" s="800"/>
      <c r="Q132" s="235"/>
    </row>
    <row r="133" spans="1:17">
      <c r="A133" s="235"/>
      <c r="B133" s="800"/>
      <c r="C133" s="800"/>
      <c r="D133" s="800"/>
      <c r="E133" s="800"/>
      <c r="F133" s="800"/>
      <c r="G133" s="800"/>
      <c r="H133" s="800"/>
      <c r="I133" s="800"/>
      <c r="J133" s="800"/>
      <c r="K133" s="800"/>
      <c r="L133" s="800"/>
      <c r="M133" s="800"/>
      <c r="N133" s="800"/>
      <c r="O133" s="800"/>
      <c r="P133" s="800"/>
      <c r="Q133" s="235"/>
    </row>
    <row r="134" spans="1:17">
      <c r="A134" s="235"/>
      <c r="B134" s="800"/>
      <c r="C134" s="800"/>
      <c r="D134" s="800"/>
      <c r="E134" s="800"/>
      <c r="F134" s="800"/>
      <c r="G134" s="800"/>
      <c r="H134" s="800"/>
      <c r="I134" s="800"/>
      <c r="J134" s="800"/>
      <c r="K134" s="800"/>
      <c r="L134" s="800"/>
      <c r="M134" s="800"/>
      <c r="N134" s="800"/>
      <c r="O134" s="800"/>
      <c r="P134" s="800"/>
      <c r="Q134" s="235"/>
    </row>
    <row r="135" spans="1:17">
      <c r="A135" s="235"/>
      <c r="B135" s="800"/>
      <c r="C135" s="800"/>
      <c r="D135" s="800"/>
      <c r="E135" s="800"/>
      <c r="F135" s="800"/>
      <c r="G135" s="800"/>
      <c r="H135" s="800"/>
      <c r="I135" s="800"/>
      <c r="J135" s="800"/>
      <c r="K135" s="800"/>
      <c r="L135" s="800"/>
      <c r="M135" s="800"/>
      <c r="N135" s="800"/>
      <c r="O135" s="800"/>
      <c r="P135" s="800"/>
      <c r="Q135" s="235"/>
    </row>
    <row r="136" spans="1:17">
      <c r="A136" s="235"/>
      <c r="B136" s="800"/>
      <c r="C136" s="800"/>
      <c r="D136" s="800"/>
      <c r="E136" s="800"/>
      <c r="F136" s="800"/>
      <c r="G136" s="800"/>
      <c r="H136" s="800"/>
      <c r="I136" s="800"/>
      <c r="J136" s="800"/>
      <c r="K136" s="800"/>
      <c r="L136" s="800"/>
      <c r="M136" s="800"/>
      <c r="N136" s="800"/>
      <c r="O136" s="800"/>
      <c r="P136" s="800"/>
      <c r="Q136" s="235"/>
    </row>
    <row r="137" spans="1:17">
      <c r="A137" s="861"/>
      <c r="B137" s="861"/>
      <c r="C137" s="861"/>
      <c r="D137" s="861"/>
      <c r="E137" s="861"/>
      <c r="F137" s="861"/>
      <c r="G137" s="861"/>
      <c r="H137" s="861"/>
      <c r="I137" s="861"/>
      <c r="J137" s="861"/>
      <c r="K137" s="861"/>
      <c r="L137" s="861"/>
      <c r="M137" s="861"/>
      <c r="N137" s="861"/>
      <c r="O137" s="861"/>
      <c r="P137" s="861"/>
      <c r="Q137" s="235"/>
    </row>
    <row r="138" spans="1:17">
      <c r="A138" s="235"/>
      <c r="B138" s="235"/>
      <c r="C138" s="235"/>
      <c r="D138" s="235"/>
      <c r="E138" s="235"/>
      <c r="F138" s="235"/>
      <c r="G138" s="235"/>
      <c r="H138" s="235"/>
      <c r="I138" s="235"/>
      <c r="J138" s="235"/>
      <c r="K138" s="235"/>
      <c r="L138" s="235"/>
      <c r="M138" s="235"/>
      <c r="N138" s="235"/>
      <c r="O138" s="235"/>
      <c r="P138" s="235"/>
      <c r="Q138" s="235"/>
    </row>
    <row r="139" spans="1:17">
      <c r="A139" s="235"/>
      <c r="B139" s="235"/>
      <c r="C139" s="235"/>
      <c r="D139" s="235"/>
      <c r="E139" s="235"/>
      <c r="F139" s="235"/>
      <c r="G139" s="235"/>
      <c r="H139" s="235"/>
      <c r="I139" s="235"/>
      <c r="J139" s="235"/>
      <c r="K139" s="235"/>
      <c r="L139" s="235"/>
      <c r="M139" s="235"/>
      <c r="N139" s="235"/>
      <c r="O139" s="235"/>
      <c r="P139" s="235"/>
      <c r="Q139" s="235"/>
    </row>
    <row r="140" spans="1:17">
      <c r="A140" s="235"/>
      <c r="B140" s="235"/>
      <c r="C140" s="235"/>
      <c r="D140" s="235"/>
      <c r="E140" s="235"/>
      <c r="F140" s="235"/>
      <c r="G140" s="235"/>
      <c r="H140" s="235"/>
      <c r="I140" s="235"/>
      <c r="J140" s="235"/>
      <c r="K140" s="235"/>
      <c r="L140" s="235"/>
      <c r="M140" s="235"/>
      <c r="N140" s="235"/>
      <c r="O140" s="235"/>
      <c r="P140" s="235"/>
      <c r="Q140" s="235"/>
    </row>
    <row r="141" spans="1:17">
      <c r="A141" s="235"/>
      <c r="B141" s="235"/>
      <c r="C141" s="235"/>
      <c r="D141" s="235"/>
      <c r="E141" s="235"/>
      <c r="F141" s="235"/>
      <c r="G141" s="235"/>
      <c r="H141" s="235"/>
      <c r="I141" s="235"/>
      <c r="J141" s="235"/>
      <c r="K141" s="235"/>
      <c r="L141" s="235"/>
      <c r="M141" s="235"/>
      <c r="N141" s="235"/>
      <c r="O141" s="235"/>
      <c r="P141" s="235"/>
      <c r="Q141" s="235"/>
    </row>
    <row r="142" spans="1:17">
      <c r="A142" s="235"/>
      <c r="B142" s="235"/>
      <c r="C142" s="235"/>
      <c r="D142" s="235"/>
      <c r="E142" s="235"/>
      <c r="F142" s="235"/>
      <c r="G142" s="235"/>
      <c r="H142" s="235"/>
      <c r="I142" s="235"/>
      <c r="J142" s="235"/>
      <c r="K142" s="235"/>
      <c r="L142" s="235"/>
      <c r="M142" s="235"/>
      <c r="N142" s="235"/>
      <c r="O142" s="235"/>
      <c r="P142" s="235"/>
      <c r="Q142" s="235"/>
    </row>
    <row r="143" spans="1:17">
      <c r="A143" s="235"/>
      <c r="B143" s="235"/>
      <c r="C143" s="235"/>
      <c r="D143" s="235"/>
      <c r="E143" s="235"/>
      <c r="F143" s="235"/>
      <c r="G143" s="235"/>
      <c r="H143" s="235"/>
      <c r="I143" s="235"/>
      <c r="J143" s="235"/>
      <c r="K143" s="235"/>
      <c r="L143" s="235"/>
      <c r="M143" s="235"/>
      <c r="N143" s="235"/>
      <c r="O143" s="235"/>
      <c r="P143" s="235"/>
      <c r="Q143" s="235"/>
    </row>
    <row r="144" spans="1:17">
      <c r="A144" s="235"/>
      <c r="B144" s="235"/>
      <c r="C144" s="235"/>
      <c r="D144" s="235"/>
      <c r="E144" s="235"/>
      <c r="F144" s="235"/>
      <c r="G144" s="235"/>
      <c r="H144" s="235"/>
      <c r="I144" s="235"/>
      <c r="J144" s="235"/>
      <c r="K144" s="235"/>
      <c r="L144" s="235"/>
      <c r="M144" s="235"/>
      <c r="N144" s="235"/>
      <c r="O144" s="235"/>
      <c r="P144" s="235"/>
      <c r="Q144" s="235"/>
    </row>
    <row r="145" spans="1:17">
      <c r="A145" s="235"/>
      <c r="B145" s="235"/>
      <c r="C145" s="235"/>
      <c r="D145" s="235"/>
      <c r="E145" s="235"/>
      <c r="F145" s="235"/>
      <c r="G145" s="235"/>
      <c r="H145" s="235"/>
      <c r="I145" s="235"/>
      <c r="J145" s="235"/>
      <c r="K145" s="235"/>
      <c r="L145" s="235"/>
      <c r="M145" s="235"/>
      <c r="N145" s="235"/>
      <c r="O145" s="235"/>
      <c r="P145" s="235"/>
      <c r="Q145" s="235"/>
    </row>
    <row r="146" spans="1:17">
      <c r="A146" s="235"/>
      <c r="B146" s="235"/>
      <c r="C146" s="235"/>
      <c r="D146" s="235"/>
      <c r="E146" s="235"/>
      <c r="F146" s="235"/>
      <c r="G146" s="235"/>
      <c r="H146" s="235"/>
      <c r="I146" s="235"/>
      <c r="J146" s="235"/>
      <c r="K146" s="235"/>
      <c r="L146" s="235"/>
      <c r="M146" s="235"/>
      <c r="N146" s="235"/>
      <c r="O146" s="235"/>
      <c r="P146" s="235"/>
      <c r="Q146" s="235"/>
    </row>
    <row r="147" spans="1:17">
      <c r="A147" s="235"/>
      <c r="B147" s="235"/>
      <c r="C147" s="235"/>
      <c r="D147" s="235"/>
      <c r="E147" s="235"/>
      <c r="F147" s="235"/>
      <c r="G147" s="235"/>
      <c r="H147" s="235"/>
      <c r="I147" s="235"/>
      <c r="J147" s="235"/>
      <c r="K147" s="235"/>
      <c r="L147" s="235"/>
      <c r="M147" s="235"/>
      <c r="N147" s="235"/>
      <c r="O147" s="235"/>
      <c r="P147" s="235"/>
      <c r="Q147" s="235"/>
    </row>
    <row r="148" spans="1:17">
      <c r="A148" s="235"/>
      <c r="B148" s="235"/>
      <c r="C148" s="235"/>
      <c r="D148" s="235"/>
      <c r="E148" s="235"/>
      <c r="F148" s="235"/>
      <c r="G148" s="235"/>
      <c r="H148" s="235"/>
      <c r="I148" s="235"/>
      <c r="J148" s="235"/>
      <c r="K148" s="235"/>
      <c r="L148" s="235"/>
      <c r="M148" s="235"/>
      <c r="N148" s="235"/>
      <c r="O148" s="235"/>
      <c r="P148" s="235"/>
      <c r="Q148" s="235"/>
    </row>
    <row r="149" spans="1:17">
      <c r="A149" s="235"/>
      <c r="B149" s="235"/>
      <c r="C149" s="235"/>
      <c r="D149" s="235"/>
      <c r="E149" s="235"/>
      <c r="F149" s="235"/>
      <c r="G149" s="235"/>
      <c r="H149" s="235"/>
      <c r="I149" s="235"/>
      <c r="J149" s="235"/>
      <c r="K149" s="235"/>
      <c r="L149" s="235"/>
      <c r="M149" s="235"/>
      <c r="N149" s="235"/>
      <c r="O149" s="235"/>
      <c r="P149" s="235"/>
      <c r="Q149" s="235"/>
    </row>
    <row r="150" spans="1:17">
      <c r="A150" s="235"/>
      <c r="B150" s="235"/>
      <c r="C150" s="235"/>
      <c r="D150" s="235"/>
      <c r="E150" s="235"/>
      <c r="F150" s="235"/>
      <c r="G150" s="235"/>
      <c r="H150" s="235"/>
      <c r="I150" s="235"/>
      <c r="J150" s="235"/>
      <c r="K150" s="235"/>
      <c r="L150" s="235"/>
      <c r="M150" s="235"/>
      <c r="N150" s="235"/>
      <c r="O150" s="235"/>
      <c r="P150" s="235"/>
      <c r="Q150" s="235"/>
    </row>
    <row r="151" spans="1:17">
      <c r="A151" s="235"/>
      <c r="B151" s="235"/>
      <c r="C151" s="235"/>
      <c r="D151" s="235"/>
      <c r="E151" s="235"/>
      <c r="F151" s="235"/>
      <c r="G151" s="235"/>
      <c r="H151" s="235"/>
      <c r="I151" s="235"/>
      <c r="J151" s="235"/>
      <c r="K151" s="235"/>
      <c r="L151" s="235"/>
      <c r="M151" s="235"/>
      <c r="N151" s="235"/>
      <c r="O151" s="235"/>
      <c r="P151" s="235"/>
      <c r="Q151" s="235"/>
    </row>
    <row r="152" spans="1:17">
      <c r="A152" s="235"/>
      <c r="B152" s="235"/>
      <c r="C152" s="235"/>
      <c r="D152" s="235"/>
      <c r="E152" s="235"/>
      <c r="F152" s="235"/>
      <c r="G152" s="235"/>
      <c r="H152" s="235"/>
      <c r="I152" s="235"/>
      <c r="J152" s="235"/>
      <c r="K152" s="235"/>
      <c r="L152" s="235"/>
      <c r="M152" s="235"/>
      <c r="N152" s="235"/>
      <c r="O152" s="235"/>
      <c r="P152" s="235"/>
      <c r="Q152" s="235"/>
    </row>
    <row r="153" spans="1:17">
      <c r="A153" s="235"/>
      <c r="B153" s="235"/>
      <c r="C153" s="235"/>
      <c r="D153" s="235"/>
      <c r="E153" s="235"/>
      <c r="F153" s="235"/>
      <c r="G153" s="235"/>
      <c r="H153" s="235"/>
      <c r="I153" s="235"/>
      <c r="J153" s="235"/>
      <c r="K153" s="235"/>
      <c r="L153" s="235"/>
      <c r="M153" s="235"/>
      <c r="N153" s="235"/>
      <c r="O153" s="235"/>
      <c r="P153" s="235"/>
      <c r="Q153" s="235"/>
    </row>
    <row r="154" spans="1:17">
      <c r="A154" s="235"/>
      <c r="B154" s="235"/>
      <c r="C154" s="235"/>
      <c r="D154" s="235"/>
      <c r="E154" s="235"/>
      <c r="F154" s="235"/>
      <c r="G154" s="235"/>
      <c r="H154" s="235"/>
      <c r="I154" s="235"/>
      <c r="J154" s="235"/>
      <c r="K154" s="235"/>
      <c r="L154" s="235"/>
      <c r="M154" s="235"/>
      <c r="N154" s="235"/>
      <c r="O154" s="235"/>
      <c r="P154" s="235"/>
      <c r="Q154" s="235"/>
    </row>
    <row r="155" spans="1:17">
      <c r="A155" s="235"/>
      <c r="B155" s="235"/>
      <c r="C155" s="235"/>
      <c r="D155" s="235"/>
      <c r="E155" s="235"/>
      <c r="F155" s="235"/>
      <c r="G155" s="235"/>
      <c r="H155" s="235"/>
      <c r="I155" s="235"/>
      <c r="J155" s="235"/>
      <c r="K155" s="235"/>
      <c r="L155" s="235"/>
      <c r="M155" s="235"/>
      <c r="N155" s="235"/>
      <c r="O155" s="235"/>
      <c r="P155" s="235"/>
      <c r="Q155" s="235"/>
    </row>
    <row r="156" spans="1:17">
      <c r="A156" s="235"/>
      <c r="B156" s="235"/>
      <c r="C156" s="235"/>
      <c r="D156" s="235"/>
      <c r="E156" s="235"/>
      <c r="F156" s="235"/>
      <c r="G156" s="235"/>
      <c r="H156" s="235"/>
      <c r="I156" s="235"/>
      <c r="J156" s="235"/>
      <c r="K156" s="235"/>
      <c r="L156" s="235"/>
      <c r="M156" s="235"/>
      <c r="N156" s="235"/>
      <c r="O156" s="235"/>
      <c r="P156" s="235"/>
      <c r="Q156" s="235"/>
    </row>
    <row r="157" spans="1:17">
      <c r="A157" s="235"/>
      <c r="B157" s="235"/>
      <c r="C157" s="235"/>
      <c r="D157" s="235"/>
      <c r="E157" s="235"/>
      <c r="F157" s="235"/>
      <c r="G157" s="235"/>
      <c r="H157" s="235"/>
      <c r="I157" s="235"/>
      <c r="J157" s="235"/>
      <c r="K157" s="235"/>
      <c r="L157" s="235"/>
      <c r="M157" s="235"/>
      <c r="N157" s="235"/>
      <c r="O157" s="235"/>
      <c r="P157" s="235"/>
      <c r="Q157" s="235"/>
    </row>
    <row r="158" spans="1:17">
      <c r="A158" s="235"/>
      <c r="B158" s="235"/>
      <c r="C158" s="235"/>
      <c r="D158" s="235"/>
      <c r="E158" s="235"/>
      <c r="F158" s="235"/>
      <c r="G158" s="235"/>
      <c r="H158" s="235"/>
      <c r="I158" s="235"/>
      <c r="J158" s="235"/>
      <c r="K158" s="235"/>
      <c r="L158" s="235"/>
      <c r="M158" s="235"/>
      <c r="N158" s="235"/>
      <c r="O158" s="235"/>
      <c r="P158" s="235"/>
      <c r="Q158" s="235"/>
    </row>
    <row r="159" spans="1:17">
      <c r="A159" s="235"/>
      <c r="B159" s="235"/>
      <c r="C159" s="235"/>
      <c r="D159" s="235"/>
      <c r="E159" s="235"/>
      <c r="F159" s="235"/>
      <c r="G159" s="235"/>
      <c r="H159" s="235"/>
      <c r="I159" s="235"/>
      <c r="J159" s="235"/>
      <c r="K159" s="235"/>
      <c r="L159" s="235"/>
      <c r="M159" s="235"/>
      <c r="N159" s="235"/>
      <c r="O159" s="235"/>
      <c r="P159" s="235"/>
      <c r="Q159" s="235"/>
    </row>
    <row r="160" spans="1:17">
      <c r="A160" s="235"/>
      <c r="B160" s="235"/>
      <c r="C160" s="235"/>
      <c r="D160" s="235"/>
      <c r="E160" s="235"/>
      <c r="F160" s="235"/>
      <c r="G160" s="235"/>
      <c r="H160" s="235"/>
      <c r="I160" s="235"/>
      <c r="J160" s="235"/>
      <c r="K160" s="235"/>
      <c r="L160" s="235"/>
      <c r="M160" s="235"/>
      <c r="N160" s="235"/>
      <c r="O160" s="235"/>
      <c r="P160" s="235"/>
      <c r="Q160" s="235"/>
    </row>
    <row r="161" spans="1:17">
      <c r="A161" s="235"/>
      <c r="B161" s="235"/>
      <c r="C161" s="235"/>
      <c r="D161" s="235"/>
      <c r="E161" s="235"/>
      <c r="F161" s="235"/>
      <c r="G161" s="235"/>
      <c r="H161" s="235"/>
      <c r="I161" s="235"/>
      <c r="J161" s="235"/>
      <c r="K161" s="235"/>
      <c r="L161" s="235"/>
      <c r="M161" s="235"/>
      <c r="N161" s="235"/>
      <c r="O161" s="235"/>
      <c r="P161" s="235"/>
      <c r="Q161" s="235"/>
    </row>
    <row r="162" spans="1:17">
      <c r="A162" s="235"/>
      <c r="B162" s="235"/>
      <c r="C162" s="235"/>
      <c r="D162" s="235"/>
      <c r="E162" s="235"/>
      <c r="F162" s="235"/>
      <c r="G162" s="235"/>
      <c r="H162" s="235"/>
      <c r="I162" s="235"/>
      <c r="J162" s="235"/>
      <c r="K162" s="235"/>
      <c r="L162" s="235"/>
      <c r="M162" s="235"/>
      <c r="N162" s="235"/>
      <c r="O162" s="235"/>
      <c r="P162" s="235"/>
      <c r="Q162" s="235"/>
    </row>
    <row r="163" spans="1:17">
      <c r="A163" s="235"/>
      <c r="B163" s="235"/>
      <c r="C163" s="235"/>
      <c r="D163" s="235"/>
      <c r="E163" s="235"/>
      <c r="F163" s="235"/>
      <c r="G163" s="235"/>
      <c r="H163" s="235"/>
      <c r="I163" s="235"/>
      <c r="J163" s="235"/>
      <c r="K163" s="235"/>
      <c r="L163" s="235"/>
      <c r="M163" s="235"/>
      <c r="N163" s="235"/>
      <c r="O163" s="235"/>
      <c r="P163" s="235"/>
      <c r="Q163" s="235"/>
    </row>
    <row r="164" spans="1:17">
      <c r="A164" s="235"/>
      <c r="B164" s="235"/>
      <c r="C164" s="235"/>
      <c r="D164" s="235"/>
      <c r="E164" s="235"/>
      <c r="F164" s="235"/>
      <c r="G164" s="235"/>
      <c r="H164" s="235"/>
      <c r="I164" s="235"/>
      <c r="J164" s="235"/>
      <c r="K164" s="235"/>
      <c r="L164" s="235"/>
      <c r="M164" s="235"/>
      <c r="N164" s="235"/>
      <c r="O164" s="235"/>
      <c r="P164" s="235"/>
      <c r="Q164" s="235"/>
    </row>
    <row r="165" spans="1:17">
      <c r="A165" s="235"/>
      <c r="B165" s="235"/>
      <c r="C165" s="235"/>
      <c r="D165" s="235"/>
      <c r="E165" s="235"/>
      <c r="F165" s="235"/>
      <c r="G165" s="235"/>
      <c r="H165" s="235"/>
      <c r="I165" s="235"/>
      <c r="J165" s="235"/>
      <c r="K165" s="235"/>
      <c r="L165" s="235"/>
      <c r="M165" s="235"/>
      <c r="N165" s="235"/>
      <c r="O165" s="235"/>
      <c r="P165" s="235"/>
      <c r="Q165" s="235"/>
    </row>
    <row r="166" spans="1:17">
      <c r="A166" s="235"/>
      <c r="B166" s="235"/>
      <c r="C166" s="235"/>
      <c r="D166" s="235"/>
      <c r="E166" s="235"/>
      <c r="F166" s="235"/>
      <c r="G166" s="235"/>
      <c r="H166" s="235"/>
      <c r="I166" s="235"/>
      <c r="J166" s="235"/>
      <c r="K166" s="235"/>
      <c r="L166" s="235"/>
      <c r="M166" s="235"/>
      <c r="N166" s="235"/>
      <c r="O166" s="235"/>
      <c r="P166" s="235"/>
      <c r="Q166" s="235"/>
    </row>
    <row r="167" spans="1:17">
      <c r="A167" s="235"/>
      <c r="B167" s="235"/>
      <c r="C167" s="235"/>
      <c r="D167" s="235"/>
      <c r="E167" s="235"/>
      <c r="F167" s="235"/>
      <c r="G167" s="235"/>
      <c r="H167" s="235"/>
      <c r="I167" s="235"/>
      <c r="J167" s="235"/>
      <c r="K167" s="235"/>
      <c r="L167" s="235"/>
      <c r="M167" s="235"/>
      <c r="N167" s="235"/>
      <c r="O167" s="235"/>
      <c r="P167" s="235"/>
      <c r="Q167" s="235"/>
    </row>
    <row r="168" spans="1:17">
      <c r="A168" s="235"/>
      <c r="B168" s="235"/>
      <c r="C168" s="235"/>
      <c r="D168" s="235"/>
      <c r="E168" s="235"/>
      <c r="F168" s="235"/>
      <c r="G168" s="235"/>
      <c r="H168" s="235"/>
      <c r="I168" s="235"/>
      <c r="J168" s="235"/>
      <c r="K168" s="235"/>
      <c r="L168" s="235"/>
      <c r="M168" s="235"/>
      <c r="N168" s="235"/>
      <c r="O168" s="235"/>
      <c r="P168" s="235"/>
      <c r="Q168" s="235"/>
    </row>
    <row r="169" spans="1:17">
      <c r="A169" s="235"/>
      <c r="B169" s="235"/>
      <c r="C169" s="235"/>
      <c r="D169" s="235"/>
      <c r="E169" s="235"/>
      <c r="F169" s="235"/>
      <c r="G169" s="235"/>
      <c r="H169" s="235"/>
      <c r="I169" s="235"/>
      <c r="J169" s="235"/>
      <c r="K169" s="235"/>
      <c r="L169" s="235"/>
      <c r="M169" s="235"/>
      <c r="N169" s="235"/>
      <c r="O169" s="235"/>
      <c r="P169" s="235"/>
      <c r="Q169" s="235"/>
    </row>
    <row r="170" spans="1:17">
      <c r="A170" s="235"/>
      <c r="B170" s="235"/>
      <c r="C170" s="235"/>
      <c r="D170" s="235"/>
      <c r="E170" s="235"/>
      <c r="F170" s="235"/>
      <c r="G170" s="235"/>
      <c r="H170" s="235"/>
      <c r="I170" s="235"/>
      <c r="J170" s="235"/>
      <c r="K170" s="235"/>
      <c r="L170" s="235"/>
      <c r="M170" s="235"/>
      <c r="N170" s="235"/>
      <c r="O170" s="235"/>
      <c r="P170" s="235"/>
      <c r="Q170" s="235"/>
    </row>
    <row r="171" spans="1:17">
      <c r="A171" s="235"/>
      <c r="B171" s="235"/>
      <c r="C171" s="235"/>
      <c r="D171" s="235"/>
      <c r="E171" s="235"/>
      <c r="F171" s="235"/>
      <c r="G171" s="235"/>
      <c r="H171" s="235"/>
      <c r="I171" s="235"/>
      <c r="J171" s="235"/>
      <c r="K171" s="235"/>
      <c r="L171" s="235"/>
      <c r="M171" s="235"/>
      <c r="N171" s="235"/>
      <c r="O171" s="235"/>
      <c r="P171" s="235"/>
      <c r="Q171" s="235"/>
    </row>
    <row r="172" spans="1:17">
      <c r="A172" s="235"/>
      <c r="B172" s="235"/>
      <c r="C172" s="235"/>
      <c r="D172" s="235"/>
      <c r="E172" s="235"/>
      <c r="F172" s="235"/>
      <c r="G172" s="235"/>
      <c r="H172" s="235"/>
      <c r="I172" s="235"/>
      <c r="J172" s="235"/>
      <c r="K172" s="235"/>
      <c r="L172" s="235"/>
      <c r="M172" s="235"/>
      <c r="N172" s="235"/>
      <c r="O172" s="235"/>
      <c r="P172" s="235"/>
      <c r="Q172" s="235"/>
    </row>
    <row r="173" spans="1:17">
      <c r="A173" s="235"/>
      <c r="B173" s="235"/>
      <c r="C173" s="235"/>
      <c r="D173" s="235"/>
      <c r="E173" s="235"/>
      <c r="F173" s="235"/>
      <c r="G173" s="235"/>
      <c r="H173" s="235"/>
      <c r="I173" s="235"/>
      <c r="J173" s="235"/>
      <c r="K173" s="235"/>
      <c r="L173" s="235"/>
      <c r="M173" s="235"/>
      <c r="N173" s="235"/>
      <c r="O173" s="235"/>
      <c r="P173" s="235"/>
      <c r="Q173" s="235"/>
    </row>
    <row r="174" spans="1:17">
      <c r="A174" s="235"/>
      <c r="B174" s="235"/>
      <c r="C174" s="235"/>
      <c r="D174" s="235"/>
      <c r="E174" s="235"/>
      <c r="F174" s="235"/>
      <c r="G174" s="235"/>
      <c r="H174" s="235"/>
      <c r="I174" s="235"/>
      <c r="J174" s="235"/>
      <c r="K174" s="235"/>
      <c r="L174" s="235"/>
      <c r="M174" s="235"/>
      <c r="N174" s="235"/>
      <c r="O174" s="235"/>
      <c r="P174" s="235"/>
      <c r="Q174" s="235"/>
    </row>
    <row r="175" spans="1:17">
      <c r="A175" s="235"/>
      <c r="B175" s="235"/>
      <c r="C175" s="235"/>
      <c r="D175" s="235"/>
      <c r="E175" s="235"/>
      <c r="F175" s="235"/>
      <c r="G175" s="235"/>
      <c r="H175" s="235"/>
      <c r="I175" s="235"/>
      <c r="J175" s="235"/>
      <c r="K175" s="235"/>
      <c r="L175" s="235"/>
      <c r="M175" s="235"/>
      <c r="N175" s="235"/>
      <c r="O175" s="235"/>
      <c r="P175" s="235"/>
      <c r="Q175" s="235"/>
    </row>
    <row r="176" spans="1:17">
      <c r="A176" s="235"/>
      <c r="B176" s="235"/>
      <c r="C176" s="235"/>
      <c r="D176" s="235"/>
      <c r="E176" s="235"/>
      <c r="F176" s="235"/>
      <c r="G176" s="235"/>
      <c r="H176" s="235"/>
      <c r="I176" s="235"/>
      <c r="J176" s="235"/>
      <c r="K176" s="235"/>
      <c r="L176" s="235"/>
      <c r="M176" s="235"/>
      <c r="N176" s="235"/>
      <c r="O176" s="235"/>
      <c r="P176" s="235"/>
      <c r="Q176" s="235"/>
    </row>
    <row r="177" spans="1:17">
      <c r="A177" s="235"/>
      <c r="B177" s="235"/>
      <c r="C177" s="235"/>
      <c r="D177" s="235"/>
      <c r="E177" s="235"/>
      <c r="F177" s="235"/>
      <c r="G177" s="235"/>
      <c r="H177" s="235"/>
      <c r="I177" s="235"/>
      <c r="J177" s="235"/>
      <c r="K177" s="235"/>
      <c r="L177" s="235"/>
      <c r="M177" s="235"/>
      <c r="N177" s="235"/>
      <c r="O177" s="235"/>
      <c r="P177" s="235"/>
      <c r="Q177" s="235"/>
    </row>
    <row r="178" spans="1:17">
      <c r="A178" s="235"/>
      <c r="B178" s="235"/>
      <c r="C178" s="235"/>
      <c r="D178" s="235"/>
      <c r="E178" s="235"/>
      <c r="F178" s="235"/>
      <c r="G178" s="235"/>
      <c r="H178" s="235"/>
      <c r="I178" s="235"/>
      <c r="J178" s="235"/>
      <c r="K178" s="235"/>
      <c r="L178" s="235"/>
      <c r="M178" s="235"/>
      <c r="N178" s="235"/>
      <c r="O178" s="235"/>
      <c r="P178" s="235"/>
      <c r="Q178" s="235"/>
    </row>
    <row r="179" spans="1:17">
      <c r="A179" s="235"/>
      <c r="B179" s="235"/>
      <c r="C179" s="235"/>
      <c r="D179" s="235"/>
      <c r="E179" s="235"/>
      <c r="F179" s="235"/>
      <c r="G179" s="235"/>
      <c r="H179" s="235"/>
      <c r="I179" s="235"/>
      <c r="J179" s="235"/>
      <c r="K179" s="235"/>
      <c r="L179" s="235"/>
      <c r="M179" s="235"/>
      <c r="N179" s="235"/>
      <c r="O179" s="235"/>
      <c r="P179" s="235"/>
      <c r="Q179" s="235"/>
    </row>
    <row r="180" spans="1:17">
      <c r="A180" s="235"/>
      <c r="B180" s="235"/>
      <c r="C180" s="235"/>
      <c r="D180" s="235"/>
      <c r="E180" s="235"/>
      <c r="F180" s="235"/>
      <c r="G180" s="235"/>
      <c r="H180" s="235"/>
      <c r="I180" s="235"/>
      <c r="J180" s="235"/>
      <c r="K180" s="235"/>
      <c r="L180" s="235"/>
      <c r="M180" s="235"/>
      <c r="N180" s="235"/>
      <c r="O180" s="235"/>
      <c r="P180" s="235"/>
      <c r="Q180" s="235"/>
    </row>
    <row r="181" spans="1:17">
      <c r="A181" s="235"/>
      <c r="B181" s="235"/>
      <c r="C181" s="235"/>
      <c r="D181" s="235"/>
      <c r="E181" s="235"/>
      <c r="F181" s="235"/>
      <c r="G181" s="235"/>
      <c r="H181" s="235"/>
      <c r="I181" s="235"/>
      <c r="J181" s="235"/>
      <c r="K181" s="235"/>
      <c r="L181" s="235"/>
      <c r="M181" s="235"/>
      <c r="N181" s="235"/>
      <c r="O181" s="235"/>
      <c r="P181" s="235"/>
      <c r="Q181" s="235"/>
    </row>
    <row r="182" spans="1:17">
      <c r="A182" s="235"/>
      <c r="B182" s="235"/>
      <c r="C182" s="235"/>
      <c r="D182" s="235"/>
      <c r="E182" s="235"/>
      <c r="F182" s="235"/>
      <c r="G182" s="235"/>
      <c r="H182" s="235"/>
      <c r="I182" s="235"/>
      <c r="J182" s="235"/>
      <c r="K182" s="235"/>
      <c r="L182" s="235"/>
      <c r="M182" s="235"/>
      <c r="N182" s="235"/>
      <c r="O182" s="235"/>
      <c r="P182" s="235"/>
      <c r="Q182" s="235"/>
    </row>
    <row r="183" spans="1:17">
      <c r="A183" s="235"/>
      <c r="B183" s="235"/>
      <c r="C183" s="235"/>
      <c r="D183" s="235"/>
      <c r="E183" s="235"/>
      <c r="F183" s="235"/>
      <c r="G183" s="235"/>
      <c r="H183" s="235"/>
      <c r="I183" s="235"/>
      <c r="J183" s="235"/>
      <c r="K183" s="235"/>
      <c r="L183" s="235"/>
      <c r="M183" s="235"/>
      <c r="N183" s="235"/>
      <c r="O183" s="235"/>
      <c r="P183" s="235"/>
      <c r="Q183" s="235"/>
    </row>
    <row r="184" spans="1:17">
      <c r="A184" s="235"/>
      <c r="B184" s="235"/>
      <c r="C184" s="235"/>
      <c r="D184" s="235"/>
      <c r="E184" s="235"/>
      <c r="F184" s="235"/>
      <c r="G184" s="235"/>
      <c r="H184" s="235"/>
      <c r="I184" s="235"/>
      <c r="J184" s="235"/>
      <c r="K184" s="235"/>
      <c r="L184" s="235"/>
      <c r="M184" s="235"/>
      <c r="N184" s="235"/>
      <c r="O184" s="235"/>
      <c r="P184" s="235"/>
      <c r="Q184" s="235"/>
    </row>
    <row r="185" spans="1:17">
      <c r="A185" s="235"/>
      <c r="B185" s="235"/>
      <c r="C185" s="235"/>
      <c r="D185" s="235"/>
      <c r="E185" s="235"/>
      <c r="F185" s="235"/>
      <c r="G185" s="235"/>
      <c r="H185" s="235"/>
      <c r="I185" s="235"/>
      <c r="J185" s="235"/>
      <c r="K185" s="235"/>
      <c r="L185" s="235"/>
      <c r="M185" s="235"/>
      <c r="N185" s="235"/>
      <c r="O185" s="235"/>
      <c r="P185" s="235"/>
      <c r="Q185" s="235"/>
    </row>
    <row r="186" spans="1:17">
      <c r="A186" s="235"/>
      <c r="B186" s="235"/>
      <c r="C186" s="235"/>
      <c r="D186" s="235"/>
      <c r="E186" s="235"/>
      <c r="F186" s="235"/>
      <c r="G186" s="235"/>
      <c r="H186" s="235"/>
      <c r="I186" s="235"/>
      <c r="J186" s="235"/>
      <c r="K186" s="235"/>
      <c r="L186" s="235"/>
      <c r="M186" s="235"/>
      <c r="N186" s="235"/>
      <c r="O186" s="235"/>
      <c r="P186" s="235"/>
      <c r="Q186" s="235"/>
    </row>
    <row r="187" spans="1:17">
      <c r="A187" s="235"/>
      <c r="B187" s="235"/>
      <c r="C187" s="235"/>
      <c r="D187" s="235"/>
      <c r="E187" s="235"/>
      <c r="F187" s="235"/>
      <c r="G187" s="235"/>
      <c r="H187" s="235"/>
      <c r="I187" s="235"/>
      <c r="J187" s="235"/>
      <c r="K187" s="235"/>
      <c r="L187" s="235"/>
      <c r="M187" s="235"/>
      <c r="N187" s="235"/>
      <c r="O187" s="235"/>
      <c r="P187" s="235"/>
      <c r="Q187" s="235"/>
    </row>
    <row r="188" spans="1:17">
      <c r="A188" s="235"/>
      <c r="B188" s="235"/>
      <c r="C188" s="235"/>
      <c r="D188" s="235"/>
      <c r="E188" s="235"/>
      <c r="F188" s="235"/>
      <c r="G188" s="235"/>
      <c r="H188" s="235"/>
      <c r="I188" s="235"/>
      <c r="J188" s="235"/>
      <c r="K188" s="235"/>
      <c r="L188" s="235"/>
      <c r="M188" s="235"/>
      <c r="N188" s="235"/>
      <c r="O188" s="235"/>
      <c r="P188" s="235"/>
      <c r="Q188" s="235"/>
    </row>
    <row r="189" spans="1:17">
      <c r="A189" s="235"/>
      <c r="B189" s="235"/>
      <c r="C189" s="235"/>
      <c r="D189" s="235"/>
      <c r="E189" s="235"/>
      <c r="F189" s="235"/>
      <c r="G189" s="235"/>
      <c r="H189" s="235"/>
      <c r="I189" s="235"/>
      <c r="J189" s="235"/>
      <c r="K189" s="235"/>
      <c r="L189" s="235"/>
      <c r="M189" s="235"/>
      <c r="N189" s="235"/>
      <c r="O189" s="235"/>
      <c r="P189" s="235"/>
      <c r="Q189" s="235"/>
    </row>
    <row r="190" spans="1:17">
      <c r="A190" s="235"/>
      <c r="B190" s="235"/>
      <c r="C190" s="235"/>
      <c r="D190" s="235"/>
      <c r="E190" s="235"/>
      <c r="F190" s="235"/>
      <c r="G190" s="235"/>
      <c r="H190" s="235"/>
      <c r="I190" s="235"/>
      <c r="J190" s="235"/>
      <c r="K190" s="235"/>
      <c r="L190" s="235"/>
      <c r="M190" s="235"/>
      <c r="N190" s="235"/>
      <c r="O190" s="235"/>
      <c r="P190" s="235"/>
      <c r="Q190" s="235"/>
    </row>
    <row r="191" spans="1:17">
      <c r="A191" s="235"/>
      <c r="B191" s="235"/>
      <c r="C191" s="235"/>
      <c r="D191" s="235"/>
      <c r="E191" s="235"/>
      <c r="F191" s="235"/>
      <c r="G191" s="235"/>
      <c r="H191" s="235"/>
      <c r="I191" s="235"/>
      <c r="J191" s="235"/>
      <c r="K191" s="235"/>
      <c r="L191" s="235"/>
      <c r="M191" s="235"/>
      <c r="N191" s="235"/>
      <c r="O191" s="235"/>
      <c r="P191" s="235"/>
      <c r="Q191" s="235"/>
    </row>
    <row r="192" spans="1:17">
      <c r="A192" s="235"/>
      <c r="B192" s="235"/>
      <c r="C192" s="235"/>
      <c r="D192" s="235"/>
      <c r="E192" s="235"/>
      <c r="F192" s="235"/>
      <c r="G192" s="235"/>
      <c r="H192" s="235"/>
      <c r="I192" s="235"/>
      <c r="J192" s="235"/>
      <c r="K192" s="235"/>
      <c r="L192" s="235"/>
      <c r="M192" s="235"/>
      <c r="N192" s="235"/>
      <c r="O192" s="235"/>
      <c r="P192" s="235"/>
      <c r="Q192" s="235"/>
    </row>
    <row r="193" spans="1:17">
      <c r="A193" s="235"/>
      <c r="B193" s="235"/>
      <c r="C193" s="235"/>
      <c r="D193" s="235"/>
      <c r="E193" s="235"/>
      <c r="F193" s="235"/>
      <c r="G193" s="235"/>
      <c r="H193" s="235"/>
      <c r="I193" s="235"/>
      <c r="J193" s="235"/>
      <c r="K193" s="235"/>
      <c r="L193" s="235"/>
      <c r="M193" s="235"/>
      <c r="N193" s="235"/>
      <c r="O193" s="235"/>
      <c r="P193" s="235"/>
      <c r="Q193" s="235"/>
    </row>
    <row r="194" spans="1:17">
      <c r="A194" s="235"/>
      <c r="B194" s="235"/>
      <c r="C194" s="235"/>
      <c r="D194" s="235"/>
      <c r="E194" s="235"/>
      <c r="F194" s="235"/>
      <c r="G194" s="235"/>
      <c r="H194" s="235"/>
      <c r="I194" s="235"/>
      <c r="J194" s="235"/>
      <c r="K194" s="235"/>
      <c r="L194" s="235"/>
      <c r="M194" s="235"/>
      <c r="N194" s="235"/>
      <c r="O194" s="235"/>
      <c r="P194" s="235"/>
      <c r="Q194" s="235"/>
    </row>
    <row r="195" spans="1:17">
      <c r="A195" s="235"/>
      <c r="B195" s="235"/>
      <c r="C195" s="235"/>
      <c r="D195" s="235"/>
      <c r="E195" s="235"/>
      <c r="F195" s="235"/>
      <c r="G195" s="235"/>
      <c r="H195" s="235"/>
      <c r="I195" s="235"/>
      <c r="J195" s="235"/>
      <c r="K195" s="235"/>
      <c r="L195" s="235"/>
      <c r="M195" s="235"/>
      <c r="N195" s="235"/>
      <c r="O195" s="235"/>
      <c r="P195" s="235"/>
      <c r="Q195" s="235"/>
    </row>
    <row r="196" spans="1:17">
      <c r="A196" s="235"/>
      <c r="B196" s="235"/>
      <c r="C196" s="235"/>
      <c r="D196" s="235"/>
      <c r="E196" s="235"/>
      <c r="F196" s="235"/>
      <c r="G196" s="235"/>
      <c r="H196" s="235"/>
      <c r="I196" s="235"/>
      <c r="J196" s="235"/>
      <c r="K196" s="235"/>
      <c r="L196" s="235"/>
      <c r="M196" s="235"/>
      <c r="N196" s="235"/>
      <c r="O196" s="235"/>
      <c r="P196" s="235"/>
      <c r="Q196" s="235"/>
    </row>
    <row r="197" spans="1:17">
      <c r="A197" s="235"/>
      <c r="B197" s="235"/>
      <c r="C197" s="235"/>
      <c r="D197" s="235"/>
      <c r="E197" s="235"/>
      <c r="F197" s="235"/>
      <c r="G197" s="235"/>
      <c r="H197" s="235"/>
      <c r="I197" s="235"/>
      <c r="J197" s="235"/>
      <c r="K197" s="235"/>
      <c r="L197" s="235"/>
      <c r="M197" s="235"/>
      <c r="N197" s="235"/>
      <c r="O197" s="235"/>
      <c r="P197" s="235"/>
      <c r="Q197" s="235"/>
    </row>
    <row r="198" spans="1:17">
      <c r="A198" s="235"/>
      <c r="B198" s="235"/>
      <c r="C198" s="235"/>
      <c r="D198" s="235"/>
      <c r="E198" s="235"/>
      <c r="F198" s="235"/>
      <c r="G198" s="235"/>
      <c r="H198" s="235"/>
      <c r="I198" s="235"/>
      <c r="J198" s="235"/>
      <c r="K198" s="235"/>
      <c r="L198" s="235"/>
      <c r="M198" s="235"/>
      <c r="N198" s="235"/>
      <c r="O198" s="235"/>
      <c r="P198" s="235"/>
      <c r="Q198" s="235"/>
    </row>
    <row r="199" spans="1:17">
      <c r="A199" s="235"/>
      <c r="B199" s="235"/>
      <c r="C199" s="235"/>
      <c r="D199" s="235"/>
      <c r="E199" s="235"/>
      <c r="F199" s="235"/>
      <c r="G199" s="235"/>
      <c r="H199" s="235"/>
      <c r="I199" s="235"/>
      <c r="J199" s="235"/>
      <c r="K199" s="235"/>
      <c r="L199" s="235"/>
      <c r="M199" s="235"/>
      <c r="N199" s="235"/>
      <c r="O199" s="235"/>
      <c r="P199" s="235"/>
      <c r="Q199" s="235"/>
    </row>
    <row r="200" spans="1:17">
      <c r="A200" s="235"/>
      <c r="B200" s="235"/>
      <c r="C200" s="235"/>
      <c r="D200" s="235"/>
      <c r="E200" s="235"/>
      <c r="F200" s="235"/>
      <c r="G200" s="235"/>
      <c r="H200" s="235"/>
      <c r="I200" s="235"/>
      <c r="J200" s="235"/>
      <c r="K200" s="235"/>
      <c r="L200" s="235"/>
      <c r="M200" s="235"/>
      <c r="N200" s="235"/>
      <c r="O200" s="235"/>
      <c r="P200" s="235"/>
      <c r="Q200" s="235"/>
    </row>
    <row r="201" spans="1:17">
      <c r="A201" s="235"/>
      <c r="B201" s="235"/>
      <c r="C201" s="235"/>
      <c r="D201" s="235"/>
      <c r="E201" s="235"/>
      <c r="F201" s="235"/>
      <c r="G201" s="235"/>
      <c r="H201" s="235"/>
      <c r="I201" s="235"/>
      <c r="J201" s="235"/>
      <c r="K201" s="235"/>
      <c r="L201" s="235"/>
      <c r="M201" s="235"/>
      <c r="N201" s="235"/>
      <c r="O201" s="235"/>
      <c r="P201" s="235"/>
      <c r="Q201" s="235"/>
    </row>
    <row r="202" spans="1:17">
      <c r="A202" s="235"/>
      <c r="B202" s="235"/>
      <c r="C202" s="235"/>
      <c r="D202" s="235"/>
      <c r="E202" s="235"/>
      <c r="F202" s="235"/>
      <c r="G202" s="235"/>
      <c r="H202" s="235"/>
      <c r="I202" s="235"/>
      <c r="J202" s="235"/>
      <c r="K202" s="235"/>
      <c r="L202" s="235"/>
      <c r="M202" s="235"/>
      <c r="N202" s="235"/>
      <c r="O202" s="235"/>
      <c r="P202" s="235"/>
      <c r="Q202" s="235"/>
    </row>
    <row r="203" spans="1:17">
      <c r="A203" s="235"/>
      <c r="B203" s="235"/>
      <c r="C203" s="235"/>
      <c r="D203" s="235"/>
      <c r="E203" s="235"/>
      <c r="F203" s="235"/>
      <c r="G203" s="235"/>
      <c r="H203" s="235"/>
      <c r="I203" s="235"/>
      <c r="J203" s="235"/>
      <c r="K203" s="235"/>
      <c r="L203" s="235"/>
      <c r="M203" s="235"/>
      <c r="N203" s="235"/>
      <c r="O203" s="235"/>
      <c r="P203" s="235"/>
      <c r="Q203" s="235"/>
    </row>
    <row r="204" spans="1:17">
      <c r="A204" s="235"/>
      <c r="B204" s="235"/>
      <c r="C204" s="235"/>
      <c r="D204" s="235"/>
      <c r="E204" s="235"/>
      <c r="F204" s="235"/>
      <c r="G204" s="235"/>
      <c r="H204" s="235"/>
      <c r="I204" s="235"/>
      <c r="J204" s="235"/>
      <c r="K204" s="235"/>
      <c r="L204" s="235"/>
      <c r="M204" s="235"/>
      <c r="N204" s="235"/>
      <c r="O204" s="235"/>
      <c r="P204" s="235"/>
      <c r="Q204" s="235"/>
    </row>
    <row r="205" spans="1:17">
      <c r="A205" s="235"/>
      <c r="B205" s="235"/>
      <c r="C205" s="235"/>
      <c r="D205" s="235"/>
      <c r="E205" s="235"/>
      <c r="F205" s="235"/>
      <c r="G205" s="235"/>
      <c r="H205" s="235"/>
      <c r="I205" s="235"/>
      <c r="J205" s="235"/>
      <c r="K205" s="235"/>
      <c r="L205" s="235"/>
      <c r="M205" s="235"/>
      <c r="N205" s="235"/>
      <c r="O205" s="235"/>
      <c r="P205" s="235"/>
      <c r="Q205" s="235"/>
    </row>
    <row r="206" spans="1:17">
      <c r="A206" s="235"/>
      <c r="B206" s="235"/>
      <c r="C206" s="235"/>
      <c r="D206" s="235"/>
      <c r="E206" s="235"/>
      <c r="F206" s="235"/>
      <c r="G206" s="235"/>
      <c r="H206" s="235"/>
      <c r="I206" s="235"/>
      <c r="J206" s="235"/>
      <c r="K206" s="235"/>
      <c r="L206" s="235"/>
      <c r="M206" s="235"/>
      <c r="N206" s="235"/>
      <c r="O206" s="235"/>
      <c r="P206" s="235"/>
      <c r="Q206" s="235"/>
    </row>
    <row r="207" spans="1:17">
      <c r="A207" s="235"/>
      <c r="B207" s="235"/>
      <c r="C207" s="235"/>
      <c r="D207" s="235"/>
      <c r="E207" s="235"/>
      <c r="F207" s="235"/>
      <c r="G207" s="235"/>
      <c r="H207" s="235"/>
      <c r="I207" s="235"/>
      <c r="J207" s="235"/>
      <c r="K207" s="235"/>
      <c r="L207" s="235"/>
      <c r="M207" s="235"/>
      <c r="N207" s="235"/>
      <c r="O207" s="235"/>
      <c r="P207" s="235"/>
      <c r="Q207" s="235"/>
    </row>
    <row r="208" spans="1:17">
      <c r="A208" s="235"/>
      <c r="B208" s="235"/>
      <c r="C208" s="235"/>
      <c r="D208" s="235"/>
      <c r="E208" s="235"/>
      <c r="F208" s="235"/>
      <c r="G208" s="235"/>
      <c r="H208" s="235"/>
      <c r="I208" s="235"/>
      <c r="J208" s="235"/>
      <c r="K208" s="235"/>
      <c r="L208" s="235"/>
      <c r="M208" s="235"/>
      <c r="N208" s="235"/>
      <c r="O208" s="235"/>
      <c r="P208" s="235"/>
      <c r="Q208" s="235"/>
    </row>
    <row r="209" spans="1:17">
      <c r="A209" s="235"/>
      <c r="B209" s="235"/>
      <c r="C209" s="235"/>
      <c r="D209" s="235"/>
      <c r="E209" s="235"/>
      <c r="F209" s="235"/>
      <c r="G209" s="235"/>
      <c r="H209" s="235"/>
      <c r="I209" s="235"/>
      <c r="J209" s="235"/>
      <c r="K209" s="235"/>
      <c r="L209" s="235"/>
      <c r="M209" s="235"/>
      <c r="N209" s="235"/>
      <c r="O209" s="235"/>
      <c r="P209" s="235"/>
      <c r="Q209" s="235"/>
    </row>
    <row r="210" spans="1:17">
      <c r="A210" s="235"/>
      <c r="B210" s="235"/>
      <c r="C210" s="235"/>
      <c r="D210" s="235"/>
      <c r="E210" s="235"/>
      <c r="F210" s="235"/>
      <c r="G210" s="235"/>
      <c r="H210" s="235"/>
      <c r="I210" s="235"/>
      <c r="J210" s="235"/>
      <c r="K210" s="235"/>
      <c r="L210" s="235"/>
      <c r="M210" s="235"/>
      <c r="N210" s="235"/>
      <c r="O210" s="235"/>
      <c r="P210" s="235"/>
      <c r="Q210" s="235"/>
    </row>
    <row r="211" spans="1:17">
      <c r="A211" s="235"/>
      <c r="B211" s="235"/>
      <c r="C211" s="235"/>
      <c r="D211" s="235"/>
      <c r="E211" s="235"/>
      <c r="F211" s="235"/>
      <c r="G211" s="235"/>
      <c r="H211" s="235"/>
      <c r="I211" s="235"/>
      <c r="J211" s="235"/>
      <c r="K211" s="235"/>
      <c r="L211" s="235"/>
      <c r="M211" s="235"/>
      <c r="N211" s="235"/>
      <c r="O211" s="235"/>
      <c r="P211" s="235"/>
      <c r="Q211" s="235"/>
    </row>
    <row r="212" spans="1:17">
      <c r="A212" s="235"/>
      <c r="B212" s="235"/>
      <c r="C212" s="235"/>
      <c r="D212" s="235"/>
      <c r="E212" s="235"/>
      <c r="F212" s="235"/>
      <c r="G212" s="235"/>
      <c r="H212" s="235"/>
      <c r="I212" s="235"/>
      <c r="J212" s="235"/>
      <c r="K212" s="235"/>
      <c r="L212" s="235"/>
      <c r="M212" s="235"/>
      <c r="N212" s="235"/>
      <c r="O212" s="235"/>
      <c r="P212" s="235"/>
      <c r="Q212" s="235"/>
    </row>
    <row r="213" spans="1:17">
      <c r="A213" s="235"/>
      <c r="B213" s="235"/>
      <c r="C213" s="235"/>
      <c r="D213" s="235"/>
      <c r="E213" s="235"/>
      <c r="F213" s="235"/>
      <c r="G213" s="235"/>
      <c r="H213" s="235"/>
      <c r="I213" s="235"/>
      <c r="J213" s="235"/>
      <c r="K213" s="235"/>
      <c r="L213" s="235"/>
      <c r="M213" s="235"/>
      <c r="N213" s="235"/>
      <c r="O213" s="235"/>
      <c r="P213" s="235"/>
      <c r="Q213" s="235"/>
    </row>
    <row r="214" spans="1:17">
      <c r="A214" s="235"/>
      <c r="B214" s="235"/>
      <c r="C214" s="235"/>
      <c r="D214" s="235"/>
      <c r="E214" s="235"/>
      <c r="F214" s="235"/>
      <c r="G214" s="235"/>
      <c r="H214" s="235"/>
      <c r="I214" s="235"/>
      <c r="J214" s="235"/>
      <c r="K214" s="235"/>
      <c r="L214" s="235"/>
      <c r="M214" s="235"/>
      <c r="N214" s="235"/>
      <c r="O214" s="235"/>
      <c r="P214" s="235"/>
      <c r="Q214" s="235"/>
    </row>
    <row r="215" spans="1:17">
      <c r="A215" s="235"/>
      <c r="B215" s="235"/>
      <c r="C215" s="235"/>
      <c r="D215" s="235"/>
      <c r="E215" s="235"/>
      <c r="F215" s="235"/>
      <c r="G215" s="235"/>
      <c r="H215" s="235"/>
      <c r="I215" s="235"/>
      <c r="J215" s="235"/>
      <c r="K215" s="235"/>
      <c r="L215" s="235"/>
      <c r="M215" s="235"/>
      <c r="N215" s="235"/>
      <c r="O215" s="235"/>
      <c r="P215" s="235"/>
      <c r="Q215" s="235"/>
    </row>
    <row r="216" spans="1:17">
      <c r="A216" s="235"/>
      <c r="B216" s="235"/>
      <c r="C216" s="235"/>
      <c r="D216" s="235"/>
      <c r="E216" s="235"/>
      <c r="F216" s="235"/>
      <c r="G216" s="235"/>
      <c r="H216" s="235"/>
      <c r="I216" s="235"/>
      <c r="J216" s="235"/>
      <c r="K216" s="235"/>
      <c r="L216" s="235"/>
      <c r="M216" s="235"/>
      <c r="N216" s="235"/>
      <c r="O216" s="235"/>
      <c r="P216" s="235"/>
      <c r="Q216" s="235"/>
    </row>
    <row r="217" spans="1:17">
      <c r="A217" s="235"/>
      <c r="B217" s="235"/>
      <c r="C217" s="235"/>
      <c r="D217" s="235"/>
      <c r="E217" s="235"/>
      <c r="F217" s="235"/>
      <c r="G217" s="235"/>
      <c r="H217" s="235"/>
      <c r="I217" s="235"/>
      <c r="J217" s="235"/>
      <c r="K217" s="235"/>
      <c r="L217" s="235"/>
      <c r="M217" s="235"/>
      <c r="N217" s="235"/>
      <c r="O217" s="235"/>
      <c r="P217" s="235"/>
      <c r="Q217" s="235"/>
    </row>
    <row r="218" spans="1:17">
      <c r="A218" s="235"/>
      <c r="B218" s="235"/>
      <c r="C218" s="235"/>
      <c r="D218" s="235"/>
      <c r="E218" s="235"/>
      <c r="F218" s="235"/>
      <c r="G218" s="235"/>
      <c r="H218" s="235"/>
      <c r="I218" s="235"/>
      <c r="J218" s="235"/>
      <c r="K218" s="235"/>
      <c r="L218" s="235"/>
      <c r="M218" s="235"/>
      <c r="N218" s="235"/>
      <c r="O218" s="235"/>
      <c r="P218" s="235"/>
      <c r="Q218" s="235"/>
    </row>
    <row r="219" spans="1:17">
      <c r="A219" s="235"/>
      <c r="B219" s="235"/>
      <c r="C219" s="235"/>
      <c r="D219" s="235"/>
      <c r="E219" s="235"/>
      <c r="F219" s="235"/>
      <c r="G219" s="235"/>
      <c r="H219" s="235"/>
      <c r="I219" s="235"/>
      <c r="J219" s="235"/>
      <c r="K219" s="235"/>
      <c r="L219" s="235"/>
      <c r="M219" s="235"/>
      <c r="N219" s="235"/>
      <c r="O219" s="235"/>
      <c r="P219" s="235"/>
      <c r="Q219" s="235"/>
    </row>
    <row r="220" spans="1:17">
      <c r="A220" s="235"/>
      <c r="B220" s="235"/>
      <c r="C220" s="235"/>
      <c r="D220" s="235"/>
      <c r="E220" s="235"/>
      <c r="F220" s="235"/>
      <c r="G220" s="235"/>
      <c r="H220" s="235"/>
      <c r="I220" s="235"/>
      <c r="J220" s="235"/>
      <c r="K220" s="235"/>
      <c r="L220" s="235"/>
      <c r="M220" s="235"/>
      <c r="N220" s="235"/>
      <c r="O220" s="235"/>
      <c r="P220" s="235"/>
      <c r="Q220" s="235"/>
    </row>
    <row r="221" spans="1:17">
      <c r="A221" s="235"/>
      <c r="B221" s="235"/>
      <c r="C221" s="235"/>
      <c r="D221" s="235"/>
      <c r="E221" s="235"/>
      <c r="F221" s="235"/>
      <c r="G221" s="235"/>
      <c r="H221" s="235"/>
      <c r="I221" s="235"/>
      <c r="J221" s="235"/>
      <c r="K221" s="235"/>
      <c r="L221" s="235"/>
      <c r="M221" s="235"/>
      <c r="N221" s="235"/>
      <c r="O221" s="235"/>
      <c r="P221" s="235"/>
      <c r="Q221" s="235"/>
    </row>
    <row r="222" spans="1:17">
      <c r="A222" s="235"/>
      <c r="B222" s="235"/>
      <c r="C222" s="235"/>
      <c r="D222" s="235"/>
      <c r="E222" s="235"/>
      <c r="F222" s="235"/>
      <c r="G222" s="235"/>
      <c r="H222" s="235"/>
      <c r="I222" s="235"/>
      <c r="J222" s="235"/>
      <c r="K222" s="235"/>
      <c r="L222" s="235"/>
      <c r="M222" s="235"/>
      <c r="N222" s="235"/>
      <c r="O222" s="235"/>
      <c r="P222" s="235"/>
      <c r="Q222" s="235"/>
    </row>
    <row r="223" spans="1:17">
      <c r="A223" s="235"/>
      <c r="B223" s="235"/>
      <c r="C223" s="235"/>
      <c r="D223" s="235"/>
      <c r="E223" s="235"/>
      <c r="F223" s="235"/>
      <c r="G223" s="235"/>
      <c r="H223" s="235"/>
      <c r="I223" s="235"/>
      <c r="J223" s="235"/>
      <c r="K223" s="235"/>
      <c r="L223" s="235"/>
      <c r="M223" s="235"/>
      <c r="N223" s="235"/>
      <c r="O223" s="235"/>
      <c r="P223" s="235"/>
      <c r="Q223" s="235"/>
    </row>
    <row r="224" spans="1:17">
      <c r="A224" s="235"/>
      <c r="B224" s="235"/>
      <c r="C224" s="235"/>
      <c r="D224" s="235"/>
      <c r="E224" s="235"/>
      <c r="F224" s="235"/>
      <c r="G224" s="235"/>
      <c r="H224" s="235"/>
      <c r="I224" s="235"/>
      <c r="J224" s="235"/>
      <c r="K224" s="235"/>
      <c r="L224" s="235"/>
      <c r="M224" s="235"/>
      <c r="N224" s="235"/>
      <c r="O224" s="235"/>
      <c r="P224" s="235"/>
      <c r="Q224" s="235"/>
    </row>
    <row r="225" spans="1:17">
      <c r="A225" s="235"/>
      <c r="B225" s="235"/>
      <c r="C225" s="235"/>
      <c r="D225" s="235"/>
      <c r="E225" s="235"/>
      <c r="F225" s="235"/>
      <c r="G225" s="235"/>
      <c r="H225" s="235"/>
      <c r="I225" s="235"/>
      <c r="J225" s="235"/>
      <c r="K225" s="235"/>
      <c r="L225" s="235"/>
      <c r="M225" s="235"/>
      <c r="N225" s="235"/>
      <c r="O225" s="235"/>
      <c r="P225" s="235"/>
      <c r="Q225" s="235"/>
    </row>
    <row r="226" spans="1:17">
      <c r="A226" s="235"/>
      <c r="B226" s="235"/>
      <c r="C226" s="235"/>
      <c r="D226" s="235"/>
      <c r="E226" s="235"/>
      <c r="F226" s="235"/>
      <c r="G226" s="235"/>
      <c r="H226" s="235"/>
      <c r="I226" s="235"/>
      <c r="J226" s="235"/>
      <c r="K226" s="235"/>
      <c r="L226" s="235"/>
      <c r="M226" s="235"/>
      <c r="N226" s="235"/>
      <c r="O226" s="235"/>
      <c r="P226" s="235"/>
      <c r="Q226" s="235"/>
    </row>
    <row r="227" spans="1:17">
      <c r="A227" s="235"/>
      <c r="B227" s="235"/>
      <c r="C227" s="235"/>
      <c r="D227" s="235"/>
      <c r="E227" s="235"/>
      <c r="F227" s="235"/>
      <c r="G227" s="235"/>
      <c r="H227" s="235"/>
      <c r="I227" s="235"/>
      <c r="J227" s="235"/>
      <c r="K227" s="235"/>
      <c r="L227" s="235"/>
      <c r="M227" s="235"/>
      <c r="N227" s="235"/>
      <c r="O227" s="235"/>
      <c r="P227" s="235"/>
      <c r="Q227" s="235"/>
    </row>
    <row r="228" spans="1:17">
      <c r="A228" s="235"/>
      <c r="B228" s="235"/>
      <c r="C228" s="235"/>
      <c r="D228" s="235"/>
      <c r="E228" s="235"/>
      <c r="F228" s="235"/>
      <c r="G228" s="235"/>
      <c r="H228" s="235"/>
      <c r="I228" s="235"/>
      <c r="J228" s="235"/>
      <c r="K228" s="235"/>
      <c r="L228" s="235"/>
      <c r="M228" s="235"/>
      <c r="N228" s="235"/>
      <c r="O228" s="235"/>
      <c r="P228" s="235"/>
      <c r="Q228" s="235"/>
    </row>
    <row r="229" spans="1:17">
      <c r="A229" s="235"/>
      <c r="B229" s="235"/>
      <c r="C229" s="235"/>
      <c r="D229" s="235"/>
      <c r="E229" s="235"/>
      <c r="F229" s="235"/>
      <c r="G229" s="235"/>
      <c r="H229" s="235"/>
      <c r="I229" s="235"/>
      <c r="J229" s="235"/>
      <c r="K229" s="235"/>
      <c r="L229" s="235"/>
      <c r="M229" s="235"/>
      <c r="N229" s="235"/>
      <c r="O229" s="235"/>
      <c r="P229" s="235"/>
      <c r="Q229" s="235"/>
    </row>
    <row r="230" spans="1:17">
      <c r="A230" s="235"/>
      <c r="B230" s="235"/>
      <c r="C230" s="235"/>
      <c r="D230" s="235"/>
      <c r="E230" s="235"/>
      <c r="F230" s="235"/>
      <c r="G230" s="235"/>
      <c r="H230" s="235"/>
      <c r="I230" s="235"/>
      <c r="J230" s="235"/>
      <c r="K230" s="235"/>
      <c r="L230" s="235"/>
      <c r="M230" s="235"/>
      <c r="N230" s="235"/>
      <c r="O230" s="235"/>
      <c r="P230" s="235"/>
      <c r="Q230" s="235"/>
    </row>
    <row r="231" spans="1:17">
      <c r="A231" s="235"/>
      <c r="B231" s="235"/>
      <c r="C231" s="235"/>
      <c r="D231" s="235"/>
      <c r="E231" s="235"/>
      <c r="F231" s="235"/>
      <c r="G231" s="235"/>
      <c r="H231" s="235"/>
      <c r="I231" s="235"/>
      <c r="J231" s="235"/>
      <c r="K231" s="235"/>
      <c r="L231" s="235"/>
      <c r="M231" s="235"/>
      <c r="N231" s="235"/>
      <c r="O231" s="235"/>
      <c r="P231" s="235"/>
      <c r="Q231" s="235"/>
    </row>
    <row r="232" spans="1:17">
      <c r="A232" s="235"/>
      <c r="B232" s="235"/>
      <c r="C232" s="235"/>
      <c r="D232" s="235"/>
      <c r="E232" s="235"/>
      <c r="F232" s="235"/>
      <c r="G232" s="235"/>
      <c r="H232" s="235"/>
      <c r="I232" s="235"/>
      <c r="J232" s="235"/>
      <c r="K232" s="235"/>
      <c r="L232" s="235"/>
      <c r="M232" s="235"/>
      <c r="N232" s="235"/>
      <c r="O232" s="235"/>
      <c r="P232" s="235"/>
      <c r="Q232" s="235"/>
    </row>
    <row r="233" spans="1:17">
      <c r="A233" s="235"/>
      <c r="B233" s="235"/>
      <c r="C233" s="235"/>
      <c r="D233" s="235"/>
      <c r="E233" s="235"/>
      <c r="F233" s="235"/>
      <c r="G233" s="235"/>
      <c r="H233" s="235"/>
      <c r="I233" s="235"/>
      <c r="J233" s="235"/>
      <c r="K233" s="235"/>
      <c r="L233" s="235"/>
      <c r="M233" s="235"/>
      <c r="N233" s="235"/>
      <c r="O233" s="235"/>
      <c r="P233" s="235"/>
      <c r="Q233" s="235"/>
    </row>
    <row r="234" spans="1:17">
      <c r="A234" s="235"/>
      <c r="B234" s="235"/>
      <c r="C234" s="235"/>
      <c r="D234" s="235"/>
      <c r="E234" s="235"/>
      <c r="F234" s="235"/>
      <c r="G234" s="235"/>
      <c r="H234" s="235"/>
      <c r="I234" s="235"/>
      <c r="J234" s="235"/>
      <c r="K234" s="235"/>
      <c r="L234" s="235"/>
      <c r="M234" s="235"/>
      <c r="N234" s="235"/>
      <c r="O234" s="235"/>
      <c r="P234" s="235"/>
      <c r="Q234" s="235"/>
    </row>
    <row r="235" spans="1:17">
      <c r="A235" s="235"/>
      <c r="B235" s="235"/>
      <c r="C235" s="235"/>
      <c r="D235" s="235"/>
      <c r="E235" s="235"/>
      <c r="F235" s="235"/>
      <c r="G235" s="235"/>
      <c r="H235" s="235"/>
      <c r="I235" s="235"/>
      <c r="J235" s="235"/>
      <c r="K235" s="235"/>
      <c r="L235" s="235"/>
      <c r="M235" s="235"/>
      <c r="N235" s="235"/>
      <c r="O235" s="235"/>
      <c r="P235" s="235"/>
      <c r="Q235" s="235"/>
    </row>
    <row r="236" spans="1:17">
      <c r="A236" s="235"/>
      <c r="B236" s="235"/>
      <c r="C236" s="235"/>
      <c r="D236" s="235"/>
      <c r="E236" s="235"/>
      <c r="F236" s="235"/>
      <c r="G236" s="235"/>
      <c r="H236" s="235"/>
      <c r="I236" s="235"/>
      <c r="J236" s="235"/>
      <c r="K236" s="235"/>
      <c r="L236" s="235"/>
      <c r="M236" s="235"/>
      <c r="N236" s="235"/>
      <c r="O236" s="235"/>
      <c r="P236" s="235"/>
      <c r="Q236" s="235"/>
    </row>
    <row r="237" spans="1:17">
      <c r="A237" s="235"/>
      <c r="B237" s="235"/>
      <c r="C237" s="235"/>
      <c r="D237" s="235"/>
      <c r="E237" s="235"/>
      <c r="F237" s="235"/>
      <c r="G237" s="235"/>
      <c r="H237" s="235"/>
      <c r="I237" s="235"/>
      <c r="J237" s="235"/>
      <c r="K237" s="235"/>
      <c r="L237" s="235"/>
      <c r="M237" s="235"/>
      <c r="N237" s="235"/>
      <c r="O237" s="235"/>
      <c r="P237" s="235"/>
      <c r="Q237" s="235"/>
    </row>
    <row r="238" spans="1:17">
      <c r="A238" s="235"/>
      <c r="B238" s="235"/>
      <c r="C238" s="235"/>
      <c r="D238" s="235"/>
      <c r="E238" s="235"/>
      <c r="F238" s="235"/>
      <c r="G238" s="235"/>
      <c r="H238" s="235"/>
      <c r="I238" s="235"/>
      <c r="J238" s="235"/>
      <c r="K238" s="235"/>
      <c r="L238" s="235"/>
      <c r="M238" s="235"/>
      <c r="N238" s="235"/>
      <c r="O238" s="235"/>
      <c r="P238" s="235"/>
      <c r="Q238" s="235"/>
    </row>
    <row r="239" spans="1:17">
      <c r="A239" s="235"/>
      <c r="B239" s="235"/>
      <c r="C239" s="235"/>
      <c r="D239" s="235"/>
      <c r="E239" s="235"/>
      <c r="F239" s="235"/>
      <c r="G239" s="235"/>
      <c r="H239" s="235"/>
      <c r="I239" s="235"/>
      <c r="J239" s="235"/>
      <c r="K239" s="235"/>
      <c r="L239" s="235"/>
      <c r="M239" s="235"/>
      <c r="N239" s="235"/>
      <c r="O239" s="235"/>
      <c r="P239" s="235"/>
      <c r="Q239" s="235"/>
    </row>
    <row r="240" spans="1:17">
      <c r="A240" s="235"/>
      <c r="B240" s="235"/>
      <c r="C240" s="235"/>
      <c r="D240" s="235"/>
      <c r="E240" s="235"/>
      <c r="F240" s="235"/>
      <c r="G240" s="235"/>
      <c r="H240" s="235"/>
      <c r="I240" s="235"/>
      <c r="J240" s="235"/>
      <c r="K240" s="235"/>
      <c r="L240" s="235"/>
      <c r="M240" s="235"/>
      <c r="N240" s="235"/>
      <c r="O240" s="235"/>
      <c r="P240" s="235"/>
      <c r="Q240" s="235"/>
    </row>
    <row r="241" spans="1:17">
      <c r="A241" s="235"/>
      <c r="B241" s="235"/>
      <c r="C241" s="235"/>
      <c r="D241" s="235"/>
      <c r="E241" s="235"/>
      <c r="F241" s="235"/>
      <c r="G241" s="235"/>
      <c r="H241" s="235"/>
      <c r="I241" s="235"/>
      <c r="J241" s="235"/>
      <c r="K241" s="235"/>
      <c r="L241" s="235"/>
      <c r="M241" s="235"/>
      <c r="N241" s="235"/>
      <c r="O241" s="235"/>
      <c r="P241" s="235"/>
      <c r="Q241" s="235"/>
    </row>
    <row r="242" spans="1:17">
      <c r="A242" s="235"/>
      <c r="B242" s="235"/>
      <c r="C242" s="235"/>
      <c r="D242" s="235"/>
      <c r="E242" s="235"/>
      <c r="F242" s="235"/>
      <c r="G242" s="235"/>
      <c r="H242" s="235"/>
      <c r="I242" s="235"/>
      <c r="J242" s="235"/>
      <c r="K242" s="235"/>
      <c r="L242" s="235"/>
      <c r="M242" s="235"/>
      <c r="N242" s="235"/>
      <c r="O242" s="235"/>
      <c r="P242" s="235"/>
      <c r="Q242" s="235"/>
    </row>
    <row r="243" spans="1:17">
      <c r="A243" s="235"/>
      <c r="B243" s="235"/>
      <c r="C243" s="235"/>
      <c r="D243" s="235"/>
      <c r="E243" s="235"/>
      <c r="F243" s="235"/>
      <c r="G243" s="235"/>
      <c r="H243" s="235"/>
      <c r="I243" s="235"/>
      <c r="J243" s="235"/>
      <c r="K243" s="235"/>
      <c r="L243" s="235"/>
      <c r="M243" s="235"/>
      <c r="N243" s="235"/>
      <c r="O243" s="235"/>
      <c r="P243" s="235"/>
      <c r="Q243" s="235"/>
    </row>
    <row r="244" spans="1:17">
      <c r="A244" s="235"/>
      <c r="B244" s="235"/>
      <c r="C244" s="235"/>
      <c r="D244" s="235"/>
      <c r="E244" s="235"/>
      <c r="F244" s="235"/>
      <c r="G244" s="235"/>
      <c r="H244" s="235"/>
      <c r="I244" s="235"/>
      <c r="J244" s="235"/>
      <c r="K244" s="235"/>
      <c r="L244" s="235"/>
      <c r="M244" s="235"/>
      <c r="N244" s="235"/>
      <c r="O244" s="235"/>
      <c r="P244" s="235"/>
      <c r="Q244" s="235"/>
    </row>
    <row r="245" spans="1:17">
      <c r="A245" s="235"/>
      <c r="B245" s="235"/>
      <c r="C245" s="235"/>
      <c r="D245" s="235"/>
      <c r="E245" s="235"/>
      <c r="F245" s="235"/>
      <c r="G245" s="235"/>
      <c r="H245" s="235"/>
      <c r="I245" s="235"/>
      <c r="J245" s="235"/>
      <c r="K245" s="235"/>
      <c r="L245" s="235"/>
      <c r="M245" s="235"/>
      <c r="N245" s="235"/>
      <c r="O245" s="235"/>
      <c r="P245" s="235"/>
      <c r="Q245" s="235"/>
    </row>
  </sheetData>
  <sheetProtection password="F66A" sheet="1"/>
  <printOptions horizontalCentered="1"/>
  <pageMargins left="0.39370078740157483" right="0.39370078740157483" top="0.39370078740157483" bottom="0.39370078740157483" header="0.31496062992125984" footer="0.31496062992125984"/>
  <pageSetup paperSize="9" scale="68" fitToHeight="3" orientation="portrait" r:id="rId1"/>
  <headerFooter>
    <oddFooter>&amp;LRead Users Guide for more information!&amp;C&amp;A&amp;RSeite &amp;P / &amp;N</oddFooter>
  </headerFooter>
  <rowBreaks count="1" manualBreakCount="1">
    <brk id="85"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dex">
    <tabColor theme="0" tint="-4.9989318521683403E-2"/>
    <pageSetUpPr fitToPage="1"/>
  </sheetPr>
  <dimension ref="A1:AS95"/>
  <sheetViews>
    <sheetView showRowColHeaders="0" zoomScale="85" zoomScaleNormal="85" zoomScaleSheetLayoutView="115" workbookViewId="0"/>
  </sheetViews>
  <sheetFormatPr baseColWidth="10" defaultColWidth="11.42578125" defaultRowHeight="12.75"/>
  <cols>
    <col min="1" max="1" width="5" style="39" customWidth="1"/>
    <col min="2" max="2" width="0.7109375" style="39" customWidth="1"/>
    <col min="3" max="3" width="3.5703125" style="39" customWidth="1"/>
    <col min="4" max="5" width="11.42578125" style="39"/>
    <col min="6" max="6" width="16.42578125" style="39" customWidth="1"/>
    <col min="7" max="7" width="3.140625" style="39" customWidth="1"/>
    <col min="8" max="8" width="20.7109375" style="39" customWidth="1"/>
    <col min="9" max="9" width="20.28515625" style="39" customWidth="1"/>
    <col min="10" max="11" width="20.28515625" style="878" customWidth="1"/>
    <col min="12" max="12" width="3.140625" style="878" customWidth="1"/>
    <col min="13" max="13" width="26.140625" style="878" customWidth="1"/>
    <col min="14" max="14" width="14.7109375" style="878" customWidth="1"/>
    <col min="15" max="15" width="11.42578125" style="39"/>
    <col min="16" max="16" width="6.140625" style="39" customWidth="1"/>
    <col min="17" max="17" width="9" style="39" customWidth="1"/>
    <col min="18" max="18" width="11.42578125" style="39"/>
    <col min="19" max="19" width="3.5703125" style="39" customWidth="1"/>
    <col min="20" max="20" width="0.7109375" style="39" customWidth="1"/>
    <col min="21" max="33" width="9.28515625" style="39" customWidth="1"/>
    <col min="34" max="16384" width="11.42578125" style="39"/>
  </cols>
  <sheetData>
    <row r="1" spans="1:45">
      <c r="A1" s="49"/>
      <c r="B1" s="50"/>
      <c r="C1" s="50"/>
      <c r="D1" s="50"/>
      <c r="E1" s="50"/>
      <c r="F1" s="50"/>
      <c r="G1" s="50"/>
      <c r="H1" s="50"/>
      <c r="I1" s="50"/>
      <c r="J1" s="50"/>
      <c r="K1" s="50"/>
      <c r="L1" s="50"/>
      <c r="M1" s="50"/>
      <c r="N1" s="50"/>
      <c r="O1" s="50"/>
      <c r="P1" s="50"/>
      <c r="Q1" s="50"/>
      <c r="R1" s="50"/>
      <c r="S1" s="50"/>
      <c r="T1" s="50"/>
      <c r="U1" s="50"/>
      <c r="V1" s="49"/>
      <c r="W1" s="49"/>
      <c r="X1" s="49"/>
      <c r="Y1" s="49"/>
      <c r="Z1" s="49"/>
      <c r="AA1" s="49"/>
      <c r="AB1" s="49"/>
      <c r="AC1" s="49"/>
      <c r="AD1" s="49"/>
      <c r="AE1" s="49"/>
      <c r="AF1" s="49"/>
      <c r="AG1" s="49"/>
      <c r="AH1" s="49"/>
      <c r="AI1" s="49"/>
      <c r="AJ1" s="49"/>
      <c r="AK1" s="49"/>
      <c r="AL1" s="49"/>
      <c r="AM1" s="49"/>
      <c r="AN1" s="49"/>
      <c r="AO1" s="49"/>
      <c r="AP1" s="49"/>
      <c r="AQ1" s="49"/>
      <c r="AR1" s="49"/>
      <c r="AS1" s="49"/>
    </row>
    <row r="2" spans="1:45" ht="3.75" customHeight="1">
      <c r="A2" s="49"/>
      <c r="B2" s="51"/>
      <c r="C2" s="51"/>
      <c r="D2" s="51"/>
      <c r="E2" s="51"/>
      <c r="F2" s="51"/>
      <c r="G2" s="51"/>
      <c r="H2" s="51"/>
      <c r="I2" s="51"/>
      <c r="J2" s="51"/>
      <c r="K2" s="51"/>
      <c r="L2" s="51"/>
      <c r="M2" s="51"/>
      <c r="N2" s="51"/>
      <c r="O2" s="51"/>
      <c r="P2" s="51"/>
      <c r="Q2" s="51"/>
      <c r="R2" s="51"/>
      <c r="S2" s="51"/>
      <c r="T2" s="51"/>
      <c r="U2" s="50"/>
      <c r="V2" s="49"/>
      <c r="W2" s="49"/>
      <c r="X2" s="49"/>
      <c r="Y2" s="49"/>
      <c r="Z2" s="49"/>
      <c r="AA2" s="49"/>
      <c r="AB2" s="49"/>
      <c r="AC2" s="49"/>
      <c r="AD2" s="49"/>
      <c r="AE2" s="49"/>
      <c r="AF2" s="49"/>
      <c r="AG2" s="49"/>
      <c r="AH2" s="49"/>
      <c r="AI2" s="49"/>
      <c r="AJ2" s="49"/>
      <c r="AK2" s="49"/>
      <c r="AL2" s="49"/>
      <c r="AM2" s="49"/>
      <c r="AN2" s="49"/>
      <c r="AO2" s="49"/>
      <c r="AP2" s="49"/>
      <c r="AQ2" s="49"/>
      <c r="AR2" s="49"/>
      <c r="AS2" s="49"/>
    </row>
    <row r="3" spans="1:45" ht="13.5" thickBot="1">
      <c r="A3" s="50"/>
      <c r="B3" s="51"/>
      <c r="C3" s="52"/>
      <c r="D3" s="53"/>
      <c r="E3" s="53"/>
      <c r="F3" s="53"/>
      <c r="G3" s="53"/>
      <c r="H3" s="53"/>
      <c r="I3" s="53"/>
      <c r="J3" s="1064"/>
      <c r="K3" s="1064"/>
      <c r="L3" s="1064"/>
      <c r="M3" s="1064"/>
      <c r="N3" s="1064"/>
      <c r="O3" s="53"/>
      <c r="P3" s="53"/>
      <c r="Q3" s="53"/>
      <c r="R3" s="53"/>
      <c r="S3" s="54"/>
      <c r="T3" s="51"/>
      <c r="U3" s="50"/>
      <c r="V3" s="50"/>
      <c r="W3" s="50"/>
      <c r="X3" s="50"/>
      <c r="Y3" s="50"/>
      <c r="Z3" s="50"/>
      <c r="AA3" s="50"/>
      <c r="AB3" s="50"/>
      <c r="AC3" s="50"/>
      <c r="AD3" s="50"/>
      <c r="AE3" s="50"/>
      <c r="AF3" s="50"/>
      <c r="AG3" s="50"/>
      <c r="AH3" s="50"/>
      <c r="AI3" s="50"/>
      <c r="AJ3" s="50"/>
      <c r="AK3" s="50"/>
      <c r="AL3" s="50"/>
      <c r="AM3" s="50"/>
      <c r="AN3" s="50"/>
      <c r="AO3" s="50"/>
      <c r="AP3" s="50"/>
      <c r="AQ3" s="50"/>
      <c r="AR3" s="50"/>
      <c r="AS3" s="50"/>
    </row>
    <row r="4" spans="1:45" ht="15" customHeight="1">
      <c r="A4" s="50"/>
      <c r="B4" s="51"/>
      <c r="C4" s="55"/>
      <c r="D4" s="217"/>
      <c r="E4" s="218"/>
      <c r="F4" s="218"/>
      <c r="G4" s="218"/>
      <c r="H4" s="218"/>
      <c r="I4" s="218"/>
      <c r="J4" s="218"/>
      <c r="K4" s="218"/>
      <c r="L4" s="218"/>
      <c r="M4" s="218"/>
      <c r="N4" s="218"/>
      <c r="O4" s="218"/>
      <c r="P4" s="218"/>
      <c r="Q4" s="218"/>
      <c r="R4" s="219"/>
      <c r="S4" s="56"/>
      <c r="T4" s="51"/>
      <c r="U4" s="50"/>
      <c r="V4" s="50"/>
      <c r="W4" s="50"/>
      <c r="X4" s="50"/>
      <c r="Y4" s="50"/>
      <c r="Z4" s="50"/>
      <c r="AA4" s="50"/>
      <c r="AB4" s="50"/>
      <c r="AC4" s="50"/>
      <c r="AD4" s="50"/>
      <c r="AE4" s="50"/>
      <c r="AF4" s="50"/>
      <c r="AG4" s="50"/>
      <c r="AH4" s="50"/>
      <c r="AI4" s="50"/>
      <c r="AJ4" s="50"/>
      <c r="AK4" s="50"/>
      <c r="AL4" s="50"/>
      <c r="AM4" s="50"/>
      <c r="AN4" s="50"/>
      <c r="AO4" s="50"/>
      <c r="AP4" s="50"/>
      <c r="AQ4" s="50"/>
      <c r="AR4" s="50"/>
      <c r="AS4" s="50"/>
    </row>
    <row r="5" spans="1:45" ht="21.75" customHeight="1">
      <c r="A5" s="50"/>
      <c r="B5" s="57"/>
      <c r="C5" s="55"/>
      <c r="D5" s="220"/>
      <c r="E5" s="58"/>
      <c r="F5" s="58"/>
      <c r="G5" s="58"/>
      <c r="H5" s="58"/>
      <c r="I5" s="58"/>
      <c r="J5" s="58"/>
      <c r="K5" s="58"/>
      <c r="L5" s="58"/>
      <c r="M5" s="58"/>
      <c r="N5" s="58"/>
      <c r="O5" s="60"/>
      <c r="P5" s="60"/>
      <c r="Q5" s="60"/>
      <c r="R5" s="221"/>
      <c r="S5" s="56"/>
      <c r="T5" s="57"/>
      <c r="U5" s="50"/>
      <c r="V5" s="50"/>
      <c r="W5" s="50"/>
      <c r="X5" s="50"/>
      <c r="Y5" s="50"/>
      <c r="Z5" s="50"/>
      <c r="AA5" s="50"/>
      <c r="AB5" s="50"/>
      <c r="AC5" s="50"/>
      <c r="AD5" s="50"/>
      <c r="AE5" s="50"/>
      <c r="AF5" s="50"/>
      <c r="AG5" s="50"/>
      <c r="AH5" s="50"/>
      <c r="AI5" s="50"/>
      <c r="AJ5" s="50"/>
      <c r="AK5" s="50"/>
      <c r="AL5" s="50"/>
      <c r="AM5" s="50"/>
      <c r="AN5" s="50"/>
      <c r="AO5" s="50"/>
      <c r="AP5" s="50"/>
      <c r="AQ5" s="50"/>
      <c r="AR5" s="50"/>
      <c r="AS5" s="50"/>
    </row>
    <row r="6" spans="1:45" s="878" customFormat="1" ht="27.75" customHeight="1">
      <c r="A6" s="50"/>
      <c r="B6" s="226"/>
      <c r="C6" s="216"/>
      <c r="D6" s="220"/>
      <c r="E6" s="58"/>
      <c r="F6" s="1066" t="s">
        <v>683</v>
      </c>
      <c r="G6" s="58"/>
      <c r="H6" s="58"/>
      <c r="I6" s="58"/>
      <c r="J6" s="58"/>
      <c r="K6" s="58"/>
      <c r="L6" s="58"/>
      <c r="M6" s="58"/>
      <c r="N6" s="58"/>
      <c r="O6" s="1067" t="s">
        <v>681</v>
      </c>
      <c r="P6" s="60"/>
      <c r="Q6" s="60"/>
      <c r="R6" s="221"/>
      <c r="S6" s="56"/>
      <c r="T6" s="226"/>
      <c r="U6" s="50"/>
      <c r="V6" s="244" t="s">
        <v>682</v>
      </c>
      <c r="W6" s="50"/>
      <c r="X6" s="50"/>
      <c r="Y6" s="50"/>
      <c r="Z6" s="50"/>
      <c r="AA6" s="50"/>
      <c r="AB6" s="50"/>
      <c r="AC6" s="50"/>
      <c r="AD6" s="50"/>
      <c r="AE6" s="50"/>
      <c r="AF6" s="50"/>
      <c r="AG6" s="50"/>
      <c r="AH6" s="50"/>
      <c r="AI6" s="50"/>
      <c r="AJ6" s="50"/>
      <c r="AK6" s="50"/>
      <c r="AL6" s="50"/>
      <c r="AM6" s="50"/>
      <c r="AN6" s="50"/>
      <c r="AO6" s="50"/>
      <c r="AP6" s="50"/>
      <c r="AQ6" s="50"/>
      <c r="AR6" s="50"/>
      <c r="AS6" s="50"/>
    </row>
    <row r="7" spans="1:45" ht="21.75" customHeight="1">
      <c r="A7" s="50"/>
      <c r="B7" s="51"/>
      <c r="C7" s="55"/>
      <c r="D7" s="220"/>
      <c r="E7" s="58"/>
      <c r="F7" s="59"/>
      <c r="G7" s="58"/>
      <c r="H7" s="58"/>
      <c r="I7" s="58"/>
      <c r="J7" s="58"/>
      <c r="K7" s="58"/>
      <c r="L7" s="58"/>
      <c r="M7" s="58"/>
      <c r="N7" s="58"/>
      <c r="O7" s="1067" t="s">
        <v>1059</v>
      </c>
      <c r="P7" s="125"/>
      <c r="Q7" s="60"/>
      <c r="R7" s="221"/>
      <c r="S7" s="56"/>
      <c r="T7" s="51"/>
      <c r="U7" s="50"/>
      <c r="V7" s="243" t="s">
        <v>1056</v>
      </c>
      <c r="W7" s="50"/>
      <c r="X7" s="50"/>
      <c r="Y7" s="50"/>
      <c r="Z7" s="50"/>
      <c r="AA7" s="50"/>
      <c r="AB7" s="50"/>
      <c r="AC7" s="50"/>
      <c r="AD7" s="50"/>
      <c r="AE7" s="50"/>
      <c r="AF7" s="50"/>
      <c r="AG7" s="50"/>
      <c r="AH7" s="50"/>
      <c r="AI7" s="50"/>
      <c r="AJ7" s="50"/>
      <c r="AK7" s="50"/>
      <c r="AL7" s="50"/>
      <c r="AM7" s="50"/>
      <c r="AN7" s="50"/>
      <c r="AO7" s="50"/>
      <c r="AP7" s="50"/>
      <c r="AQ7" s="50"/>
      <c r="AR7" s="50"/>
      <c r="AS7" s="50"/>
    </row>
    <row r="8" spans="1:45" ht="18" customHeight="1">
      <c r="A8" s="50"/>
      <c r="B8" s="51"/>
      <c r="C8" s="55"/>
      <c r="D8" s="220"/>
      <c r="E8" s="58"/>
      <c r="F8" s="58"/>
      <c r="G8" s="58"/>
      <c r="H8" s="58"/>
      <c r="I8" s="58"/>
      <c r="J8" s="58"/>
      <c r="K8" s="58"/>
      <c r="L8" s="58"/>
      <c r="M8" s="58"/>
      <c r="N8" s="58"/>
      <c r="O8" s="242"/>
      <c r="P8" s="60"/>
      <c r="Q8" s="60"/>
      <c r="R8" s="221"/>
      <c r="S8" s="56"/>
      <c r="T8" s="51"/>
      <c r="U8" s="50"/>
      <c r="V8" s="243"/>
      <c r="W8" s="50"/>
      <c r="X8" s="50"/>
      <c r="Y8" s="50"/>
      <c r="Z8" s="50"/>
      <c r="AA8" s="50"/>
      <c r="AB8" s="50"/>
      <c r="AC8" s="50"/>
      <c r="AD8" s="50"/>
      <c r="AE8" s="50"/>
      <c r="AF8" s="50"/>
      <c r="AG8" s="50"/>
      <c r="AH8" s="50"/>
      <c r="AI8" s="50"/>
      <c r="AJ8" s="50"/>
      <c r="AK8" s="50"/>
      <c r="AL8" s="50"/>
      <c r="AM8" s="50"/>
      <c r="AN8" s="50"/>
      <c r="AO8" s="50"/>
      <c r="AP8" s="50"/>
      <c r="AQ8" s="50"/>
      <c r="AR8" s="50"/>
      <c r="AS8" s="50"/>
    </row>
    <row r="9" spans="1:45" ht="15" customHeight="1" thickBot="1">
      <c r="A9" s="50"/>
      <c r="B9" s="51"/>
      <c r="C9" s="55"/>
      <c r="D9" s="222"/>
      <c r="E9" s="223"/>
      <c r="F9" s="223"/>
      <c r="G9" s="223"/>
      <c r="H9" s="223"/>
      <c r="I9" s="223"/>
      <c r="J9" s="223"/>
      <c r="K9" s="223"/>
      <c r="L9" s="223"/>
      <c r="M9" s="223"/>
      <c r="N9" s="223"/>
      <c r="O9" s="223"/>
      <c r="P9" s="223"/>
      <c r="Q9" s="223"/>
      <c r="R9" s="224"/>
      <c r="S9" s="56"/>
      <c r="T9" s="51"/>
      <c r="U9" s="50"/>
      <c r="V9" s="50"/>
      <c r="W9" s="50"/>
      <c r="X9" s="50"/>
      <c r="Y9" s="50"/>
      <c r="Z9" s="50"/>
      <c r="AA9" s="50"/>
      <c r="AB9" s="50"/>
      <c r="AC9" s="50"/>
      <c r="AD9" s="50"/>
      <c r="AE9" s="50"/>
      <c r="AF9" s="50"/>
      <c r="AG9" s="50"/>
      <c r="AH9" s="50"/>
      <c r="AI9" s="50"/>
      <c r="AJ9" s="50"/>
      <c r="AK9" s="50"/>
      <c r="AL9" s="50"/>
      <c r="AM9" s="50"/>
      <c r="AN9" s="50"/>
      <c r="AO9" s="50"/>
      <c r="AP9" s="50"/>
      <c r="AQ9" s="50"/>
      <c r="AR9" s="50"/>
      <c r="AS9" s="50"/>
    </row>
    <row r="10" spans="1:45" ht="16.5" customHeight="1">
      <c r="A10" s="50"/>
      <c r="B10" s="51"/>
      <c r="C10" s="55"/>
      <c r="D10" s="1068"/>
      <c r="E10" s="1069"/>
      <c r="F10" s="1069"/>
      <c r="G10" s="1070"/>
      <c r="H10" s="1071"/>
      <c r="I10" s="1071"/>
      <c r="J10" s="1071"/>
      <c r="K10" s="1071"/>
      <c r="L10" s="1071"/>
      <c r="M10" s="1071"/>
      <c r="N10" s="1071"/>
      <c r="O10" s="1072"/>
      <c r="P10" s="1073"/>
      <c r="Q10" s="1073"/>
      <c r="R10" s="1074"/>
      <c r="S10" s="907"/>
      <c r="T10" s="51"/>
      <c r="U10" s="50"/>
      <c r="V10" s="244"/>
      <c r="W10" s="50"/>
      <c r="X10" s="50"/>
      <c r="Y10" s="50"/>
      <c r="Z10" s="50"/>
      <c r="AA10" s="50"/>
      <c r="AB10" s="50"/>
      <c r="AC10" s="50"/>
      <c r="AD10" s="50"/>
      <c r="AE10" s="50"/>
      <c r="AF10" s="50"/>
      <c r="AG10" s="50"/>
      <c r="AH10" s="50"/>
      <c r="AI10" s="50"/>
      <c r="AJ10" s="50"/>
      <c r="AK10" s="50"/>
      <c r="AL10" s="50"/>
      <c r="AM10" s="50"/>
      <c r="AN10" s="50"/>
      <c r="AO10" s="50"/>
      <c r="AP10" s="50"/>
      <c r="AQ10" s="50"/>
      <c r="AR10" s="50"/>
      <c r="AS10" s="50"/>
    </row>
    <row r="11" spans="1:45" ht="20.25" customHeight="1">
      <c r="A11" s="50"/>
      <c r="B11" s="51"/>
      <c r="C11" s="55"/>
      <c r="D11" s="1068"/>
      <c r="E11" s="1075"/>
      <c r="F11" s="1076" t="s">
        <v>177</v>
      </c>
      <c r="G11" s="1075"/>
      <c r="H11" s="1077" t="str">
        <f>Name_Company</f>
        <v>WonderApp Ltd.</v>
      </c>
      <c r="I11" s="1075"/>
      <c r="J11" s="1075"/>
      <c r="K11" s="1076" t="s">
        <v>686</v>
      </c>
      <c r="L11" s="1075"/>
      <c r="M11" s="1077" t="str">
        <f>Name_Author</f>
        <v>TR</v>
      </c>
      <c r="N11" s="1075"/>
      <c r="O11" s="1075"/>
      <c r="P11" s="1075"/>
      <c r="Q11" s="1073"/>
      <c r="R11" s="1074"/>
      <c r="S11" s="907"/>
      <c r="T11" s="51"/>
      <c r="U11" s="419"/>
      <c r="V11" s="243"/>
      <c r="W11" s="50"/>
      <c r="X11" s="50"/>
      <c r="Y11" s="50"/>
      <c r="Z11" s="50"/>
      <c r="AA11" s="50"/>
      <c r="AB11" s="50"/>
      <c r="AC11" s="50"/>
      <c r="AD11" s="50"/>
      <c r="AE11" s="50"/>
      <c r="AF11" s="50"/>
      <c r="AG11" s="50"/>
      <c r="AH11" s="50"/>
      <c r="AI11" s="50"/>
      <c r="AJ11" s="50"/>
      <c r="AK11" s="50"/>
      <c r="AL11" s="50"/>
      <c r="AM11" s="50"/>
      <c r="AN11" s="50"/>
      <c r="AO11" s="50"/>
      <c r="AP11" s="50"/>
      <c r="AQ11" s="50"/>
      <c r="AR11" s="50"/>
      <c r="AS11" s="50"/>
    </row>
    <row r="12" spans="1:45" s="199" customFormat="1" ht="20.25" customHeight="1">
      <c r="A12" s="50"/>
      <c r="B12" s="51"/>
      <c r="C12" s="216"/>
      <c r="D12" s="1068"/>
      <c r="E12" s="1075"/>
      <c r="F12" s="1076" t="s">
        <v>176</v>
      </c>
      <c r="G12" s="1075"/>
      <c r="H12" s="1077" t="str">
        <f>Name_legal_form</f>
        <v>Limited</v>
      </c>
      <c r="I12" s="1075"/>
      <c r="J12" s="1075"/>
      <c r="K12" s="1076" t="s">
        <v>179</v>
      </c>
      <c r="L12" s="1075"/>
      <c r="M12" s="1077" t="str">
        <f ca="1">Name_File</f>
        <v>EFM_Digital_Economy_Free_Version (an Alex 002).xlsx</v>
      </c>
      <c r="N12" s="1075"/>
      <c r="O12" s="1075"/>
      <c r="P12" s="1075"/>
      <c r="Q12" s="1073"/>
      <c r="R12" s="1074"/>
      <c r="S12" s="907"/>
      <c r="T12" s="51"/>
      <c r="U12" s="419"/>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row>
    <row r="13" spans="1:45" ht="20.25" customHeight="1">
      <c r="A13" s="50"/>
      <c r="B13" s="51"/>
      <c r="C13" s="55"/>
      <c r="D13" s="1068"/>
      <c r="E13" s="1075"/>
      <c r="F13" s="1076" t="s">
        <v>178</v>
      </c>
      <c r="G13" s="1075"/>
      <c r="H13" s="1077" t="str">
        <f>Name_Model</f>
        <v>Fictitious 5 Year Forecast</v>
      </c>
      <c r="I13" s="1075"/>
      <c r="J13" s="1075"/>
      <c r="K13" s="1076" t="s">
        <v>181</v>
      </c>
      <c r="L13" s="1075"/>
      <c r="M13" s="1078">
        <f>Inputs!F13</f>
        <v>42750</v>
      </c>
      <c r="N13" s="1075"/>
      <c r="O13" s="1075"/>
      <c r="P13" s="1075"/>
      <c r="Q13" s="1073"/>
      <c r="R13" s="1074"/>
      <c r="S13" s="907"/>
      <c r="T13" s="51"/>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row>
    <row r="14" spans="1:45" ht="19.5" customHeight="1">
      <c r="A14" s="50"/>
      <c r="B14" s="51"/>
      <c r="C14" s="55"/>
      <c r="D14" s="1068"/>
      <c r="E14" s="1075"/>
      <c r="F14" s="1079"/>
      <c r="G14" s="1075"/>
      <c r="H14" s="1075"/>
      <c r="I14" s="1075"/>
      <c r="J14" s="1075"/>
      <c r="K14" s="1075"/>
      <c r="L14" s="1075"/>
      <c r="M14" s="1075"/>
      <c r="N14" s="1075"/>
      <c r="O14" s="1075"/>
      <c r="P14" s="1075"/>
      <c r="Q14" s="1080"/>
      <c r="R14" s="1074"/>
      <c r="S14" s="907"/>
      <c r="T14" s="51"/>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row>
    <row r="15" spans="1:45" ht="19.5" customHeight="1">
      <c r="A15" s="50"/>
      <c r="B15" s="51"/>
      <c r="C15" s="55"/>
      <c r="D15" s="1068"/>
      <c r="E15" s="1075"/>
      <c r="F15" s="1081" t="s">
        <v>684</v>
      </c>
      <c r="G15" s="1082"/>
      <c r="H15" s="1082" t="s">
        <v>1060</v>
      </c>
      <c r="I15" s="1082"/>
      <c r="J15" s="1082"/>
      <c r="K15" s="1082"/>
      <c r="L15" s="1082"/>
      <c r="M15" s="1082" t="s">
        <v>685</v>
      </c>
      <c r="N15" s="1082"/>
      <c r="O15" s="1082"/>
      <c r="P15" s="1082"/>
      <c r="Q15" s="1083"/>
      <c r="R15" s="1084"/>
      <c r="S15" s="907"/>
      <c r="T15" s="51"/>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row>
    <row r="16" spans="1:45" ht="19.5" customHeight="1">
      <c r="A16" s="50"/>
      <c r="B16" s="51"/>
      <c r="C16" s="55"/>
      <c r="D16" s="1068"/>
      <c r="E16" s="1079"/>
      <c r="F16" s="1079">
        <v>1</v>
      </c>
      <c r="G16" s="1085"/>
      <c r="H16" s="1085" t="s">
        <v>700</v>
      </c>
      <c r="I16" s="1085"/>
      <c r="J16" s="1085"/>
      <c r="K16" s="1085"/>
      <c r="L16" s="1085"/>
      <c r="M16" s="1086" t="s">
        <v>698</v>
      </c>
      <c r="N16" s="1085"/>
      <c r="O16" s="1085"/>
      <c r="P16" s="1085"/>
      <c r="Q16" s="1085"/>
      <c r="R16" s="1074"/>
      <c r="S16" s="907"/>
      <c r="T16" s="51"/>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row>
    <row r="17" spans="1:45" ht="19.5" customHeight="1">
      <c r="A17" s="50"/>
      <c r="B17" s="51"/>
      <c r="C17" s="55"/>
      <c r="D17" s="1068"/>
      <c r="E17" s="1079"/>
      <c r="F17" s="1079">
        <f>F16+1</f>
        <v>2</v>
      </c>
      <c r="G17" s="1075"/>
      <c r="H17" s="1087" t="s">
        <v>699</v>
      </c>
      <c r="I17" s="1075"/>
      <c r="J17" s="1075"/>
      <c r="K17" s="1075"/>
      <c r="L17" s="1075"/>
      <c r="M17" s="1086" t="s">
        <v>31</v>
      </c>
      <c r="N17" s="1075"/>
      <c r="O17" s="1075"/>
      <c r="P17" s="1075"/>
      <c r="Q17" s="1085"/>
      <c r="R17" s="1074"/>
      <c r="S17" s="907"/>
      <c r="T17" s="51"/>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row>
    <row r="18" spans="1:45" ht="19.5" customHeight="1">
      <c r="A18" s="50"/>
      <c r="B18" s="51"/>
      <c r="C18" s="55"/>
      <c r="D18" s="1068"/>
      <c r="E18" s="1079"/>
      <c r="F18" s="1079">
        <f t="shared" ref="F18:F36" si="0">F17+1</f>
        <v>3</v>
      </c>
      <c r="G18" s="1075"/>
      <c r="H18" s="1087" t="s">
        <v>701</v>
      </c>
      <c r="I18" s="1075"/>
      <c r="J18" s="1075"/>
      <c r="K18" s="1075"/>
      <c r="L18" s="1075"/>
      <c r="M18" s="1086" t="s">
        <v>689</v>
      </c>
      <c r="N18" s="1075"/>
      <c r="O18" s="1075"/>
      <c r="P18" s="1075"/>
      <c r="Q18" s="1085"/>
      <c r="R18" s="1074"/>
      <c r="S18" s="907"/>
      <c r="T18" s="51"/>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row>
    <row r="19" spans="1:45" ht="19.5" customHeight="1">
      <c r="A19" s="50"/>
      <c r="B19" s="51"/>
      <c r="C19" s="55"/>
      <c r="D19" s="1068"/>
      <c r="E19" s="1079"/>
      <c r="F19" s="1079">
        <f t="shared" si="0"/>
        <v>4</v>
      </c>
      <c r="G19" s="1075"/>
      <c r="H19" s="1087" t="str">
        <f>CHOOSE(language,"Profit and Loss Statement (overview)","Income Statement (overview)")</f>
        <v>Income Statement (overview)</v>
      </c>
      <c r="I19" s="1075"/>
      <c r="J19" s="1075"/>
      <c r="K19" s="1075"/>
      <c r="L19" s="1075"/>
      <c r="M19" s="1086" t="s">
        <v>690</v>
      </c>
      <c r="N19" s="1075"/>
      <c r="O19" s="1075"/>
      <c r="P19" s="1075"/>
      <c r="Q19" s="1085"/>
      <c r="R19" s="1074"/>
      <c r="S19" s="907"/>
      <c r="T19" s="51"/>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row>
    <row r="20" spans="1:45" ht="19.5" customHeight="1">
      <c r="A20" s="50"/>
      <c r="B20" s="51"/>
      <c r="C20" s="55"/>
      <c r="D20" s="1088"/>
      <c r="E20" s="1087"/>
      <c r="F20" s="1079">
        <f t="shared" si="0"/>
        <v>5</v>
      </c>
      <c r="G20" s="1085"/>
      <c r="H20" s="1087" t="s">
        <v>702</v>
      </c>
      <c r="I20" s="1085"/>
      <c r="J20" s="1085"/>
      <c r="K20" s="1085"/>
      <c r="L20" s="1085"/>
      <c r="M20" s="1086" t="s">
        <v>691</v>
      </c>
      <c r="N20" s="1085"/>
      <c r="O20" s="1085"/>
      <c r="P20" s="1085"/>
      <c r="Q20" s="1085"/>
      <c r="R20" s="1074"/>
      <c r="S20" s="907"/>
      <c r="T20" s="51"/>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row>
    <row r="21" spans="1:45" s="199" customFormat="1" ht="19.5" customHeight="1">
      <c r="A21" s="50"/>
      <c r="B21" s="51"/>
      <c r="C21" s="216"/>
      <c r="D21" s="1088"/>
      <c r="E21" s="1087"/>
      <c r="F21" s="1079">
        <f t="shared" si="0"/>
        <v>6</v>
      </c>
      <c r="G21" s="1085"/>
      <c r="H21" s="1087" t="s">
        <v>703</v>
      </c>
      <c r="I21" s="1085"/>
      <c r="J21" s="1085"/>
      <c r="K21" s="1085"/>
      <c r="L21" s="1085"/>
      <c r="M21" s="1086" t="s">
        <v>692</v>
      </c>
      <c r="N21" s="1085"/>
      <c r="O21" s="1085"/>
      <c r="P21" s="1085"/>
      <c r="Q21" s="1085"/>
      <c r="R21" s="1074"/>
      <c r="S21" s="907"/>
      <c r="T21" s="51"/>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row>
    <row r="22" spans="1:45" s="199" customFormat="1" ht="19.5" customHeight="1">
      <c r="A22" s="50"/>
      <c r="B22" s="51"/>
      <c r="C22" s="216"/>
      <c r="D22" s="1088"/>
      <c r="E22" s="1087"/>
      <c r="F22" s="1079">
        <f t="shared" si="0"/>
        <v>7</v>
      </c>
      <c r="G22" s="1075"/>
      <c r="H22" s="1087" t="s">
        <v>1047</v>
      </c>
      <c r="I22" s="1075"/>
      <c r="J22" s="1075"/>
      <c r="K22" s="1075"/>
      <c r="L22" s="1075"/>
      <c r="M22" s="1086" t="s">
        <v>1046</v>
      </c>
      <c r="N22" s="1075"/>
      <c r="O22" s="1075"/>
      <c r="P22" s="1075"/>
      <c r="Q22" s="1085"/>
      <c r="R22" s="1074"/>
      <c r="S22" s="907"/>
      <c r="T22" s="51"/>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row>
    <row r="23" spans="1:45" ht="19.5" customHeight="1">
      <c r="A23" s="50"/>
      <c r="B23" s="51"/>
      <c r="C23" s="55"/>
      <c r="D23" s="1088"/>
      <c r="E23" s="1079"/>
      <c r="F23" s="1079">
        <f t="shared" si="0"/>
        <v>8</v>
      </c>
      <c r="G23" s="1075"/>
      <c r="H23" s="1087" t="s">
        <v>704</v>
      </c>
      <c r="I23" s="1075"/>
      <c r="J23" s="1075"/>
      <c r="K23" s="1075"/>
      <c r="L23" s="1075"/>
      <c r="M23" s="1086" t="s">
        <v>693</v>
      </c>
      <c r="N23" s="1075"/>
      <c r="O23" s="1075"/>
      <c r="P23" s="1075"/>
      <c r="Q23" s="1085"/>
      <c r="R23" s="1074"/>
      <c r="S23" s="907"/>
      <c r="T23" s="51"/>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row>
    <row r="24" spans="1:45" ht="19.5" customHeight="1">
      <c r="A24" s="50"/>
      <c r="B24" s="51"/>
      <c r="C24" s="55"/>
      <c r="D24" s="1068"/>
      <c r="E24" s="1079"/>
      <c r="F24" s="1079">
        <f t="shared" si="0"/>
        <v>9</v>
      </c>
      <c r="G24" s="1075"/>
      <c r="H24" s="1087" t="s">
        <v>1048</v>
      </c>
      <c r="I24" s="1075"/>
      <c r="J24" s="1075"/>
      <c r="K24" s="1075"/>
      <c r="L24" s="1075"/>
      <c r="M24" s="1086" t="s">
        <v>962</v>
      </c>
      <c r="N24" s="1075"/>
      <c r="O24" s="1075"/>
      <c r="P24" s="1075"/>
      <c r="Q24" s="1085"/>
      <c r="R24" s="1074"/>
      <c r="S24" s="907"/>
      <c r="T24" s="51"/>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row>
    <row r="25" spans="1:45" ht="19.5" customHeight="1">
      <c r="A25" s="50"/>
      <c r="B25" s="51"/>
      <c r="C25" s="55"/>
      <c r="D25" s="1068"/>
      <c r="E25" s="1079"/>
      <c r="F25" s="1079">
        <f t="shared" si="0"/>
        <v>10</v>
      </c>
      <c r="G25" s="1075"/>
      <c r="H25" s="1087" t="s">
        <v>1051</v>
      </c>
      <c r="I25" s="1075"/>
      <c r="J25" s="1075"/>
      <c r="K25" s="1075"/>
      <c r="L25" s="1075"/>
      <c r="M25" s="1086" t="s">
        <v>963</v>
      </c>
      <c r="N25" s="1075"/>
      <c r="O25" s="1075"/>
      <c r="P25" s="1075"/>
      <c r="Q25" s="1085"/>
      <c r="R25" s="1074"/>
      <c r="S25" s="907"/>
      <c r="T25" s="51"/>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row>
    <row r="26" spans="1:45" ht="19.5" customHeight="1">
      <c r="A26" s="50"/>
      <c r="B26" s="51"/>
      <c r="C26" s="55"/>
      <c r="D26" s="1068"/>
      <c r="E26" s="1079"/>
      <c r="F26" s="1079">
        <f t="shared" si="0"/>
        <v>11</v>
      </c>
      <c r="G26" s="1075"/>
      <c r="H26" s="1087" t="s">
        <v>1050</v>
      </c>
      <c r="I26" s="1075"/>
      <c r="J26" s="1075"/>
      <c r="K26" s="1075"/>
      <c r="L26" s="1075"/>
      <c r="M26" s="1086" t="s">
        <v>964</v>
      </c>
      <c r="N26" s="1075"/>
      <c r="O26" s="1075"/>
      <c r="P26" s="1075"/>
      <c r="Q26" s="1070"/>
      <c r="R26" s="1074"/>
      <c r="S26" s="907"/>
      <c r="T26" s="51"/>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row>
    <row r="27" spans="1:45" ht="19.5" customHeight="1">
      <c r="A27" s="50"/>
      <c r="B27" s="51"/>
      <c r="C27" s="55"/>
      <c r="D27" s="1068"/>
      <c r="E27" s="1079"/>
      <c r="F27" s="1079">
        <f t="shared" si="0"/>
        <v>12</v>
      </c>
      <c r="G27" s="1075"/>
      <c r="H27" s="1087" t="s">
        <v>1049</v>
      </c>
      <c r="I27" s="1075"/>
      <c r="J27" s="1075"/>
      <c r="K27" s="1075"/>
      <c r="L27" s="1075"/>
      <c r="M27" s="1086" t="s">
        <v>965</v>
      </c>
      <c r="N27" s="1075"/>
      <c r="O27" s="1075"/>
      <c r="P27" s="1075"/>
      <c r="Q27" s="1070"/>
      <c r="R27" s="1074"/>
      <c r="S27" s="907"/>
      <c r="T27" s="51"/>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row>
    <row r="28" spans="1:45" ht="19.5" customHeight="1">
      <c r="A28" s="50"/>
      <c r="B28" s="51"/>
      <c r="C28" s="55"/>
      <c r="D28" s="1068"/>
      <c r="E28" s="1079"/>
      <c r="F28" s="1079">
        <f t="shared" si="0"/>
        <v>13</v>
      </c>
      <c r="G28" s="1075"/>
      <c r="H28" s="1087" t="s">
        <v>705</v>
      </c>
      <c r="I28" s="1075"/>
      <c r="J28" s="1075"/>
      <c r="K28" s="1075"/>
      <c r="L28" s="1075"/>
      <c r="M28" s="1086" t="s">
        <v>222</v>
      </c>
      <c r="N28" s="1075"/>
      <c r="O28" s="1075"/>
      <c r="P28" s="1075"/>
      <c r="Q28" s="1070"/>
      <c r="R28" s="1074"/>
      <c r="S28" s="907"/>
      <c r="T28" s="51"/>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row>
    <row r="29" spans="1:45" s="199" customFormat="1" ht="19.5" customHeight="1">
      <c r="A29" s="50"/>
      <c r="B29" s="51"/>
      <c r="C29" s="216"/>
      <c r="D29" s="1068"/>
      <c r="E29" s="1079"/>
      <c r="F29" s="1079">
        <f t="shared" si="0"/>
        <v>14</v>
      </c>
      <c r="G29" s="1075"/>
      <c r="H29" s="1087" t="s">
        <v>273</v>
      </c>
      <c r="I29" s="1075"/>
      <c r="J29" s="1075"/>
      <c r="K29" s="1075"/>
      <c r="L29" s="1075"/>
      <c r="M29" s="1086" t="s">
        <v>369</v>
      </c>
      <c r="N29" s="1075"/>
      <c r="O29" s="1075"/>
      <c r="P29" s="1075"/>
      <c r="Q29" s="1070"/>
      <c r="R29" s="1074"/>
      <c r="S29" s="907"/>
      <c r="T29" s="51"/>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row>
    <row r="30" spans="1:45" ht="19.5" customHeight="1">
      <c r="A30" s="50"/>
      <c r="B30" s="51"/>
      <c r="C30" s="55"/>
      <c r="D30" s="1068"/>
      <c r="E30" s="1079"/>
      <c r="F30" s="1079">
        <f t="shared" si="0"/>
        <v>15</v>
      </c>
      <c r="G30" s="1075"/>
      <c r="H30" s="1087" t="s">
        <v>706</v>
      </c>
      <c r="I30" s="1075"/>
      <c r="J30" s="1075"/>
      <c r="K30" s="1075"/>
      <c r="L30" s="1075"/>
      <c r="M30" s="1086" t="s">
        <v>694</v>
      </c>
      <c r="N30" s="1075"/>
      <c r="O30" s="1075"/>
      <c r="P30" s="1075"/>
      <c r="Q30" s="1070"/>
      <c r="R30" s="1074"/>
      <c r="S30" s="907"/>
      <c r="T30" s="51"/>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row>
    <row r="31" spans="1:45" s="199" customFormat="1" ht="19.5" customHeight="1">
      <c r="A31" s="50"/>
      <c r="B31" s="51"/>
      <c r="C31" s="216"/>
      <c r="D31" s="1068"/>
      <c r="E31" s="1079"/>
      <c r="F31" s="1079">
        <f t="shared" si="0"/>
        <v>16</v>
      </c>
      <c r="G31" s="1075"/>
      <c r="H31" s="1087" t="s">
        <v>707</v>
      </c>
      <c r="I31" s="1075"/>
      <c r="J31" s="1075"/>
      <c r="K31" s="1075"/>
      <c r="L31" s="1075"/>
      <c r="M31" s="1086" t="s">
        <v>288</v>
      </c>
      <c r="N31" s="1075"/>
      <c r="O31" s="1075"/>
      <c r="P31" s="1075"/>
      <c r="Q31" s="1070"/>
      <c r="R31" s="1074"/>
      <c r="S31" s="907"/>
      <c r="T31" s="51"/>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row>
    <row r="32" spans="1:45" ht="19.5" customHeight="1">
      <c r="A32" s="50"/>
      <c r="B32" s="51"/>
      <c r="C32" s="55"/>
      <c r="D32" s="1068"/>
      <c r="E32" s="1079"/>
      <c r="F32" s="1079">
        <f t="shared" si="0"/>
        <v>17</v>
      </c>
      <c r="G32" s="1075"/>
      <c r="H32" s="1087" t="s">
        <v>270</v>
      </c>
      <c r="I32" s="1075"/>
      <c r="J32" s="1075"/>
      <c r="K32" s="1075"/>
      <c r="L32" s="1075"/>
      <c r="M32" s="1086" t="s">
        <v>695</v>
      </c>
      <c r="N32" s="1075"/>
      <c r="O32" s="1075"/>
      <c r="P32" s="1075"/>
      <c r="Q32" s="1070"/>
      <c r="R32" s="1074"/>
      <c r="S32" s="907"/>
      <c r="T32" s="51"/>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row>
    <row r="33" spans="1:45" ht="19.5" customHeight="1">
      <c r="A33" s="50"/>
      <c r="B33" s="51"/>
      <c r="C33" s="55"/>
      <c r="D33" s="1068"/>
      <c r="E33" s="1079"/>
      <c r="F33" s="1079">
        <f t="shared" si="0"/>
        <v>18</v>
      </c>
      <c r="G33" s="1075"/>
      <c r="H33" s="1087" t="str">
        <f>CHOOSE(language,"Debtors and Creditors","Receivables and Payables")</f>
        <v>Receivables and Payables</v>
      </c>
      <c r="I33" s="1075"/>
      <c r="J33" s="1075"/>
      <c r="K33" s="1075"/>
      <c r="L33" s="1075"/>
      <c r="M33" s="1086" t="s">
        <v>696</v>
      </c>
      <c r="N33" s="1075"/>
      <c r="O33" s="1075"/>
      <c r="P33" s="1075"/>
      <c r="Q33" s="1070"/>
      <c r="R33" s="1074"/>
      <c r="S33" s="907"/>
      <c r="T33" s="51"/>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row>
    <row r="34" spans="1:45" s="878" customFormat="1" ht="19.5" customHeight="1">
      <c r="A34" s="50"/>
      <c r="B34" s="51"/>
      <c r="C34" s="216"/>
      <c r="D34" s="1068"/>
      <c r="E34" s="1079"/>
      <c r="F34" s="1079">
        <f t="shared" si="0"/>
        <v>19</v>
      </c>
      <c r="G34" s="1075"/>
      <c r="H34" s="1087" t="s">
        <v>708</v>
      </c>
      <c r="I34" s="1075"/>
      <c r="J34" s="1075"/>
      <c r="K34" s="1075"/>
      <c r="L34" s="1075"/>
      <c r="M34" s="1086" t="s">
        <v>289</v>
      </c>
      <c r="N34" s="1075"/>
      <c r="O34" s="1075"/>
      <c r="P34" s="1075"/>
      <c r="Q34" s="1070"/>
      <c r="R34" s="1074"/>
      <c r="S34" s="907"/>
      <c r="T34" s="51"/>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row>
    <row r="35" spans="1:45" s="878" customFormat="1" ht="19.5" customHeight="1">
      <c r="A35" s="50"/>
      <c r="B35" s="51"/>
      <c r="C35" s="216"/>
      <c r="D35" s="1068"/>
      <c r="E35" s="1079"/>
      <c r="F35" s="1079">
        <f t="shared" si="0"/>
        <v>20</v>
      </c>
      <c r="G35" s="1075"/>
      <c r="H35" s="1087" t="s">
        <v>709</v>
      </c>
      <c r="I35" s="1075"/>
      <c r="J35" s="1075"/>
      <c r="K35" s="1075"/>
      <c r="L35" s="1075"/>
      <c r="M35" s="1086" t="s">
        <v>24</v>
      </c>
      <c r="N35" s="1075"/>
      <c r="O35" s="1075"/>
      <c r="P35" s="1075"/>
      <c r="Q35" s="1070"/>
      <c r="R35" s="1074"/>
      <c r="S35" s="907"/>
      <c r="T35" s="51"/>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row>
    <row r="36" spans="1:45" ht="19.5" customHeight="1">
      <c r="A36" s="50"/>
      <c r="B36" s="51"/>
      <c r="C36" s="55"/>
      <c r="D36" s="1068"/>
      <c r="E36" s="1075"/>
      <c r="F36" s="1079">
        <f t="shared" si="0"/>
        <v>21</v>
      </c>
      <c r="G36" s="1075"/>
      <c r="H36" s="1087" t="s">
        <v>710</v>
      </c>
      <c r="I36" s="1075"/>
      <c r="J36" s="1075"/>
      <c r="K36" s="1075"/>
      <c r="L36" s="1075"/>
      <c r="M36" s="1086" t="s">
        <v>697</v>
      </c>
      <c r="N36" s="1075"/>
      <c r="O36" s="1075"/>
      <c r="P36" s="1075"/>
      <c r="Q36" s="1070"/>
      <c r="R36" s="1074"/>
      <c r="S36" s="907"/>
      <c r="T36" s="51"/>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row>
    <row r="37" spans="1:45" ht="19.5" customHeight="1" thickBot="1">
      <c r="A37" s="50"/>
      <c r="B37" s="51"/>
      <c r="C37" s="55"/>
      <c r="D37" s="1089"/>
      <c r="E37" s="1090"/>
      <c r="F37" s="1090"/>
      <c r="G37" s="1090"/>
      <c r="H37" s="1090"/>
      <c r="I37" s="1090"/>
      <c r="J37" s="1090"/>
      <c r="K37" s="1090"/>
      <c r="L37" s="1090"/>
      <c r="M37" s="1090"/>
      <c r="N37" s="1090"/>
      <c r="O37" s="1090"/>
      <c r="P37" s="1091"/>
      <c r="Q37" s="1091"/>
      <c r="R37" s="1092"/>
      <c r="S37" s="907"/>
      <c r="T37" s="51"/>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row>
    <row r="38" spans="1:45" ht="18.75" customHeight="1" thickBot="1">
      <c r="A38" s="50"/>
      <c r="B38" s="51"/>
      <c r="C38" s="55"/>
      <c r="D38" s="910"/>
      <c r="E38" s="911" t="s">
        <v>687</v>
      </c>
      <c r="F38" s="911"/>
      <c r="G38" s="911"/>
      <c r="H38" s="911"/>
      <c r="I38" s="911"/>
      <c r="J38" s="911"/>
      <c r="K38" s="911"/>
      <c r="L38" s="911"/>
      <c r="M38" s="911"/>
      <c r="N38" s="911"/>
      <c r="O38" s="911"/>
      <c r="P38" s="911"/>
      <c r="Q38" s="911"/>
      <c r="R38" s="912"/>
      <c r="S38" s="907"/>
      <c r="T38" s="51"/>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row>
    <row r="39" spans="1:45" ht="18.75" customHeight="1">
      <c r="A39" s="50"/>
      <c r="B39" s="51"/>
      <c r="C39" s="55"/>
      <c r="D39" s="913"/>
      <c r="E39" s="914"/>
      <c r="F39" s="914"/>
      <c r="G39" s="914"/>
      <c r="H39" s="914"/>
      <c r="I39" s="914"/>
      <c r="J39" s="914"/>
      <c r="K39" s="914"/>
      <c r="L39" s="914"/>
      <c r="M39" s="914"/>
      <c r="N39" s="914"/>
      <c r="O39" s="914"/>
      <c r="P39" s="915"/>
      <c r="Q39" s="915"/>
      <c r="R39" s="916"/>
      <c r="S39" s="907"/>
      <c r="T39" s="51"/>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row>
    <row r="40" spans="1:45" ht="18.75" customHeight="1">
      <c r="A40" s="50"/>
      <c r="B40" s="51"/>
      <c r="C40" s="55"/>
      <c r="D40" s="906"/>
      <c r="E40" s="542"/>
      <c r="F40" s="908"/>
      <c r="G40" s="908"/>
      <c r="H40" s="908"/>
      <c r="I40" s="908"/>
      <c r="J40" s="908"/>
      <c r="K40" s="908"/>
      <c r="L40" s="908"/>
      <c r="M40" s="908"/>
      <c r="N40" s="908"/>
      <c r="O40" s="908"/>
      <c r="P40" s="908"/>
      <c r="Q40" s="908"/>
      <c r="R40" s="390"/>
      <c r="S40" s="907"/>
      <c r="T40" s="51"/>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row>
    <row r="41" spans="1:45" ht="18.75" customHeight="1">
      <c r="A41" s="50"/>
      <c r="B41" s="51"/>
      <c r="C41" s="55"/>
      <c r="D41" s="906"/>
      <c r="E41" s="917"/>
      <c r="F41" s="908"/>
      <c r="G41" s="908"/>
      <c r="H41" s="908"/>
      <c r="I41" s="908"/>
      <c r="J41" s="908"/>
      <c r="K41" s="908"/>
      <c r="L41" s="908"/>
      <c r="M41" s="908"/>
      <c r="N41" s="908"/>
      <c r="O41" s="908"/>
      <c r="P41" s="908"/>
      <c r="Q41" s="908"/>
      <c r="R41" s="390"/>
      <c r="S41" s="907"/>
      <c r="T41" s="51"/>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row>
    <row r="42" spans="1:45" ht="18.75" customHeight="1">
      <c r="A42" s="50"/>
      <c r="B42" s="51"/>
      <c r="C42" s="55"/>
      <c r="D42" s="906"/>
      <c r="E42" s="917"/>
      <c r="F42" s="908"/>
      <c r="G42" s="908"/>
      <c r="H42" s="908"/>
      <c r="I42" s="908"/>
      <c r="J42" s="908"/>
      <c r="K42" s="908"/>
      <c r="L42" s="908"/>
      <c r="M42" s="908"/>
      <c r="N42" s="908"/>
      <c r="O42" s="908"/>
      <c r="P42" s="908"/>
      <c r="Q42" s="908"/>
      <c r="R42" s="390"/>
      <c r="S42" s="907"/>
      <c r="T42" s="51"/>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row>
    <row r="43" spans="1:45" ht="18.75" customHeight="1">
      <c r="A43" s="50"/>
      <c r="B43" s="51"/>
      <c r="C43" s="55"/>
      <c r="D43" s="906"/>
      <c r="E43" s="917"/>
      <c r="F43" s="908"/>
      <c r="G43" s="908"/>
      <c r="H43" s="908"/>
      <c r="I43" s="908"/>
      <c r="J43" s="908"/>
      <c r="K43" s="908"/>
      <c r="L43" s="908"/>
      <c r="M43" s="908"/>
      <c r="N43" s="908"/>
      <c r="O43" s="908"/>
      <c r="P43" s="908"/>
      <c r="Q43" s="908"/>
      <c r="R43" s="390"/>
      <c r="S43" s="907"/>
      <c r="T43" s="51"/>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row>
    <row r="44" spans="1:45" ht="18.75" customHeight="1">
      <c r="A44" s="50"/>
      <c r="B44" s="51"/>
      <c r="C44" s="55"/>
      <c r="D44" s="906"/>
      <c r="E44" s="917"/>
      <c r="F44" s="908"/>
      <c r="G44" s="908"/>
      <c r="H44" s="908"/>
      <c r="I44" s="908"/>
      <c r="J44" s="908"/>
      <c r="K44" s="908"/>
      <c r="L44" s="908"/>
      <c r="M44" s="908"/>
      <c r="N44" s="908"/>
      <c r="O44" s="908"/>
      <c r="P44" s="908"/>
      <c r="Q44" s="908"/>
      <c r="R44" s="390"/>
      <c r="S44" s="907"/>
      <c r="T44" s="51"/>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row>
    <row r="45" spans="1:45" ht="18.75" customHeight="1" thickBot="1">
      <c r="A45" s="50"/>
      <c r="B45" s="51"/>
      <c r="C45" s="55"/>
      <c r="D45" s="909"/>
      <c r="E45" s="391"/>
      <c r="F45" s="391"/>
      <c r="G45" s="391"/>
      <c r="H45" s="918"/>
      <c r="I45" s="391"/>
      <c r="J45" s="391"/>
      <c r="K45" s="391"/>
      <c r="L45" s="391"/>
      <c r="M45" s="391"/>
      <c r="N45" s="391"/>
      <c r="O45" s="391"/>
      <c r="P45" s="391"/>
      <c r="Q45" s="391"/>
      <c r="R45" s="392"/>
      <c r="S45" s="907"/>
      <c r="T45" s="51"/>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row>
    <row r="46" spans="1:45" ht="18.75" customHeight="1" thickBot="1">
      <c r="A46" s="50"/>
      <c r="B46" s="51"/>
      <c r="C46" s="55"/>
      <c r="D46" s="910"/>
      <c r="E46" s="911" t="s">
        <v>688</v>
      </c>
      <c r="F46" s="919"/>
      <c r="G46" s="919"/>
      <c r="H46" s="920"/>
      <c r="I46" s="919"/>
      <c r="J46" s="919"/>
      <c r="K46" s="919"/>
      <c r="L46" s="919"/>
      <c r="M46" s="919"/>
      <c r="N46" s="919"/>
      <c r="O46" s="919"/>
      <c r="P46" s="919"/>
      <c r="Q46" s="919"/>
      <c r="R46" s="921"/>
      <c r="S46" s="907"/>
      <c r="T46" s="51"/>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row>
    <row r="47" spans="1:45" ht="18.75" customHeight="1">
      <c r="A47" s="50"/>
      <c r="B47" s="51"/>
      <c r="C47" s="55"/>
      <c r="D47" s="913"/>
      <c r="E47" s="915"/>
      <c r="F47" s="915"/>
      <c r="G47" s="915"/>
      <c r="H47" s="922"/>
      <c r="I47" s="915"/>
      <c r="J47" s="915"/>
      <c r="K47" s="915"/>
      <c r="L47" s="915"/>
      <c r="M47" s="915"/>
      <c r="N47" s="915"/>
      <c r="O47" s="915"/>
      <c r="P47" s="915"/>
      <c r="Q47" s="915"/>
      <c r="R47" s="916"/>
      <c r="S47" s="907"/>
      <c r="T47" s="51"/>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row>
    <row r="48" spans="1:45" ht="18.75" customHeight="1">
      <c r="A48" s="50"/>
      <c r="B48" s="51"/>
      <c r="C48" s="55"/>
      <c r="D48" s="906"/>
      <c r="E48" s="908"/>
      <c r="F48" s="908"/>
      <c r="G48" s="908"/>
      <c r="H48" s="923"/>
      <c r="I48" s="908"/>
      <c r="J48" s="908"/>
      <c r="K48" s="908"/>
      <c r="L48" s="908"/>
      <c r="M48" s="908"/>
      <c r="N48" s="908"/>
      <c r="O48" s="908"/>
      <c r="P48" s="908"/>
      <c r="Q48" s="908"/>
      <c r="R48" s="390"/>
      <c r="S48" s="907"/>
      <c r="T48" s="51"/>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row>
    <row r="49" spans="1:45" s="878" customFormat="1" ht="18.75" customHeight="1">
      <c r="A49" s="50"/>
      <c r="B49" s="51"/>
      <c r="C49" s="216"/>
      <c r="D49" s="906"/>
      <c r="E49" s="908"/>
      <c r="F49" s="908"/>
      <c r="G49" s="908"/>
      <c r="H49" s="923"/>
      <c r="I49" s="908"/>
      <c r="J49" s="908"/>
      <c r="K49" s="908"/>
      <c r="L49" s="908"/>
      <c r="M49" s="908"/>
      <c r="N49" s="908"/>
      <c r="O49" s="908"/>
      <c r="P49" s="908"/>
      <c r="Q49" s="908"/>
      <c r="R49" s="390"/>
      <c r="S49" s="907"/>
      <c r="T49" s="51"/>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row>
    <row r="50" spans="1:45" ht="18.75" customHeight="1">
      <c r="A50" s="50"/>
      <c r="B50" s="51"/>
      <c r="C50" s="55"/>
      <c r="D50" s="906"/>
      <c r="E50" s="908"/>
      <c r="F50" s="908"/>
      <c r="G50" s="908"/>
      <c r="H50" s="923"/>
      <c r="I50" s="908"/>
      <c r="J50" s="908"/>
      <c r="K50" s="908"/>
      <c r="L50" s="908"/>
      <c r="M50" s="908"/>
      <c r="N50" s="908"/>
      <c r="O50" s="908"/>
      <c r="P50" s="908"/>
      <c r="Q50" s="908"/>
      <c r="R50" s="390"/>
      <c r="S50" s="907"/>
      <c r="T50" s="51"/>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row>
    <row r="51" spans="1:45" ht="18.75" customHeight="1">
      <c r="A51" s="50"/>
      <c r="B51" s="51"/>
      <c r="C51" s="55"/>
      <c r="D51" s="906"/>
      <c r="E51" s="908"/>
      <c r="F51" s="908"/>
      <c r="G51" s="908"/>
      <c r="H51" s="923"/>
      <c r="I51" s="908"/>
      <c r="J51" s="908"/>
      <c r="K51" s="908"/>
      <c r="L51" s="908"/>
      <c r="M51" s="908"/>
      <c r="N51" s="908"/>
      <c r="O51" s="908"/>
      <c r="P51" s="908"/>
      <c r="Q51" s="908"/>
      <c r="R51" s="390"/>
      <c r="S51" s="907"/>
      <c r="T51" s="51"/>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row>
    <row r="52" spans="1:45" ht="18.75" customHeight="1">
      <c r="A52" s="50"/>
      <c r="B52" s="51"/>
      <c r="C52" s="55"/>
      <c r="D52" s="1059"/>
      <c r="E52" s="1060"/>
      <c r="F52" s="1060"/>
      <c r="G52" s="1060"/>
      <c r="H52" s="1060"/>
      <c r="I52" s="1060"/>
      <c r="J52" s="1060"/>
      <c r="K52" s="1060"/>
      <c r="L52" s="1060"/>
      <c r="M52" s="1060"/>
      <c r="N52" s="1060"/>
      <c r="O52" s="1060"/>
      <c r="P52" s="1060"/>
      <c r="Q52" s="1060"/>
      <c r="R52" s="1061"/>
      <c r="S52" s="907"/>
      <c r="T52" s="51"/>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row>
    <row r="53" spans="1:45" ht="13.5" thickBot="1">
      <c r="A53" s="50"/>
      <c r="B53" s="51"/>
      <c r="C53" s="55"/>
      <c r="D53" s="909"/>
      <c r="E53" s="391"/>
      <c r="F53" s="391"/>
      <c r="G53" s="391"/>
      <c r="H53" s="391"/>
      <c r="I53" s="391"/>
      <c r="J53" s="391"/>
      <c r="K53" s="391"/>
      <c r="L53" s="391"/>
      <c r="M53" s="391"/>
      <c r="N53" s="391"/>
      <c r="O53" s="391"/>
      <c r="P53" s="391"/>
      <c r="Q53" s="391"/>
      <c r="R53" s="392"/>
      <c r="S53" s="907"/>
      <c r="T53" s="51"/>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row>
    <row r="54" spans="1:45" ht="7.5" customHeight="1">
      <c r="A54" s="50"/>
      <c r="B54" s="51"/>
      <c r="C54" s="55"/>
      <c r="D54" s="1060"/>
      <c r="E54" s="1060"/>
      <c r="F54" s="1060"/>
      <c r="G54" s="1060"/>
      <c r="H54" s="1060"/>
      <c r="I54" s="1060"/>
      <c r="J54" s="1060"/>
      <c r="K54" s="1060"/>
      <c r="L54" s="1060"/>
      <c r="M54" s="1060"/>
      <c r="N54" s="1060"/>
      <c r="O54" s="1060"/>
      <c r="P54" s="1060"/>
      <c r="Q54" s="1060"/>
      <c r="R54" s="1060"/>
      <c r="S54" s="907"/>
      <c r="T54" s="51"/>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row>
    <row r="55" spans="1:45" ht="7.5" customHeight="1">
      <c r="A55" s="50"/>
      <c r="B55" s="51"/>
      <c r="C55" s="63"/>
      <c r="D55" s="924"/>
      <c r="E55" s="924"/>
      <c r="F55" s="924"/>
      <c r="G55" s="924"/>
      <c r="H55" s="924"/>
      <c r="I55" s="924"/>
      <c r="J55" s="1065"/>
      <c r="K55" s="1065"/>
      <c r="L55" s="1065"/>
      <c r="M55" s="1065"/>
      <c r="N55" s="1065"/>
      <c r="O55" s="924"/>
      <c r="P55" s="924"/>
      <c r="Q55" s="924"/>
      <c r="R55" s="924"/>
      <c r="S55" s="925"/>
      <c r="T55" s="51"/>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row>
    <row r="56" spans="1:45" ht="3.75" customHeight="1">
      <c r="A56" s="50"/>
      <c r="B56" s="51"/>
      <c r="C56" s="51"/>
      <c r="D56" s="51"/>
      <c r="E56" s="51"/>
      <c r="F56" s="51"/>
      <c r="G56" s="51"/>
      <c r="H56" s="51"/>
      <c r="I56" s="51"/>
      <c r="J56" s="51"/>
      <c r="K56" s="51"/>
      <c r="L56" s="51"/>
      <c r="M56" s="51"/>
      <c r="N56" s="51"/>
      <c r="O56" s="51"/>
      <c r="P56" s="51"/>
      <c r="Q56" s="51"/>
      <c r="R56" s="51"/>
      <c r="S56" s="51"/>
      <c r="T56" s="51"/>
      <c r="U56" s="50"/>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row>
    <row r="57" spans="1:45">
      <c r="A57" s="49"/>
      <c r="B57" s="50"/>
      <c r="C57" s="49"/>
      <c r="D57" s="49"/>
      <c r="E57" s="49"/>
      <c r="F57" s="49"/>
      <c r="G57" s="49"/>
      <c r="H57" s="49"/>
      <c r="I57" s="49"/>
      <c r="J57" s="49"/>
      <c r="K57" s="49"/>
      <c r="L57" s="49"/>
      <c r="M57" s="49"/>
      <c r="N57" s="49"/>
      <c r="O57" s="49"/>
      <c r="P57" s="49"/>
      <c r="Q57" s="49"/>
      <c r="R57" s="49"/>
      <c r="S57" s="49"/>
      <c r="T57" s="50"/>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row>
    <row r="58" spans="1:45">
      <c r="A58" s="64"/>
      <c r="B58" s="49"/>
      <c r="C58" s="49"/>
      <c r="D58" s="49"/>
      <c r="E58" s="49"/>
      <c r="F58" s="49"/>
      <c r="G58" s="49"/>
      <c r="H58" s="49"/>
      <c r="I58" s="49"/>
      <c r="J58" s="49"/>
      <c r="K58" s="49"/>
      <c r="L58" s="49"/>
      <c r="M58" s="49"/>
      <c r="N58" s="49"/>
      <c r="O58" s="49"/>
      <c r="P58" s="49"/>
      <c r="Q58" s="49"/>
      <c r="R58" s="49"/>
      <c r="S58" s="49"/>
      <c r="T58" s="50"/>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row>
    <row r="59" spans="1:45">
      <c r="A59" s="49"/>
      <c r="B59" s="49"/>
      <c r="C59" s="49"/>
      <c r="D59" s="49"/>
      <c r="E59" s="49"/>
      <c r="F59" s="49"/>
      <c r="G59" s="49"/>
      <c r="H59" s="49"/>
      <c r="I59" s="49"/>
      <c r="J59" s="49"/>
      <c r="K59" s="49"/>
      <c r="L59" s="49"/>
      <c r="M59" s="49"/>
      <c r="N59" s="49"/>
      <c r="O59" s="49"/>
      <c r="P59" s="49"/>
      <c r="Q59" s="49"/>
      <c r="R59" s="49"/>
      <c r="S59" s="49"/>
      <c r="T59" s="50"/>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row>
    <row r="60" spans="1:45">
      <c r="A60" s="49"/>
      <c r="B60" s="49"/>
      <c r="C60" s="49"/>
      <c r="D60" s="49"/>
      <c r="E60" s="49"/>
      <c r="F60" s="49"/>
      <c r="G60" s="49"/>
      <c r="H60" s="49"/>
      <c r="I60" s="49"/>
      <c r="J60" s="49"/>
      <c r="K60" s="49"/>
      <c r="L60" s="49"/>
      <c r="M60" s="49"/>
      <c r="N60" s="49"/>
      <c r="O60" s="49"/>
      <c r="P60" s="49"/>
      <c r="Q60" s="49"/>
      <c r="R60" s="49"/>
      <c r="S60" s="49"/>
      <c r="T60" s="50"/>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row>
    <row r="61" spans="1:45">
      <c r="A61" s="49"/>
      <c r="B61" s="49"/>
      <c r="C61" s="49"/>
      <c r="D61" s="49"/>
      <c r="E61" s="49"/>
      <c r="F61" s="49"/>
      <c r="G61" s="49"/>
      <c r="H61" s="49"/>
      <c r="I61" s="49"/>
      <c r="J61" s="49"/>
      <c r="K61" s="49"/>
      <c r="L61" s="49"/>
      <c r="M61" s="49"/>
      <c r="N61" s="49"/>
      <c r="O61" s="49"/>
      <c r="P61" s="49"/>
      <c r="Q61" s="49"/>
      <c r="R61" s="49"/>
      <c r="S61" s="49"/>
      <c r="T61" s="50"/>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row>
    <row r="62" spans="1:4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row>
    <row r="63" spans="1:4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row>
    <row r="64" spans="1:4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row>
    <row r="65" spans="1:4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row>
    <row r="66" spans="1:4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row>
    <row r="67" spans="1:4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row>
    <row r="68" spans="1:4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row>
    <row r="69" spans="1:4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row>
    <row r="70" spans="1:4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row>
    <row r="71" spans="1:4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row>
    <row r="72" spans="1:4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row>
    <row r="73" spans="1:4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row>
    <row r="74" spans="1:4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row>
    <row r="75" spans="1:4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row>
    <row r="76" spans="1:4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row>
    <row r="77" spans="1:4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row>
    <row r="78" spans="1:4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row>
    <row r="79" spans="1:4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row>
    <row r="80" spans="1:4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row>
    <row r="81" spans="1:4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row>
    <row r="82" spans="1:4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row>
    <row r="83" spans="1:4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row>
    <row r="84" spans="1:4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row>
    <row r="85" spans="1:4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row>
    <row r="86" spans="1:4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row>
    <row r="87" spans="1:4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row>
    <row r="88" spans="1:4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row>
    <row r="89" spans="1:4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row>
    <row r="90" spans="1:4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row>
    <row r="91" spans="1:4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row>
    <row r="92" spans="1:4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row>
    <row r="93" spans="1:4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row>
    <row r="94" spans="1:4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row>
    <row r="95" spans="1:4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row>
  </sheetData>
  <sheetProtection password="F66A" sheet="1"/>
  <hyperlinks>
    <hyperlink ref="M16" location="'Quick Start'!A1" display="'Quick Start'!A1"/>
    <hyperlink ref="M17" location="'Index'!A1" display="'Index'!A1"/>
    <hyperlink ref="M18" location="'Summary 01'!A1" display="'Summary 01'!A1"/>
    <hyperlink ref="M19" location="'Summary 02'!A1" display="'Summary 02'!A1"/>
    <hyperlink ref="M20" location="'Summary 03'!A1" display="'Summary 03'!A1"/>
    <hyperlink ref="M21" location="'Summary 04'!A1" display="'Summary 04'!A1"/>
    <hyperlink ref="M22" location="'Sales Summ'!A1" display="'Sales Summ'!A1"/>
    <hyperlink ref="M23" location="'Inputs'!A1" display="'Inputs'!A1"/>
    <hyperlink ref="M24" location="'Offering 1'!A1" display="'Offering 1'!A1"/>
    <hyperlink ref="M25" location="'Offering 2'!A1" display="'Offering 2'!A1"/>
    <hyperlink ref="M26" location="'Offering 3'!A1" display="'Offering 3'!A1"/>
    <hyperlink ref="M27" location="'Offering 4'!A1" display="'Offering 4'!A1"/>
    <hyperlink ref="M28" location="'Human Resources'!A1" display="'Human Resources'!A1"/>
    <hyperlink ref="M29" location="'Costs'!A1" display="'Costs'!A1"/>
    <hyperlink ref="M30" location="'Capex'!A1" display="'Capex'!A1"/>
    <hyperlink ref="M31" location="'Financing'!A1" display="'Financing'!A1"/>
    <hyperlink ref="M32" location="'IFS'!A1" display="'IFS'!A1"/>
    <hyperlink ref="M33" location="'Debtors+Creditors'!A1" display="'Debtors+Creditors'!A1"/>
    <hyperlink ref="M34" location="'Taxes'!A1" display="'Taxes'!A1"/>
    <hyperlink ref="M35" location="'Timing'!A1" display="'Timing'!A1"/>
    <hyperlink ref="M36" location="'Formats'!A1" display="'Formats'!A1"/>
  </hyperlinks>
  <printOptions horizontalCentered="1"/>
  <pageMargins left="0.70866141732283472" right="0.70866141732283472" top="0.59055118110236227" bottom="0.59055118110236227" header="0.31496062992125984" footer="0.31496062992125984"/>
  <pageSetup paperSize="9" scale="55" orientation="landscape" r:id="rId1"/>
  <headerFooter>
    <oddHeader>&amp;R&amp;G</oddHeader>
    <oddFooter>&amp;Lwww.excel-financial-model.com&amp;C&amp;A&amp;RSeite &amp;P /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Uebersicht01">
    <tabColor rgb="FFFF0000"/>
  </sheetPr>
  <dimension ref="A1:BR301"/>
  <sheetViews>
    <sheetView showGridLines="0" zoomScale="85" zoomScaleNormal="85" zoomScaleSheetLayoutView="115" workbookViewId="0"/>
  </sheetViews>
  <sheetFormatPr baseColWidth="10" defaultColWidth="0" defaultRowHeight="12.75" outlineLevelRow="1"/>
  <cols>
    <col min="1" max="1" width="5.140625" style="199" customWidth="1"/>
    <col min="2" max="2" width="5.5703125" style="199" customWidth="1"/>
    <col min="3" max="3" width="5.7109375" style="199" customWidth="1"/>
    <col min="4" max="4" width="5.85546875" style="199" customWidth="1"/>
    <col min="5" max="6" width="6.42578125" style="199" customWidth="1"/>
    <col min="7" max="7" width="5.7109375" style="199" customWidth="1"/>
    <col min="8" max="8" width="6.5703125" style="199" customWidth="1"/>
    <col min="9" max="9" width="5.7109375" style="199" customWidth="1"/>
    <col min="10" max="10" width="6.140625" style="199" customWidth="1"/>
    <col min="11" max="11" width="5.7109375" style="199" customWidth="1"/>
    <col min="12" max="12" width="7" style="199" customWidth="1"/>
    <col min="13" max="13" width="5" style="199" customWidth="1"/>
    <col min="14" max="14" width="5.28515625" style="199" customWidth="1"/>
    <col min="15" max="15" width="5.7109375" style="199" customWidth="1"/>
    <col min="16" max="16" width="6" style="199" customWidth="1"/>
    <col min="17" max="17" width="5.7109375" style="199" customWidth="1"/>
    <col min="18" max="18" width="6" style="199" customWidth="1"/>
    <col min="19" max="19" width="5.7109375" style="199" customWidth="1"/>
    <col min="20" max="23" width="5" style="199" customWidth="1"/>
    <col min="24" max="24" width="4.5703125" style="199" customWidth="1"/>
    <col min="25" max="25" width="5.28515625" style="199" customWidth="1"/>
    <col min="26" max="26" width="5.85546875" style="199" customWidth="1"/>
    <col min="27" max="27" width="7.140625" style="199" customWidth="1"/>
    <col min="28" max="28" width="6.140625" style="199" customWidth="1"/>
    <col min="29" max="29" width="5.28515625" style="199" customWidth="1"/>
    <col min="30" max="30" width="5.7109375" style="199" customWidth="1"/>
    <col min="31" max="31" width="5.42578125" style="199" customWidth="1"/>
    <col min="32" max="32" width="5" style="199" customWidth="1"/>
    <col min="33" max="33" width="6.140625" style="199" customWidth="1"/>
    <col min="34" max="34" width="5.5703125" style="199" customWidth="1"/>
    <col min="35" max="35" width="6" style="199" customWidth="1"/>
    <col min="36" max="36" width="5.42578125" style="199" customWidth="1"/>
    <col min="37" max="37" width="5.5703125" style="199" customWidth="1"/>
    <col min="38" max="38" width="5.7109375" style="199" customWidth="1"/>
    <col min="39" max="39" width="6.140625" style="199" customWidth="1"/>
    <col min="40" max="40" width="5.42578125" style="199" customWidth="1"/>
    <col min="41" max="44" width="5" style="199" customWidth="1"/>
    <col min="45" max="45" width="8.28515625" style="199" customWidth="1"/>
    <col min="46" max="47" width="5" style="199" customWidth="1"/>
    <col min="48" max="48" width="5.28515625" style="199" customWidth="1"/>
    <col min="49" max="49" width="44.28515625" style="199" customWidth="1"/>
    <col min="50" max="61" width="16.140625" style="199" customWidth="1"/>
    <col min="62" max="62" width="11.42578125" style="199" customWidth="1"/>
    <col min="63" max="63" width="5.28515625" style="199" customWidth="1"/>
    <col min="64" max="70" width="0" style="199" hidden="1" customWidth="1"/>
    <col min="71" max="16384" width="11.42578125" style="199" hidden="1"/>
  </cols>
  <sheetData>
    <row r="1" spans="1:45" ht="20.25">
      <c r="A1" s="189"/>
      <c r="B1" s="189"/>
      <c r="C1" s="189" t="str">
        <f>"Financial Forecast - "&amp;Name_Company</f>
        <v>Financial Forecast - WonderApp Ltd.</v>
      </c>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246"/>
      <c r="AO1" s="189"/>
      <c r="AP1" s="188"/>
      <c r="AQ1" s="245"/>
      <c r="AR1" s="245"/>
      <c r="AS1" s="245"/>
    </row>
    <row r="2" spans="1:45" ht="17.25" customHeight="1">
      <c r="A2" s="186"/>
      <c r="B2" s="186"/>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25"/>
    </row>
    <row r="3" spans="1:45" ht="17.25" customHeight="1">
      <c r="A3" s="876"/>
      <c r="B3" s="186"/>
      <c r="C3" s="259" t="str">
        <f>Timing!C2</f>
        <v>Model: Fictitious 5 Year Forecast</v>
      </c>
      <c r="D3" s="182"/>
      <c r="E3" s="247"/>
      <c r="F3" s="181"/>
      <c r="G3" s="247"/>
      <c r="H3" s="247"/>
      <c r="I3" s="192"/>
      <c r="J3" s="629" t="s">
        <v>148</v>
      </c>
      <c r="K3" s="192"/>
      <c r="L3" s="192"/>
      <c r="M3" s="192"/>
      <c r="N3" s="192"/>
      <c r="O3" s="192"/>
      <c r="P3" s="192"/>
      <c r="Q3" s="192"/>
      <c r="R3" s="192"/>
      <c r="S3" s="261" t="s">
        <v>573</v>
      </c>
      <c r="T3" s="192"/>
      <c r="U3" s="192" t="str">
        <f>Name_Company</f>
        <v>WonderApp Ltd.</v>
      </c>
      <c r="V3" s="192"/>
      <c r="W3" s="192"/>
      <c r="X3" s="247"/>
      <c r="Y3" s="247"/>
      <c r="Z3" s="247"/>
      <c r="AA3" s="247"/>
      <c r="AB3" s="247"/>
      <c r="AC3" s="247"/>
      <c r="AD3" s="183" t="s">
        <v>575</v>
      </c>
      <c r="AE3" s="192"/>
      <c r="AF3" s="192" t="str">
        <f ca="1">Name_File</f>
        <v>EFM_Digital_Economy_Free_Version (an Alex 002).xlsx</v>
      </c>
      <c r="AG3" s="192"/>
      <c r="AH3" s="192"/>
      <c r="AI3" s="192"/>
      <c r="AJ3" s="192"/>
      <c r="AK3" s="192"/>
      <c r="AL3" s="192"/>
      <c r="AM3" s="247"/>
      <c r="AN3" s="188"/>
      <c r="AO3" s="187"/>
      <c r="AP3" s="125"/>
    </row>
    <row r="4" spans="1:45" ht="17.25" customHeight="1">
      <c r="A4" s="876"/>
      <c r="B4" s="187"/>
      <c r="C4" s="259" t="str">
        <f>Timing!C3</f>
        <v>Model Integrity:</v>
      </c>
      <c r="D4" s="247"/>
      <c r="E4" s="247"/>
      <c r="F4" s="181"/>
      <c r="G4" s="631">
        <f ca="1">Timing!D3</f>
        <v>0</v>
      </c>
      <c r="H4" s="631"/>
      <c r="I4" s="184"/>
      <c r="J4" s="629" t="s">
        <v>149</v>
      </c>
      <c r="K4" s="192"/>
      <c r="L4" s="192"/>
      <c r="M4" s="192"/>
      <c r="N4" s="192"/>
      <c r="O4" s="192"/>
      <c r="P4" s="192"/>
      <c r="Q4" s="192"/>
      <c r="R4" s="192"/>
      <c r="S4" s="185" t="s">
        <v>574</v>
      </c>
      <c r="T4" s="194"/>
      <c r="U4" s="193" t="str">
        <f>Name_Model</f>
        <v>Fictitious 5 Year Forecast</v>
      </c>
      <c r="V4" s="192"/>
      <c r="W4" s="192"/>
      <c r="X4" s="247"/>
      <c r="Y4" s="247"/>
      <c r="Z4" s="247"/>
      <c r="AA4" s="247"/>
      <c r="AB4" s="247"/>
      <c r="AC4" s="247"/>
      <c r="AD4" s="185" t="s">
        <v>576</v>
      </c>
      <c r="AE4" s="194"/>
      <c r="AF4" s="1154">
        <f>Inputs!F13</f>
        <v>42750</v>
      </c>
      <c r="AG4" s="1155"/>
      <c r="AH4" s="1155"/>
      <c r="AI4" s="192"/>
      <c r="AJ4" s="192"/>
      <c r="AK4" s="192"/>
      <c r="AL4" s="192"/>
      <c r="AM4" s="247"/>
      <c r="AN4" s="188"/>
      <c r="AO4" s="187"/>
      <c r="AP4" s="125"/>
    </row>
    <row r="5" spans="1:45" ht="17.25" customHeight="1">
      <c r="A5" s="876"/>
      <c r="B5" s="187"/>
      <c r="C5" s="260"/>
      <c r="D5" s="245"/>
      <c r="E5" s="245"/>
      <c r="F5" s="245"/>
      <c r="G5" s="245"/>
      <c r="H5" s="245"/>
      <c r="I5" s="192"/>
      <c r="J5" s="192"/>
      <c r="K5" s="192"/>
      <c r="L5" s="192"/>
      <c r="M5" s="192"/>
      <c r="N5" s="192"/>
      <c r="O5" s="192"/>
      <c r="P5" s="192"/>
      <c r="Q5" s="192"/>
      <c r="R5" s="192"/>
      <c r="S5" s="192"/>
      <c r="T5" s="192"/>
      <c r="U5" s="245"/>
      <c r="V5" s="245"/>
      <c r="W5" s="245"/>
      <c r="X5" s="245"/>
      <c r="Y5" s="245"/>
      <c r="Z5" s="245"/>
      <c r="AA5" s="245"/>
      <c r="AB5" s="245"/>
      <c r="AC5" s="245"/>
      <c r="AD5" s="245"/>
      <c r="AE5" s="192"/>
      <c r="AF5" s="192"/>
      <c r="AG5" s="192"/>
      <c r="AH5" s="192"/>
      <c r="AI5" s="192"/>
      <c r="AJ5" s="192"/>
      <c r="AK5" s="192"/>
      <c r="AL5" s="192"/>
      <c r="AM5" s="245"/>
      <c r="AN5" s="188"/>
      <c r="AO5" s="187"/>
      <c r="AP5" s="125"/>
    </row>
    <row r="6" spans="1:45" ht="17.25" customHeight="1">
      <c r="A6" s="876"/>
      <c r="B6" s="180"/>
      <c r="C6" s="225"/>
      <c r="D6" s="180"/>
      <c r="E6" s="180"/>
      <c r="F6" s="180"/>
      <c r="G6" s="876"/>
      <c r="H6" s="876"/>
      <c r="I6" s="876"/>
      <c r="J6" s="876"/>
      <c r="K6" s="876"/>
      <c r="L6" s="876"/>
      <c r="M6" s="876"/>
      <c r="N6" s="876"/>
      <c r="O6" s="876"/>
      <c r="P6" s="876"/>
      <c r="Q6" s="876"/>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25"/>
    </row>
    <row r="7" spans="1:45" ht="17.25" customHeight="1">
      <c r="A7" s="876"/>
      <c r="B7" s="180"/>
      <c r="C7" s="2" t="s">
        <v>581</v>
      </c>
      <c r="P7" s="180"/>
      <c r="Q7" s="180"/>
      <c r="R7" s="180"/>
      <c r="S7" s="180"/>
      <c r="T7" s="180"/>
      <c r="U7" s="180"/>
      <c r="V7" s="2" t="s">
        <v>580</v>
      </c>
      <c r="AN7" s="125"/>
      <c r="AO7" s="180"/>
      <c r="AP7" s="125"/>
    </row>
    <row r="8" spans="1:45" ht="17.25" customHeight="1">
      <c r="A8" s="876"/>
      <c r="B8" s="554"/>
      <c r="C8" s="553"/>
      <c r="D8" s="553"/>
      <c r="E8" s="553"/>
      <c r="F8" s="553"/>
      <c r="G8" s="553"/>
      <c r="H8" s="553"/>
      <c r="I8" s="553"/>
      <c r="J8" s="553"/>
      <c r="K8" s="553"/>
      <c r="L8" s="553"/>
      <c r="M8" s="553"/>
      <c r="N8" s="553"/>
      <c r="O8" s="553"/>
      <c r="P8" s="554"/>
      <c r="Q8" s="180"/>
      <c r="R8" s="180"/>
      <c r="S8" s="180"/>
      <c r="T8" s="180"/>
      <c r="U8" s="180"/>
      <c r="AN8" s="125"/>
      <c r="AO8" s="180"/>
      <c r="AP8" s="125"/>
    </row>
    <row r="9" spans="1:45" ht="17.25" customHeight="1">
      <c r="A9" s="876"/>
      <c r="B9" s="554"/>
      <c r="C9" s="561" t="s">
        <v>580</v>
      </c>
      <c r="D9" s="561"/>
      <c r="E9" s="561"/>
      <c r="F9" s="561"/>
      <c r="G9" s="561"/>
      <c r="H9" s="561"/>
      <c r="I9" s="561"/>
      <c r="J9" s="445" t="str">
        <f>"in " &amp;Currency_Label</f>
        <v>in USD</v>
      </c>
      <c r="K9" s="561"/>
      <c r="L9" s="561"/>
      <c r="M9" s="445" t="s">
        <v>48</v>
      </c>
      <c r="N9" s="561"/>
      <c r="O9" s="561"/>
      <c r="P9" s="554"/>
      <c r="Q9" s="180"/>
      <c r="R9" s="180"/>
      <c r="S9" s="180"/>
      <c r="T9" s="180"/>
      <c r="U9" s="180"/>
      <c r="AN9" s="125"/>
      <c r="AO9" s="180"/>
      <c r="AP9" s="125"/>
    </row>
    <row r="10" spans="1:45" ht="12" customHeight="1">
      <c r="A10" s="876"/>
      <c r="B10" s="554"/>
      <c r="C10" s="553"/>
      <c r="D10" s="553"/>
      <c r="E10" s="553"/>
      <c r="F10" s="553"/>
      <c r="G10" s="553"/>
      <c r="H10" s="553"/>
      <c r="I10" s="553"/>
      <c r="J10" s="553"/>
      <c r="K10" s="553"/>
      <c r="L10" s="553"/>
      <c r="M10" s="553"/>
      <c r="N10" s="553"/>
      <c r="O10" s="553"/>
      <c r="P10" s="554"/>
      <c r="Q10" s="180"/>
      <c r="R10" s="180"/>
      <c r="S10" s="180"/>
      <c r="T10" s="180"/>
      <c r="U10" s="180"/>
      <c r="AN10" s="125"/>
      <c r="AO10" s="180"/>
      <c r="AP10" s="125"/>
    </row>
    <row r="11" spans="1:45" ht="15" customHeight="1">
      <c r="A11" s="876"/>
      <c r="B11" s="554"/>
      <c r="C11" s="555" t="s">
        <v>579</v>
      </c>
      <c r="D11" s="554"/>
      <c r="E11" s="554"/>
      <c r="F11" s="554"/>
      <c r="G11" s="554"/>
      <c r="H11" s="554"/>
      <c r="I11" s="554"/>
      <c r="J11" s="562">
        <f ca="1">SUM(J12:J12)</f>
        <v>230000</v>
      </c>
      <c r="K11" s="563"/>
      <c r="L11" s="563"/>
      <c r="M11" s="564">
        <f t="shared" ref="M11:M18" ca="1" si="0">IFERROR(J11/J$19,0)</f>
        <v>0.44190034486411439</v>
      </c>
      <c r="N11" s="564"/>
      <c r="O11" s="564"/>
      <c r="P11" s="554"/>
      <c r="Q11" s="180"/>
      <c r="R11" s="180"/>
      <c r="S11" s="180"/>
      <c r="T11" s="180"/>
      <c r="U11" s="180"/>
      <c r="AN11" s="125"/>
      <c r="AO11" s="180"/>
      <c r="AP11" s="125"/>
    </row>
    <row r="12" spans="1:45" ht="17.25" customHeight="1">
      <c r="A12" s="876"/>
      <c r="B12" s="554"/>
      <c r="C12" s="40" t="s">
        <v>591</v>
      </c>
      <c r="D12" s="553"/>
      <c r="E12" s="553"/>
      <c r="F12" s="553"/>
      <c r="G12" s="553"/>
      <c r="H12" s="553"/>
      <c r="I12" s="553"/>
      <c r="J12" s="565">
        <f ca="1">Financing!I42</f>
        <v>230000</v>
      </c>
      <c r="K12" s="566"/>
      <c r="L12" s="566"/>
      <c r="M12" s="567">
        <f t="shared" ca="1" si="0"/>
        <v>0.44190034486411439</v>
      </c>
      <c r="N12" s="567"/>
      <c r="O12" s="567"/>
      <c r="P12" s="554"/>
      <c r="Q12" s="180"/>
      <c r="R12" s="180"/>
      <c r="S12" s="180"/>
      <c r="T12" s="180"/>
      <c r="U12" s="180"/>
      <c r="AN12" s="125"/>
      <c r="AO12" s="180"/>
      <c r="AP12" s="125"/>
    </row>
    <row r="13" spans="1:45" ht="17.25" customHeight="1">
      <c r="A13" s="876"/>
      <c r="B13" s="554"/>
      <c r="C13" s="555" t="s">
        <v>578</v>
      </c>
      <c r="D13" s="554"/>
      <c r="E13" s="554"/>
      <c r="F13" s="554"/>
      <c r="G13" s="554"/>
      <c r="H13" s="554"/>
      <c r="I13" s="554"/>
      <c r="J13" s="562">
        <f ca="1">SUM(J14:J18)</f>
        <v>290479.34036060923</v>
      </c>
      <c r="K13" s="563"/>
      <c r="L13" s="563"/>
      <c r="M13" s="564">
        <f t="shared" ca="1" si="0"/>
        <v>0.55809965513588555</v>
      </c>
      <c r="N13" s="564"/>
      <c r="O13" s="564"/>
      <c r="P13" s="554"/>
      <c r="Q13" s="180"/>
      <c r="R13" s="180"/>
      <c r="S13" s="180"/>
      <c r="T13" s="180"/>
      <c r="U13" s="180"/>
      <c r="AN13" s="125"/>
      <c r="AO13" s="180"/>
      <c r="AP13" s="125"/>
    </row>
    <row r="14" spans="1:45" ht="17.25" customHeight="1">
      <c r="A14" s="876"/>
      <c r="B14" s="554"/>
      <c r="C14" s="553" t="str">
        <f>"Debt: "&amp;Inputs!$F$157</f>
        <v>Debt: EasyCredit</v>
      </c>
      <c r="D14" s="553"/>
      <c r="E14" s="553"/>
      <c r="F14" s="553"/>
      <c r="G14" s="553"/>
      <c r="H14" s="553"/>
      <c r="I14" s="553"/>
      <c r="J14" s="565">
        <f ca="1">Financing!I45</f>
        <v>0</v>
      </c>
      <c r="K14" s="566"/>
      <c r="L14" s="566"/>
      <c r="M14" s="567">
        <f t="shared" ca="1" si="0"/>
        <v>0</v>
      </c>
      <c r="N14" s="567"/>
      <c r="O14" s="567"/>
      <c r="P14" s="554"/>
      <c r="Q14" s="180"/>
      <c r="R14" s="180"/>
      <c r="S14" s="180"/>
      <c r="T14" s="180"/>
      <c r="U14" s="180"/>
      <c r="AN14" s="125"/>
      <c r="AO14" s="180"/>
      <c r="AP14" s="125"/>
    </row>
    <row r="15" spans="1:45" ht="17.25" customHeight="1">
      <c r="A15" s="876"/>
      <c r="B15" s="554"/>
      <c r="C15" s="553" t="str">
        <f>"Debt: "&amp;Inputs!$F$176</f>
        <v>Debt: URB Bank</v>
      </c>
      <c r="D15" s="553"/>
      <c r="E15" s="553"/>
      <c r="F15" s="553"/>
      <c r="G15" s="553"/>
      <c r="H15" s="553"/>
      <c r="I15" s="553"/>
      <c r="J15" s="565">
        <f>Financing!I49</f>
        <v>70000</v>
      </c>
      <c r="K15" s="566"/>
      <c r="L15" s="566"/>
      <c r="M15" s="567">
        <f t="shared" ca="1" si="0"/>
        <v>0.13449140930646961</v>
      </c>
      <c r="N15" s="567"/>
      <c r="O15" s="567"/>
      <c r="P15" s="554"/>
      <c r="Q15" s="180"/>
      <c r="R15" s="180"/>
      <c r="S15" s="180"/>
      <c r="T15" s="180"/>
      <c r="U15" s="180"/>
      <c r="AN15" s="125"/>
      <c r="AO15" s="180"/>
      <c r="AP15" s="125"/>
    </row>
    <row r="16" spans="1:45" ht="17.25" customHeight="1">
      <c r="A16" s="876"/>
      <c r="B16" s="554"/>
      <c r="C16" s="553" t="str">
        <f>"Debt: "&amp;Inputs!$F$181</f>
        <v>Debt: FounderBank</v>
      </c>
      <c r="D16" s="553"/>
      <c r="E16" s="553"/>
      <c r="F16" s="553"/>
      <c r="G16" s="553"/>
      <c r="H16" s="553"/>
      <c r="I16" s="553"/>
      <c r="J16" s="565">
        <f>Financing!I54</f>
        <v>110000</v>
      </c>
      <c r="K16" s="566"/>
      <c r="L16" s="566"/>
      <c r="M16" s="567">
        <f t="shared" ca="1" si="0"/>
        <v>0.21134364319588081</v>
      </c>
      <c r="N16" s="567"/>
      <c r="O16" s="567"/>
      <c r="P16" s="554"/>
      <c r="Q16" s="180"/>
      <c r="R16" s="180"/>
      <c r="S16" s="180"/>
      <c r="T16" s="180"/>
      <c r="U16" s="180"/>
      <c r="AN16" s="125"/>
      <c r="AO16" s="180"/>
      <c r="AP16" s="125"/>
    </row>
    <row r="17" spans="1:43" ht="17.25" customHeight="1">
      <c r="A17" s="876"/>
      <c r="B17" s="554"/>
      <c r="C17" s="553" t="str">
        <f>"Debt: "&amp;Inputs!$F$186</f>
        <v>Debt: Shareholder Loan</v>
      </c>
      <c r="D17" s="553"/>
      <c r="E17" s="553"/>
      <c r="F17" s="553"/>
      <c r="G17" s="553"/>
      <c r="H17" s="553"/>
      <c r="I17" s="553"/>
      <c r="J17" s="565">
        <f>Financing!I59</f>
        <v>50000</v>
      </c>
      <c r="K17" s="566"/>
      <c r="L17" s="566"/>
      <c r="M17" s="567">
        <f t="shared" ca="1" si="0"/>
        <v>9.6065292361764004E-2</v>
      </c>
      <c r="N17" s="567"/>
      <c r="O17" s="567"/>
      <c r="P17" s="554"/>
      <c r="Q17" s="180"/>
      <c r="R17" s="180"/>
      <c r="S17" s="180"/>
      <c r="T17" s="180"/>
      <c r="U17" s="180"/>
      <c r="AN17" s="125"/>
      <c r="AO17" s="180"/>
      <c r="AP17" s="125"/>
    </row>
    <row r="18" spans="1:43" ht="17.25" customHeight="1">
      <c r="A18" s="876"/>
      <c r="B18" s="550"/>
      <c r="C18" s="553" t="s">
        <v>926</v>
      </c>
      <c r="D18" s="553"/>
      <c r="E18" s="553"/>
      <c r="F18" s="553"/>
      <c r="G18" s="553"/>
      <c r="H18" s="553"/>
      <c r="I18" s="553"/>
      <c r="J18" s="565">
        <f ca="1">Financing!H69</f>
        <v>60479.340360609247</v>
      </c>
      <c r="K18" s="566"/>
      <c r="L18" s="566"/>
      <c r="M18" s="567">
        <f t="shared" ca="1" si="0"/>
        <v>0.11619931027177122</v>
      </c>
      <c r="N18" s="567"/>
      <c r="O18" s="567"/>
      <c r="P18" s="554"/>
      <c r="Q18" s="187"/>
      <c r="R18" s="187"/>
      <c r="S18" s="187"/>
      <c r="T18" s="187"/>
      <c r="U18" s="187"/>
      <c r="V18" s="444"/>
      <c r="W18" s="444"/>
      <c r="X18" s="444"/>
      <c r="Y18" s="444"/>
      <c r="Z18" s="444"/>
      <c r="AA18" s="444"/>
      <c r="AB18" s="444"/>
      <c r="AC18" s="444"/>
      <c r="AD18" s="444"/>
      <c r="AE18" s="444"/>
      <c r="AF18" s="444"/>
      <c r="AG18" s="444"/>
      <c r="AH18" s="444"/>
      <c r="AI18" s="444"/>
      <c r="AJ18" s="444"/>
      <c r="AK18" s="444"/>
      <c r="AL18" s="444"/>
      <c r="AM18" s="444"/>
      <c r="AN18" s="188"/>
      <c r="AO18" s="187"/>
      <c r="AP18" s="188"/>
      <c r="AQ18" s="444"/>
    </row>
    <row r="19" spans="1:43" ht="17.25" customHeight="1" thickBot="1">
      <c r="A19" s="876"/>
      <c r="B19" s="550"/>
      <c r="C19" s="568" t="s">
        <v>577</v>
      </c>
      <c r="D19" s="569"/>
      <c r="E19" s="569"/>
      <c r="F19" s="569"/>
      <c r="G19" s="569"/>
      <c r="H19" s="569"/>
      <c r="I19" s="569"/>
      <c r="J19" s="570">
        <f ca="1">J11+J13</f>
        <v>520479.34036060923</v>
      </c>
      <c r="K19" s="571"/>
      <c r="L19" s="571"/>
      <c r="M19" s="572">
        <f ca="1">M11+M13</f>
        <v>1</v>
      </c>
      <c r="N19" s="571"/>
      <c r="O19" s="571"/>
      <c r="P19" s="554"/>
      <c r="Q19" s="187"/>
      <c r="R19" s="187"/>
      <c r="S19" s="187"/>
      <c r="T19" s="187"/>
      <c r="U19" s="187"/>
      <c r="V19" s="444"/>
      <c r="W19" s="444"/>
      <c r="X19" s="444"/>
      <c r="Y19" s="444"/>
      <c r="Z19" s="444"/>
      <c r="AA19" s="444"/>
      <c r="AB19" s="444"/>
      <c r="AC19" s="444"/>
      <c r="AD19" s="444"/>
      <c r="AE19" s="444"/>
      <c r="AF19" s="444"/>
      <c r="AG19" s="444"/>
      <c r="AH19" s="444"/>
      <c r="AI19" s="444"/>
      <c r="AJ19" s="444"/>
      <c r="AK19" s="444"/>
      <c r="AL19" s="444"/>
      <c r="AM19" s="444"/>
      <c r="AN19" s="188"/>
      <c r="AO19" s="187"/>
      <c r="AP19" s="188"/>
      <c r="AQ19" s="444"/>
    </row>
    <row r="20" spans="1:43" ht="7.5" customHeight="1" thickTop="1">
      <c r="A20" s="876"/>
      <c r="B20" s="550"/>
      <c r="C20" s="550"/>
      <c r="D20" s="550"/>
      <c r="E20" s="550"/>
      <c r="F20" s="550"/>
      <c r="G20" s="550"/>
      <c r="H20" s="550"/>
      <c r="I20" s="550"/>
      <c r="J20" s="451"/>
      <c r="K20" s="550"/>
      <c r="L20" s="550"/>
      <c r="M20" s="451"/>
      <c r="N20" s="550"/>
      <c r="O20" s="550"/>
      <c r="P20" s="550"/>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8"/>
      <c r="AQ20" s="444"/>
    </row>
    <row r="21" spans="1:43" ht="7.5" customHeight="1">
      <c r="A21" s="876"/>
      <c r="B21" s="550"/>
      <c r="C21" s="550"/>
      <c r="D21" s="550"/>
      <c r="E21" s="550"/>
      <c r="F21" s="550"/>
      <c r="G21" s="550"/>
      <c r="H21" s="550"/>
      <c r="I21" s="550"/>
      <c r="J21" s="451"/>
      <c r="K21" s="550"/>
      <c r="L21" s="550"/>
      <c r="M21" s="451"/>
      <c r="N21" s="550"/>
      <c r="O21" s="550"/>
      <c r="P21" s="550"/>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8"/>
      <c r="AQ21" s="444"/>
    </row>
    <row r="22" spans="1:43" ht="17.25" customHeight="1">
      <c r="A22" s="876"/>
      <c r="B22" s="550"/>
      <c r="C22" s="190" t="s">
        <v>582</v>
      </c>
      <c r="D22" s="545"/>
      <c r="E22" s="545"/>
      <c r="F22" s="545"/>
      <c r="G22" s="545"/>
      <c r="H22" s="545"/>
      <c r="I22" s="545"/>
      <c r="J22" s="545"/>
      <c r="K22" s="545"/>
      <c r="L22" s="545"/>
      <c r="M22" s="545"/>
      <c r="N22" s="545"/>
      <c r="O22" s="545"/>
      <c r="P22" s="545"/>
      <c r="Q22" s="444"/>
      <c r="R22" s="444"/>
      <c r="S22" s="444"/>
      <c r="T22" s="444"/>
      <c r="U22" s="444"/>
      <c r="V22" s="444"/>
      <c r="W22" s="444"/>
      <c r="X22" s="444"/>
      <c r="Y22" s="444"/>
      <c r="Z22" s="444"/>
      <c r="AA22" s="444"/>
      <c r="AB22" s="444"/>
      <c r="AC22" s="444"/>
      <c r="AD22" s="444"/>
      <c r="AE22" s="444"/>
      <c r="AF22" s="444"/>
      <c r="AG22" s="444"/>
      <c r="AH22" s="444"/>
      <c r="AI22" s="444"/>
      <c r="AJ22" s="444"/>
      <c r="AK22" s="444"/>
      <c r="AL22" s="444"/>
      <c r="AM22" s="444"/>
      <c r="AN22" s="188"/>
      <c r="AO22" s="187"/>
      <c r="AP22" s="188"/>
      <c r="AQ22" s="444"/>
    </row>
    <row r="23" spans="1:43" ht="12" customHeight="1">
      <c r="A23" s="876"/>
      <c r="B23" s="550"/>
      <c r="C23" s="190"/>
      <c r="D23" s="545"/>
      <c r="E23" s="545"/>
      <c r="F23" s="545"/>
      <c r="G23" s="545"/>
      <c r="H23" s="545"/>
      <c r="I23" s="545"/>
      <c r="J23" s="545"/>
      <c r="K23" s="545"/>
      <c r="L23" s="545"/>
      <c r="M23" s="545"/>
      <c r="N23" s="545"/>
      <c r="O23" s="545"/>
      <c r="P23" s="545"/>
      <c r="Q23" s="444"/>
      <c r="R23" s="444"/>
      <c r="S23" s="444"/>
      <c r="T23" s="444"/>
      <c r="U23" s="444"/>
      <c r="V23" s="444"/>
      <c r="W23" s="444"/>
      <c r="X23" s="444"/>
      <c r="Y23" s="444"/>
      <c r="Z23" s="444"/>
      <c r="AA23" s="444"/>
      <c r="AB23" s="444"/>
      <c r="AC23" s="444"/>
      <c r="AD23" s="444"/>
      <c r="AE23" s="444"/>
      <c r="AF23" s="444"/>
      <c r="AG23" s="444"/>
      <c r="AH23" s="444"/>
      <c r="AI23" s="444"/>
      <c r="AJ23" s="444"/>
      <c r="AK23" s="444"/>
      <c r="AL23" s="444"/>
      <c r="AM23" s="444"/>
      <c r="AN23" s="188"/>
      <c r="AO23" s="187"/>
      <c r="AP23" s="188"/>
      <c r="AQ23" s="444"/>
    </row>
    <row r="24" spans="1:43" ht="17.25" customHeight="1">
      <c r="A24" s="876"/>
      <c r="B24" s="550"/>
      <c r="C24" s="545" t="str">
        <f>"Total Funding Requirement (" &amp;Currency_Label &amp;")"</f>
        <v>Total Funding Requirement (USD)</v>
      </c>
      <c r="D24" s="545"/>
      <c r="E24" s="545"/>
      <c r="F24" s="422"/>
      <c r="G24" s="545"/>
      <c r="H24" s="545"/>
      <c r="I24" s="545"/>
      <c r="J24" s="601">
        <f ca="1">J19</f>
        <v>520479.34036060923</v>
      </c>
      <c r="K24" s="602"/>
      <c r="L24" s="602"/>
      <c r="M24" s="603">
        <f ca="1">IFERROR((J25+J26)/J24,0)</f>
        <v>1</v>
      </c>
      <c r="N24" s="603"/>
      <c r="O24" s="545"/>
      <c r="P24" s="545"/>
      <c r="Q24" s="452"/>
      <c r="R24" s="444"/>
      <c r="S24" s="444"/>
      <c r="T24" s="444"/>
      <c r="U24" s="444"/>
      <c r="V24" s="444"/>
      <c r="W24" s="444"/>
      <c r="X24" s="444"/>
      <c r="Y24" s="444"/>
      <c r="Z24" s="444"/>
      <c r="AA24" s="444"/>
      <c r="AB24" s="444"/>
      <c r="AC24" s="444"/>
      <c r="AD24" s="444"/>
      <c r="AE24" s="444"/>
      <c r="AF24" s="444"/>
      <c r="AG24" s="444"/>
      <c r="AH24" s="444"/>
      <c r="AI24" s="444"/>
      <c r="AJ24" s="444"/>
      <c r="AK24" s="444"/>
      <c r="AL24" s="444"/>
      <c r="AM24" s="444"/>
      <c r="AN24" s="188"/>
      <c r="AO24" s="187"/>
      <c r="AP24" s="188"/>
      <c r="AQ24" s="444"/>
    </row>
    <row r="25" spans="1:43" ht="17.25" customHeight="1">
      <c r="A25" s="876"/>
      <c r="B25" s="550"/>
      <c r="C25" s="545" t="s">
        <v>583</v>
      </c>
      <c r="D25" s="545"/>
      <c r="E25" s="545"/>
      <c r="F25" s="545"/>
      <c r="G25" s="545"/>
      <c r="H25" s="545"/>
      <c r="I25" s="545"/>
      <c r="J25" s="601">
        <f ca="1">J13</f>
        <v>290479.34036060923</v>
      </c>
      <c r="K25" s="602"/>
      <c r="L25" s="602"/>
      <c r="M25" s="603">
        <f ca="1">IFERROR(J25/J24,0)</f>
        <v>0.55809965513588555</v>
      </c>
      <c r="N25" s="603"/>
      <c r="O25" s="545"/>
      <c r="P25" s="545"/>
      <c r="Q25" s="444"/>
      <c r="R25" s="444"/>
      <c r="S25" s="444"/>
      <c r="T25" s="444"/>
      <c r="U25" s="444"/>
      <c r="V25" s="444"/>
      <c r="W25" s="444"/>
      <c r="X25" s="444"/>
      <c r="Y25" s="444"/>
      <c r="Z25" s="444"/>
      <c r="AA25" s="444"/>
      <c r="AB25" s="444"/>
      <c r="AC25" s="444"/>
      <c r="AD25" s="444"/>
      <c r="AE25" s="444"/>
      <c r="AF25" s="444"/>
      <c r="AG25" s="444"/>
      <c r="AH25" s="444"/>
      <c r="AI25" s="444"/>
      <c r="AJ25" s="444"/>
      <c r="AK25" s="444"/>
      <c r="AL25" s="444"/>
      <c r="AM25" s="444"/>
      <c r="AN25" s="188"/>
      <c r="AO25" s="187"/>
      <c r="AP25" s="188"/>
      <c r="AQ25" s="444"/>
    </row>
    <row r="26" spans="1:43" ht="17.25" customHeight="1">
      <c r="A26" s="876"/>
      <c r="B26" s="550"/>
      <c r="C26" s="545" t="s">
        <v>584</v>
      </c>
      <c r="D26" s="545"/>
      <c r="E26" s="545"/>
      <c r="F26" s="545"/>
      <c r="G26" s="545"/>
      <c r="H26" s="545"/>
      <c r="I26" s="545"/>
      <c r="J26" s="601">
        <f ca="1">J11</f>
        <v>230000</v>
      </c>
      <c r="K26" s="602"/>
      <c r="L26" s="602"/>
      <c r="M26" s="603">
        <f ca="1">IFERROR(J26/J24,0)</f>
        <v>0.44190034486411439</v>
      </c>
      <c r="N26" s="603"/>
      <c r="O26" s="545"/>
      <c r="P26" s="545"/>
      <c r="Q26" s="444"/>
      <c r="R26" s="444"/>
      <c r="S26" s="444"/>
      <c r="T26" s="444"/>
      <c r="U26" s="444"/>
      <c r="V26" s="444"/>
      <c r="W26" s="444"/>
      <c r="X26" s="444"/>
      <c r="Y26" s="444"/>
      <c r="Z26" s="444"/>
      <c r="AA26" s="444"/>
      <c r="AB26" s="444"/>
      <c r="AC26" s="444"/>
      <c r="AD26" s="444"/>
      <c r="AE26" s="444"/>
      <c r="AF26" s="444"/>
      <c r="AG26" s="444"/>
      <c r="AH26" s="444"/>
      <c r="AI26" s="444"/>
      <c r="AJ26" s="444"/>
      <c r="AK26" s="444"/>
      <c r="AL26" s="444"/>
      <c r="AM26" s="444"/>
      <c r="AN26" s="188"/>
      <c r="AO26" s="187"/>
      <c r="AP26" s="188"/>
      <c r="AQ26" s="444"/>
    </row>
    <row r="27" spans="1:43" ht="17.25" customHeight="1">
      <c r="A27" s="876"/>
      <c r="B27" s="550"/>
      <c r="C27" s="545" t="s">
        <v>585</v>
      </c>
      <c r="D27" s="545"/>
      <c r="E27" s="545"/>
      <c r="F27" s="545"/>
      <c r="G27" s="545"/>
      <c r="H27" s="545"/>
      <c r="I27" s="545"/>
      <c r="J27" s="573">
        <f ca="1">IF(J11=0,"n.a.",J13/J11)</f>
        <v>1.2629536537417794</v>
      </c>
      <c r="K27" s="574"/>
      <c r="L27" s="575"/>
      <c r="M27" s="576"/>
      <c r="N27" s="577"/>
      <c r="O27" s="545"/>
      <c r="P27" s="545"/>
      <c r="Q27" s="444"/>
      <c r="R27" s="444"/>
      <c r="S27" s="444"/>
      <c r="T27" s="444"/>
      <c r="U27" s="444"/>
      <c r="V27" s="444"/>
      <c r="W27" s="444"/>
      <c r="X27" s="444"/>
      <c r="Y27" s="444"/>
      <c r="Z27" s="444"/>
      <c r="AA27" s="444"/>
      <c r="AB27" s="444"/>
      <c r="AC27" s="444"/>
      <c r="AD27" s="444"/>
      <c r="AE27" s="444"/>
      <c r="AF27" s="444"/>
      <c r="AG27" s="444"/>
      <c r="AH27" s="444"/>
      <c r="AI27" s="444"/>
      <c r="AJ27" s="444"/>
      <c r="AK27" s="444"/>
      <c r="AL27" s="444"/>
      <c r="AM27" s="444"/>
      <c r="AN27" s="188"/>
      <c r="AO27" s="187"/>
      <c r="AP27" s="188"/>
      <c r="AQ27" s="444"/>
    </row>
    <row r="28" spans="1:43" ht="17.25" customHeight="1">
      <c r="A28" s="876"/>
      <c r="B28" s="550"/>
      <c r="C28" s="545"/>
      <c r="D28" s="545"/>
      <c r="E28" s="545"/>
      <c r="F28" s="544"/>
      <c r="G28" s="544"/>
      <c r="H28" s="544"/>
      <c r="I28" s="544"/>
      <c r="J28" s="552"/>
      <c r="K28" s="553"/>
      <c r="L28" s="553"/>
      <c r="M28" s="553"/>
      <c r="N28" s="553"/>
      <c r="O28" s="545"/>
      <c r="P28" s="545"/>
      <c r="Q28" s="444"/>
      <c r="R28" s="444"/>
      <c r="S28" s="444"/>
      <c r="T28" s="444"/>
      <c r="U28" s="444"/>
      <c r="V28" s="444"/>
      <c r="W28" s="444"/>
      <c r="X28" s="444"/>
      <c r="Y28" s="444"/>
      <c r="Z28" s="444"/>
      <c r="AA28" s="444"/>
      <c r="AB28" s="444"/>
      <c r="AC28" s="444"/>
      <c r="AD28" s="444"/>
      <c r="AE28" s="444"/>
      <c r="AF28" s="444"/>
      <c r="AG28" s="444"/>
      <c r="AH28" s="444"/>
      <c r="AI28" s="444"/>
      <c r="AJ28" s="444"/>
      <c r="AK28" s="444"/>
      <c r="AL28" s="444"/>
      <c r="AM28" s="444"/>
      <c r="AN28" s="188"/>
      <c r="AO28" s="187"/>
      <c r="AP28" s="188"/>
      <c r="AQ28" s="444"/>
    </row>
    <row r="29" spans="1:43" ht="17.25" customHeight="1">
      <c r="A29" s="876"/>
      <c r="B29" s="550"/>
      <c r="C29" s="550"/>
      <c r="D29" s="550"/>
      <c r="E29" s="550"/>
      <c r="F29" s="451"/>
      <c r="G29" s="451"/>
      <c r="H29" s="451"/>
      <c r="I29" s="451"/>
      <c r="J29" s="451"/>
      <c r="K29" s="550"/>
      <c r="L29" s="550"/>
      <c r="M29" s="550"/>
      <c r="N29" s="550"/>
      <c r="O29" s="550"/>
      <c r="P29" s="550"/>
      <c r="Q29" s="187"/>
      <c r="R29" s="187"/>
      <c r="S29" s="187"/>
      <c r="T29" s="187"/>
      <c r="U29" s="187"/>
      <c r="V29" s="187"/>
      <c r="W29" s="940"/>
      <c r="X29" s="703"/>
      <c r="Y29" s="703"/>
      <c r="Z29" s="187"/>
      <c r="AA29" s="187"/>
      <c r="AB29" s="187"/>
      <c r="AC29" s="187"/>
      <c r="AD29" s="187"/>
      <c r="AE29" s="187"/>
      <c r="AF29" s="187"/>
      <c r="AG29" s="187"/>
      <c r="AH29" s="187"/>
      <c r="AI29" s="187"/>
      <c r="AJ29" s="187"/>
      <c r="AK29" s="187"/>
      <c r="AL29" s="187"/>
      <c r="AM29" s="187"/>
      <c r="AN29" s="187"/>
      <c r="AO29" s="187"/>
      <c r="AP29" s="188"/>
      <c r="AQ29" s="444"/>
    </row>
    <row r="30" spans="1:43" ht="10.5" customHeight="1">
      <c r="A30" s="877"/>
      <c r="B30" s="187"/>
      <c r="C30" s="188"/>
      <c r="D30" s="188"/>
      <c r="E30" s="188"/>
      <c r="F30" s="237"/>
      <c r="G30" s="237"/>
      <c r="H30" s="237"/>
      <c r="I30" s="237"/>
      <c r="J30" s="237"/>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444"/>
      <c r="AN30" s="444"/>
      <c r="AO30" s="187"/>
      <c r="AP30" s="188"/>
      <c r="AQ30" s="444"/>
    </row>
    <row r="31" spans="1:43" ht="21.75" customHeight="1">
      <c r="A31" s="877"/>
      <c r="B31" s="187"/>
      <c r="C31" s="190" t="s">
        <v>587</v>
      </c>
      <c r="D31" s="444"/>
      <c r="E31" s="444"/>
      <c r="F31" s="196"/>
      <c r="G31" s="196"/>
      <c r="H31" s="196"/>
      <c r="I31" s="196"/>
      <c r="J31" s="196"/>
      <c r="K31" s="444"/>
      <c r="L31" s="444"/>
      <c r="M31" s="444"/>
      <c r="N31" s="444"/>
      <c r="O31" s="444"/>
      <c r="P31" s="444"/>
      <c r="Q31" s="444"/>
      <c r="R31" s="444"/>
      <c r="S31" s="737"/>
      <c r="T31" s="737"/>
      <c r="U31" s="737"/>
      <c r="V31" s="737"/>
      <c r="W31" s="737"/>
      <c r="X31" s="737"/>
      <c r="Y31" s="737"/>
      <c r="Z31" s="444"/>
      <c r="AA31" s="444"/>
      <c r="AB31" s="444"/>
      <c r="AC31" s="444"/>
      <c r="AD31" s="444"/>
      <c r="AE31" s="444"/>
      <c r="AF31" s="444"/>
      <c r="AG31" s="444"/>
      <c r="AH31" s="444"/>
      <c r="AI31" s="444"/>
      <c r="AJ31" s="444"/>
      <c r="AK31" s="444"/>
      <c r="AL31" s="444"/>
      <c r="AM31" s="444"/>
      <c r="AN31" s="444"/>
      <c r="AO31" s="187"/>
      <c r="AP31" s="188"/>
      <c r="AQ31" s="444"/>
    </row>
    <row r="32" spans="1:43" ht="17.25" customHeight="1">
      <c r="A32" s="877"/>
      <c r="B32" s="187"/>
      <c r="C32" s="1007" t="str">
        <f>"  12 months commencing in "&amp;TRIM(Timing!$I$31)&amp;" "&amp;FIXED(Timing!$I$32,0,1)</f>
        <v xml:space="preserve">  12 months commencing in Feb 2018</v>
      </c>
      <c r="D32" s="999"/>
      <c r="E32" s="1000"/>
      <c r="F32" s="862"/>
      <c r="G32" s="862"/>
      <c r="H32" s="1000"/>
      <c r="I32" s="862"/>
      <c r="J32" s="737"/>
      <c r="K32" s="737"/>
      <c r="L32" s="737"/>
      <c r="M32" s="737"/>
      <c r="N32" s="737"/>
      <c r="O32" s="737"/>
      <c r="P32" s="737"/>
      <c r="Q32" s="444"/>
      <c r="R32" s="444"/>
      <c r="S32" s="444"/>
      <c r="T32" s="444"/>
      <c r="U32" s="444"/>
      <c r="V32" s="444"/>
      <c r="W32" s="444"/>
      <c r="X32" s="444"/>
      <c r="Y32" s="444"/>
      <c r="Z32" s="444"/>
      <c r="AA32" s="444"/>
      <c r="AB32" s="444"/>
      <c r="AC32" s="444"/>
      <c r="AD32" s="444"/>
      <c r="AE32" s="444"/>
      <c r="AF32" s="444"/>
      <c r="AG32" s="444"/>
      <c r="AH32" s="444"/>
      <c r="AI32" s="444"/>
      <c r="AJ32" s="444"/>
      <c r="AK32" s="444"/>
      <c r="AL32" s="444"/>
      <c r="AM32" s="444"/>
      <c r="AN32" s="444"/>
      <c r="AO32" s="187"/>
      <c r="AP32" s="188"/>
      <c r="AQ32" s="444"/>
    </row>
    <row r="33" spans="1:47" ht="7.5" customHeight="1">
      <c r="A33" s="877"/>
      <c r="B33" s="187"/>
      <c r="C33" s="452"/>
      <c r="D33" s="444"/>
      <c r="E33" s="444"/>
      <c r="F33" s="444"/>
      <c r="G33" s="444"/>
      <c r="H33" s="191"/>
      <c r="I33" s="444"/>
      <c r="J33" s="196"/>
      <c r="K33" s="196"/>
      <c r="L33" s="196"/>
      <c r="M33" s="196"/>
      <c r="N33" s="196"/>
      <c r="O33" s="444"/>
      <c r="P33" s="444"/>
      <c r="Q33" s="444"/>
      <c r="R33" s="444"/>
      <c r="S33" s="444"/>
      <c r="T33" s="444"/>
      <c r="U33" s="444"/>
      <c r="V33" s="444"/>
      <c r="W33" s="444"/>
      <c r="X33" s="444"/>
      <c r="Y33" s="444"/>
      <c r="Z33" s="444"/>
      <c r="AA33" s="444"/>
      <c r="AB33" s="444"/>
      <c r="AC33" s="444"/>
      <c r="AD33" s="444"/>
      <c r="AE33" s="444"/>
      <c r="AF33" s="444"/>
      <c r="AG33" s="444"/>
      <c r="AH33" s="444"/>
      <c r="AI33" s="444"/>
      <c r="AJ33" s="444"/>
      <c r="AK33" s="444"/>
      <c r="AL33" s="444"/>
      <c r="AM33" s="444"/>
      <c r="AN33" s="444"/>
      <c r="AO33" s="187"/>
      <c r="AP33" s="188"/>
      <c r="AQ33" s="444"/>
    </row>
    <row r="34" spans="1:47" ht="17.25" customHeight="1">
      <c r="A34" s="877"/>
      <c r="B34" s="550"/>
      <c r="C34" s="448" t="s">
        <v>588</v>
      </c>
      <c r="D34" s="449"/>
      <c r="E34" s="449"/>
      <c r="F34" s="449"/>
      <c r="G34" s="449"/>
      <c r="H34" s="449"/>
      <c r="I34" s="450"/>
      <c r="J34" s="445" t="str">
        <f>"in " &amp;Currency_Label</f>
        <v>in USD</v>
      </c>
      <c r="K34" s="446"/>
      <c r="L34" s="447"/>
      <c r="M34" s="445" t="s">
        <v>48</v>
      </c>
      <c r="N34" s="446"/>
      <c r="O34" s="447"/>
      <c r="P34" s="355" t="s">
        <v>589</v>
      </c>
      <c r="Q34" s="356"/>
      <c r="R34" s="356"/>
      <c r="S34" s="356"/>
      <c r="T34" s="444"/>
      <c r="U34" s="444"/>
      <c r="V34" s="448" t="s">
        <v>590</v>
      </c>
      <c r="W34" s="449"/>
      <c r="X34" s="449"/>
      <c r="Y34" s="449"/>
      <c r="Z34" s="449"/>
      <c r="AA34" s="449"/>
      <c r="AB34" s="450"/>
      <c r="AC34" s="445" t="str">
        <f>"in " &amp;Currency_Label</f>
        <v>in USD</v>
      </c>
      <c r="AD34" s="446"/>
      <c r="AE34" s="447"/>
      <c r="AF34" s="445" t="s">
        <v>48</v>
      </c>
      <c r="AG34" s="446"/>
      <c r="AH34" s="447"/>
      <c r="AI34" s="355" t="s">
        <v>589</v>
      </c>
      <c r="AJ34" s="356"/>
      <c r="AK34" s="356"/>
      <c r="AL34" s="356"/>
      <c r="AM34" s="444"/>
      <c r="AN34" s="444"/>
      <c r="AO34" s="187"/>
      <c r="AP34" s="188"/>
      <c r="AQ34" s="444"/>
    </row>
    <row r="35" spans="1:47" ht="12" customHeight="1">
      <c r="A35" s="877"/>
      <c r="B35" s="550"/>
      <c r="C35" s="444"/>
      <c r="D35" s="444"/>
      <c r="E35" s="444"/>
      <c r="F35" s="196"/>
      <c r="G35" s="444"/>
      <c r="H35" s="444"/>
      <c r="I35" s="444"/>
      <c r="J35" s="444"/>
      <c r="K35" s="444"/>
      <c r="L35" s="444"/>
      <c r="M35" s="444"/>
      <c r="N35" s="444"/>
      <c r="O35" s="444"/>
      <c r="P35" s="444"/>
      <c r="Q35" s="444"/>
      <c r="R35" s="444"/>
      <c r="S35" s="444"/>
      <c r="T35" s="444"/>
      <c r="U35" s="737"/>
      <c r="V35" s="444"/>
      <c r="W35" s="444"/>
      <c r="X35" s="444"/>
      <c r="Y35" s="444"/>
      <c r="Z35" s="444"/>
      <c r="AA35" s="444"/>
      <c r="AB35" s="444"/>
      <c r="AC35" s="444"/>
      <c r="AD35" s="444"/>
      <c r="AE35" s="444"/>
      <c r="AF35" s="444"/>
      <c r="AG35" s="444"/>
      <c r="AH35" s="444"/>
      <c r="AI35" s="444"/>
      <c r="AJ35" s="444"/>
      <c r="AK35" s="444"/>
      <c r="AL35" s="444"/>
      <c r="AM35" s="444"/>
      <c r="AN35" s="444"/>
      <c r="AO35" s="187"/>
      <c r="AP35" s="188"/>
      <c r="AQ35" s="444"/>
    </row>
    <row r="36" spans="1:47" ht="17.25" customHeight="1">
      <c r="A36" s="877"/>
      <c r="B36" s="550"/>
      <c r="C36" s="444" t="str">
        <f>Financing!C11</f>
        <v>Cash collected from sales (incl. VAT)</v>
      </c>
      <c r="D36" s="444"/>
      <c r="E36" s="444"/>
      <c r="F36" s="444"/>
      <c r="G36" s="444"/>
      <c r="H36" s="444"/>
      <c r="I36" s="444"/>
      <c r="J36" s="454">
        <f ca="1">SUMIF(Timing!$J$18:$AG$18,1,Financing!J11:AG11)+Inputs!$F$269</f>
        <v>390726.54427256127</v>
      </c>
      <c r="K36" s="455"/>
      <c r="L36" s="455"/>
      <c r="M36" s="456">
        <f t="shared" ref="M36:M47" ca="1" si="1">IFERROR(J36/J$52,0)</f>
        <v>0.4591889535380087</v>
      </c>
      <c r="N36" s="456"/>
      <c r="O36" s="456"/>
      <c r="P36" s="1152">
        <f ca="1">M36</f>
        <v>0.4591889535380087</v>
      </c>
      <c r="Q36" s="1153"/>
      <c r="R36" s="1153"/>
      <c r="S36" s="1153"/>
      <c r="T36" s="444"/>
      <c r="U36" s="737"/>
      <c r="V36" s="444" t="s">
        <v>286</v>
      </c>
      <c r="W36" s="444"/>
      <c r="X36" s="444"/>
      <c r="Y36" s="444"/>
      <c r="Z36" s="444"/>
      <c r="AA36" s="444"/>
      <c r="AB36" s="444"/>
      <c r="AC36" s="454">
        <f ca="1">-(SUMIF(Timing!$J$18:$AG$18,1,Financing!J16:AG16))</f>
        <v>13214.513332974848</v>
      </c>
      <c r="AD36" s="455"/>
      <c r="AE36" s="455"/>
      <c r="AF36" s="456">
        <f t="shared" ref="AF36:AF51" ca="1" si="2">IFERROR(AC36/AC$52,0)</f>
        <v>1.5529936826197176E-2</v>
      </c>
      <c r="AG36" s="456"/>
      <c r="AH36" s="456"/>
      <c r="AI36" s="1152">
        <f ca="1">AF36</f>
        <v>1.5529936826197176E-2</v>
      </c>
      <c r="AJ36" s="1153"/>
      <c r="AK36" s="1153"/>
      <c r="AL36" s="1153"/>
      <c r="AM36" s="444"/>
      <c r="AN36" s="444"/>
      <c r="AO36" s="187"/>
      <c r="AP36" s="188"/>
      <c r="AQ36" s="444"/>
    </row>
    <row r="37" spans="1:47" ht="17.25" customHeight="1">
      <c r="A37" s="877"/>
      <c r="B37" s="550"/>
      <c r="C37" s="444" t="s">
        <v>572</v>
      </c>
      <c r="D37" s="444"/>
      <c r="E37" s="444"/>
      <c r="F37" s="444"/>
      <c r="G37" s="444"/>
      <c r="H37" s="444"/>
      <c r="I37" s="444"/>
      <c r="J37" s="454">
        <f>SUMIF(Timing!$J$18:$AG$18,1,Financing!$J12:$AG12)</f>
        <v>1500</v>
      </c>
      <c r="K37" s="455"/>
      <c r="L37" s="455"/>
      <c r="M37" s="456">
        <f t="shared" ca="1" si="1"/>
        <v>1.762827328737959E-3</v>
      </c>
      <c r="N37" s="456"/>
      <c r="O37" s="456"/>
      <c r="P37" s="1152">
        <f t="shared" ref="P37:P47" ca="1" si="3">M37</f>
        <v>1.762827328737959E-3</v>
      </c>
      <c r="Q37" s="1153"/>
      <c r="R37" s="1153"/>
      <c r="S37" s="1153"/>
      <c r="T37" s="444"/>
      <c r="U37" s="737"/>
      <c r="V37" s="737" t="str">
        <f>Financing!C17</f>
        <v>Cost of Sales (incl. VAT)</v>
      </c>
      <c r="W37" s="737"/>
      <c r="X37" s="737"/>
      <c r="Y37" s="737"/>
      <c r="Z37" s="737"/>
      <c r="AA37" s="737"/>
      <c r="AB37" s="737"/>
      <c r="AC37" s="454">
        <f ca="1">-(SUMIF(Timing!$J$18:$AG$18,1,Financing!J17:AG17))</f>
        <v>54459.442568250299</v>
      </c>
      <c r="AD37" s="455"/>
      <c r="AE37" s="455"/>
      <c r="AF37" s="456">
        <f t="shared" ca="1" si="2"/>
        <v>6.4001729111309247E-2</v>
      </c>
      <c r="AG37" s="456"/>
      <c r="AH37" s="456"/>
      <c r="AI37" s="1152">
        <f t="shared" ref="AI37:AI49" ca="1" si="4">AF37</f>
        <v>6.4001729111309247E-2</v>
      </c>
      <c r="AJ37" s="1153"/>
      <c r="AK37" s="1153"/>
      <c r="AL37" s="1153"/>
      <c r="AM37" s="444"/>
      <c r="AN37" s="444"/>
      <c r="AO37" s="524"/>
      <c r="AP37" s="523"/>
      <c r="AQ37" s="522"/>
    </row>
    <row r="38" spans="1:47" ht="17.25" customHeight="1">
      <c r="A38" s="877"/>
      <c r="B38" s="550"/>
      <c r="C38" s="737" t="str">
        <f>Financing!C13</f>
        <v>Other operating &amp; extraordinary income</v>
      </c>
      <c r="D38" s="737"/>
      <c r="E38" s="737"/>
      <c r="F38" s="737"/>
      <c r="G38" s="737"/>
      <c r="H38" s="737"/>
      <c r="I38" s="737"/>
      <c r="J38" s="454">
        <f>MAX(0,SUMIF(Timing!$J$18:$AG$18,1,Financing!J13:AG13))</f>
        <v>2750</v>
      </c>
      <c r="K38" s="455"/>
      <c r="L38" s="455"/>
      <c r="M38" s="456">
        <f t="shared" ca="1" si="1"/>
        <v>3.2318501026862585E-3</v>
      </c>
      <c r="N38" s="456"/>
      <c r="O38" s="456"/>
      <c r="P38" s="1152">
        <f t="shared" ca="1" si="3"/>
        <v>3.2318501026862585E-3</v>
      </c>
      <c r="Q38" s="1153"/>
      <c r="R38" s="1153"/>
      <c r="S38" s="1153"/>
      <c r="T38" s="444"/>
      <c r="U38" s="737"/>
      <c r="V38" s="737" t="str">
        <f>Financing!C18</f>
        <v>Changes in inventory (incl. VAT)</v>
      </c>
      <c r="AC38" s="454">
        <f ca="1">-(SUMIF(Timing!$J$18:$AG$18,1,Financing!J18:AG18))</f>
        <v>26819.087969037337</v>
      </c>
      <c r="AD38" s="455"/>
      <c r="AE38" s="455"/>
      <c r="AF38" s="456">
        <f t="shared" ca="1" si="2"/>
        <v>3.1518280802370832E-2</v>
      </c>
      <c r="AG38" s="456"/>
      <c r="AH38" s="456"/>
      <c r="AI38" s="1152">
        <f t="shared" ca="1" si="4"/>
        <v>3.1518280802370832E-2</v>
      </c>
      <c r="AJ38" s="1153"/>
      <c r="AK38" s="1153"/>
      <c r="AL38" s="1153"/>
      <c r="AM38" s="444"/>
      <c r="AN38" s="444"/>
      <c r="AO38" s="524"/>
      <c r="AP38" s="523"/>
      <c r="AQ38" s="522"/>
    </row>
    <row r="39" spans="1:47" s="799" customFormat="1" ht="17.25" customHeight="1">
      <c r="A39" s="877"/>
      <c r="B39" s="550"/>
      <c r="C39" s="737" t="s">
        <v>604</v>
      </c>
      <c r="D39" s="737"/>
      <c r="E39" s="737"/>
      <c r="F39" s="737"/>
      <c r="G39" s="737"/>
      <c r="H39" s="737"/>
      <c r="I39" s="737"/>
      <c r="J39" s="454">
        <f>MAX(0,SUMIF(Timing!$J$18:$AG$18,1,Financing!J14:AG14))</f>
        <v>0</v>
      </c>
      <c r="K39" s="455"/>
      <c r="L39" s="455"/>
      <c r="M39" s="456">
        <f t="shared" ca="1" si="1"/>
        <v>0</v>
      </c>
      <c r="N39" s="456"/>
      <c r="O39" s="456"/>
      <c r="P39" s="1152">
        <f t="shared" ca="1" si="3"/>
        <v>0</v>
      </c>
      <c r="Q39" s="1153"/>
      <c r="R39" s="1153"/>
      <c r="S39" s="1153"/>
      <c r="T39" s="737"/>
      <c r="U39" s="737"/>
      <c r="V39" s="737" t="str">
        <f>Financing!C19</f>
        <v>Overheads (incl. VAT)</v>
      </c>
      <c r="W39" s="737"/>
      <c r="X39" s="737"/>
      <c r="Y39" s="737"/>
      <c r="Z39" s="737"/>
      <c r="AA39" s="737"/>
      <c r="AB39" s="737"/>
      <c r="AC39" s="454">
        <f ca="1">-(SUMIF(Timing!$J$18:$AG$18,1,Financing!J19:AG19))</f>
        <v>366618.84512849763</v>
      </c>
      <c r="AD39" s="455"/>
      <c r="AE39" s="455"/>
      <c r="AF39" s="456">
        <f t="shared" ca="1" si="2"/>
        <v>0.43085714628108823</v>
      </c>
      <c r="AG39" s="456"/>
      <c r="AH39" s="456"/>
      <c r="AI39" s="1152">
        <f t="shared" ca="1" si="4"/>
        <v>0.43085714628108823</v>
      </c>
      <c r="AJ39" s="1153"/>
      <c r="AK39" s="1153"/>
      <c r="AL39" s="1153"/>
      <c r="AM39" s="737"/>
      <c r="AN39" s="737"/>
      <c r="AO39" s="550"/>
      <c r="AP39" s="549"/>
      <c r="AQ39" s="737"/>
    </row>
    <row r="40" spans="1:47" s="799" customFormat="1" ht="17.25" customHeight="1">
      <c r="A40" s="877"/>
      <c r="B40" s="550"/>
      <c r="C40" s="737" t="str">
        <f>Financing!C15</f>
        <v>Interest received on cash deposits</v>
      </c>
      <c r="D40" s="737"/>
      <c r="E40" s="737"/>
      <c r="F40" s="737"/>
      <c r="G40" s="737"/>
      <c r="H40" s="737"/>
      <c r="I40" s="737"/>
      <c r="J40" s="454">
        <f ca="1">MAX(0,SUMIF(Timing!$J$18:$AG$18,1,Financing!J15:AG15))</f>
        <v>773.71344816876513</v>
      </c>
      <c r="K40" s="455"/>
      <c r="L40" s="455"/>
      <c r="M40" s="456">
        <f t="shared" ca="1" si="1"/>
        <v>9.0928214069598641E-4</v>
      </c>
      <c r="N40" s="456"/>
      <c r="O40" s="456"/>
      <c r="P40" s="1152">
        <f t="shared" ca="1" si="3"/>
        <v>9.0928214069598641E-4</v>
      </c>
      <c r="Q40" s="1153"/>
      <c r="R40" s="1153"/>
      <c r="S40" s="1153"/>
      <c r="T40" s="737"/>
      <c r="U40" s="737"/>
      <c r="V40" s="737" t="str">
        <f>Financing!C20</f>
        <v>Direct labor costs (w/o social insurance+income tax)</v>
      </c>
      <c r="W40" s="737"/>
      <c r="X40" s="737"/>
      <c r="Y40" s="737"/>
      <c r="Z40" s="737"/>
      <c r="AA40" s="737"/>
      <c r="AB40" s="737"/>
      <c r="AC40" s="454">
        <f ca="1">-(SUMIF(Timing!$J$18:$AG$18,1,Financing!J20:AG20))</f>
        <v>65264.841894133599</v>
      </c>
      <c r="AD40" s="455"/>
      <c r="AE40" s="455"/>
      <c r="AF40" s="456">
        <f t="shared" ca="1" si="2"/>
        <v>7.6700431264347557E-2</v>
      </c>
      <c r="AG40" s="456"/>
      <c r="AH40" s="456"/>
      <c r="AI40" s="1152">
        <f t="shared" ca="1" si="4"/>
        <v>7.6700431264347557E-2</v>
      </c>
      <c r="AJ40" s="1153"/>
      <c r="AK40" s="1153"/>
      <c r="AL40" s="1153"/>
      <c r="AM40" s="737"/>
      <c r="AN40" s="737"/>
      <c r="AO40" s="550"/>
      <c r="AP40" s="549"/>
      <c r="AQ40" s="737"/>
    </row>
    <row r="41" spans="1:47" s="799" customFormat="1" ht="17.25" customHeight="1">
      <c r="A41" s="877"/>
      <c r="B41" s="550"/>
      <c r="C41" s="737" t="str">
        <f>Name_VAT &amp;" recovered from tax authority"</f>
        <v>VAT recovered from tax authority</v>
      </c>
      <c r="D41" s="737"/>
      <c r="E41" s="737"/>
      <c r="F41" s="737"/>
      <c r="G41" s="737"/>
      <c r="H41" s="737"/>
      <c r="I41" s="737"/>
      <c r="J41" s="454">
        <f ca="1">MAX(0,SUMIF(Timing!$J$18:$AG$18,1,Financing!J33:AG33))</f>
        <v>0</v>
      </c>
      <c r="K41" s="455"/>
      <c r="L41" s="455"/>
      <c r="M41" s="456">
        <f t="shared" ca="1" si="1"/>
        <v>0</v>
      </c>
      <c r="N41" s="456"/>
      <c r="O41" s="456"/>
      <c r="P41" s="1152">
        <f t="shared" ca="1" si="3"/>
        <v>0</v>
      </c>
      <c r="Q41" s="1153"/>
      <c r="R41" s="1153"/>
      <c r="S41" s="1153"/>
      <c r="T41" s="737"/>
      <c r="U41" s="737"/>
      <c r="V41" s="737" t="str">
        <f>Financing!C21</f>
        <v>Social insurance &amp; income tax (PAYE/Payroll withholdings)</v>
      </c>
      <c r="W41" s="737"/>
      <c r="X41" s="737"/>
      <c r="Y41" s="737"/>
      <c r="Z41" s="737"/>
      <c r="AA41" s="737"/>
      <c r="AB41" s="737"/>
      <c r="AC41" s="454">
        <f ca="1">-(SUMIF(Timing!$J$18:$AG$18,1,Financing!J21:AG21))</f>
        <v>45349.529964020359</v>
      </c>
      <c r="AD41" s="455"/>
      <c r="AE41" s="455"/>
      <c r="AF41" s="456">
        <f t="shared" ca="1" si="2"/>
        <v>5.3295593843895712E-2</v>
      </c>
      <c r="AG41" s="456"/>
      <c r="AH41" s="456"/>
      <c r="AI41" s="1152">
        <f t="shared" ca="1" si="4"/>
        <v>5.3295593843895712E-2</v>
      </c>
      <c r="AJ41" s="1153"/>
      <c r="AK41" s="1153"/>
      <c r="AL41" s="1153"/>
      <c r="AM41" s="737"/>
      <c r="AN41" s="737"/>
      <c r="AO41" s="550"/>
      <c r="AP41" s="549"/>
      <c r="AQ41" s="737"/>
    </row>
    <row r="42" spans="1:47" s="799" customFormat="1" ht="17.25" customHeight="1">
      <c r="A42" s="877"/>
      <c r="B42" s="550"/>
      <c r="C42" s="737" t="str">
        <f>C12</f>
        <v>Share Capital</v>
      </c>
      <c r="D42" s="737"/>
      <c r="E42" s="737"/>
      <c r="F42" s="737"/>
      <c r="G42" s="737"/>
      <c r="H42" s="737"/>
      <c r="I42" s="737"/>
      <c r="J42" s="454">
        <f ca="1">SUMIF(Timing!$J$18:$AG$18,1,Financing!$J42:$AG42)</f>
        <v>230000</v>
      </c>
      <c r="K42" s="455"/>
      <c r="L42" s="455"/>
      <c r="M42" s="456">
        <f t="shared" ca="1" si="1"/>
        <v>0.27030019040648706</v>
      </c>
      <c r="N42" s="456"/>
      <c r="O42" s="456"/>
      <c r="P42" s="1152">
        <f t="shared" ca="1" si="3"/>
        <v>0.27030019040648706</v>
      </c>
      <c r="Q42" s="1153"/>
      <c r="R42" s="1153"/>
      <c r="S42" s="1153"/>
      <c r="T42" s="737"/>
      <c r="U42" s="737"/>
      <c r="V42" s="737" t="str">
        <f>Financing!C22</f>
        <v>Extraordinary expenses</v>
      </c>
      <c r="W42" s="737"/>
      <c r="X42" s="737"/>
      <c r="Y42" s="737"/>
      <c r="Z42" s="737"/>
      <c r="AA42" s="737"/>
      <c r="AB42" s="737"/>
      <c r="AC42" s="454">
        <f>-(SUMIF(Timing!$J$18:$AG$18,1,Financing!J22:AG22))</f>
        <v>0</v>
      </c>
      <c r="AD42" s="455"/>
      <c r="AE42" s="455"/>
      <c r="AF42" s="456">
        <f t="shared" ca="1" si="2"/>
        <v>0</v>
      </c>
      <c r="AG42" s="456"/>
      <c r="AH42" s="456"/>
      <c r="AI42" s="1152">
        <f t="shared" ca="1" si="4"/>
        <v>0</v>
      </c>
      <c r="AJ42" s="1153"/>
      <c r="AK42" s="1153"/>
      <c r="AL42" s="1153"/>
      <c r="AM42" s="737"/>
      <c r="AN42" s="737"/>
      <c r="AO42" s="550"/>
      <c r="AP42" s="549"/>
      <c r="AQ42" s="737"/>
    </row>
    <row r="43" spans="1:47" ht="17.25" customHeight="1">
      <c r="A43" s="877"/>
      <c r="B43" s="550"/>
      <c r="C43" s="737" t="str">
        <f>C14</f>
        <v>Debt: EasyCredit</v>
      </c>
      <c r="D43" s="737"/>
      <c r="E43" s="737"/>
      <c r="F43" s="737"/>
      <c r="G43" s="737"/>
      <c r="H43" s="737"/>
      <c r="I43" s="737"/>
      <c r="J43" s="454">
        <f ca="1">SUMIF(Timing!$J$18:$AG$18,1,Financing!$J45:$AG45)</f>
        <v>0</v>
      </c>
      <c r="K43" s="455"/>
      <c r="L43" s="455"/>
      <c r="M43" s="456">
        <f t="shared" ca="1" si="1"/>
        <v>0</v>
      </c>
      <c r="N43" s="456"/>
      <c r="O43" s="456"/>
      <c r="P43" s="1152">
        <f t="shared" ca="1" si="3"/>
        <v>0</v>
      </c>
      <c r="Q43" s="1153"/>
      <c r="R43" s="1153"/>
      <c r="S43" s="1153"/>
      <c r="T43" s="737"/>
      <c r="U43" s="737"/>
      <c r="V43" s="737" t="str">
        <f>Financing!C23</f>
        <v>Capital Expenditure (incl. VAT)</v>
      </c>
      <c r="W43" s="737"/>
      <c r="X43" s="737"/>
      <c r="Y43" s="737"/>
      <c r="Z43" s="737"/>
      <c r="AA43" s="737"/>
      <c r="AB43" s="737"/>
      <c r="AC43" s="454">
        <f>-(SUMIF(Timing!$J$18:$AG$18,1,Financing!J23:AG23))</f>
        <v>202140</v>
      </c>
      <c r="AD43" s="455"/>
      <c r="AE43" s="455"/>
      <c r="AF43" s="456">
        <f t="shared" ca="1" si="2"/>
        <v>0.23755861082027427</v>
      </c>
      <c r="AG43" s="456"/>
      <c r="AH43" s="456"/>
      <c r="AI43" s="1152">
        <f t="shared" ca="1" si="4"/>
        <v>0.23755861082027427</v>
      </c>
      <c r="AJ43" s="1153"/>
      <c r="AK43" s="1153"/>
      <c r="AL43" s="1153"/>
      <c r="AM43" s="444"/>
      <c r="AN43" s="444"/>
      <c r="AO43" s="187"/>
      <c r="AP43" s="188"/>
      <c r="AQ43" s="444"/>
    </row>
    <row r="44" spans="1:47" ht="17.25" customHeight="1">
      <c r="A44" s="877"/>
      <c r="B44" s="877"/>
      <c r="C44" s="737" t="str">
        <f>C15</f>
        <v>Debt: URB Bank</v>
      </c>
      <c r="D44" s="737"/>
      <c r="E44" s="737"/>
      <c r="F44" s="737"/>
      <c r="G44" s="737"/>
      <c r="H44" s="737"/>
      <c r="I44" s="737"/>
      <c r="J44" s="454">
        <f>SUMIF(Timing!$J$18:$AG$18,1,Financing!$J49:$AG49)</f>
        <v>70000</v>
      </c>
      <c r="K44" s="455"/>
      <c r="L44" s="455"/>
      <c r="M44" s="456">
        <f t="shared" ca="1" si="1"/>
        <v>8.2265275341104754E-2</v>
      </c>
      <c r="N44" s="456"/>
      <c r="O44" s="456"/>
      <c r="P44" s="1152">
        <f t="shared" ca="1" si="3"/>
        <v>8.2265275341104754E-2</v>
      </c>
      <c r="Q44" s="1153"/>
      <c r="R44" s="1153"/>
      <c r="S44" s="1153"/>
      <c r="T44" s="737"/>
      <c r="U44" s="737"/>
      <c r="V44" s="737" t="s">
        <v>605</v>
      </c>
      <c r="W44" s="737"/>
      <c r="X44" s="737"/>
      <c r="Y44" s="737"/>
      <c r="Z44" s="737"/>
      <c r="AA44" s="737"/>
      <c r="AB44" s="737"/>
      <c r="AC44" s="454">
        <f>-(SUMIF(Timing!$J$18:$AG$18,1,Financing!J24:AG24)+SUMIF(Timing!$J$18:$AG$18,1,Financing!J25:AG25))</f>
        <v>6500</v>
      </c>
      <c r="AD44" s="455"/>
      <c r="AE44" s="455"/>
      <c r="AF44" s="456">
        <f t="shared" ca="1" si="2"/>
        <v>7.6389184245165857E-3</v>
      </c>
      <c r="AG44" s="456"/>
      <c r="AH44" s="456"/>
      <c r="AI44" s="1152">
        <f t="shared" ca="1" si="4"/>
        <v>7.6389184245165857E-3</v>
      </c>
      <c r="AJ44" s="1153"/>
      <c r="AK44" s="1153"/>
      <c r="AL44" s="1153"/>
      <c r="AM44" s="444"/>
      <c r="AN44" s="444"/>
      <c r="AO44" s="187"/>
      <c r="AP44" s="188"/>
      <c r="AQ44" s="444"/>
    </row>
    <row r="45" spans="1:47" ht="17.25" customHeight="1">
      <c r="A45" s="877"/>
      <c r="B45" s="877"/>
      <c r="C45" s="737" t="str">
        <f>C16</f>
        <v>Debt: FounderBank</v>
      </c>
      <c r="D45" s="737"/>
      <c r="E45" s="737"/>
      <c r="F45" s="737"/>
      <c r="G45" s="737"/>
      <c r="H45" s="737"/>
      <c r="I45" s="737"/>
      <c r="J45" s="454">
        <f>SUMIF(Timing!$J$18:$AG$18,1,Financing!$J54:$AG54)</f>
        <v>110000</v>
      </c>
      <c r="K45" s="455"/>
      <c r="L45" s="455"/>
      <c r="M45" s="456">
        <f t="shared" ca="1" si="1"/>
        <v>0.12927400410745032</v>
      </c>
      <c r="N45" s="456"/>
      <c r="O45" s="456"/>
      <c r="P45" s="1152">
        <f t="shared" ca="1" si="3"/>
        <v>0.12927400410745032</v>
      </c>
      <c r="Q45" s="1153"/>
      <c r="R45" s="1153"/>
      <c r="S45" s="1153"/>
      <c r="T45" s="737"/>
      <c r="U45" s="737"/>
      <c r="V45" s="737" t="s">
        <v>1062</v>
      </c>
      <c r="W45" s="878"/>
      <c r="X45" s="878"/>
      <c r="Y45" s="878"/>
      <c r="Z45" s="878"/>
      <c r="AA45" s="878"/>
      <c r="AB45" s="878"/>
      <c r="AC45" s="454">
        <f>-(SUMIF(Timing!$J$18:$AG$18,1,Financing!J26:AG26)+SUMIF(Timing!$J$18:$AG$18,1,Financing!J27:AG27))</f>
        <v>0</v>
      </c>
      <c r="AD45" s="455"/>
      <c r="AE45" s="455"/>
      <c r="AF45" s="456">
        <f t="shared" ca="1" si="2"/>
        <v>0</v>
      </c>
      <c r="AG45" s="456"/>
      <c r="AH45" s="456"/>
      <c r="AI45" s="1152">
        <f t="shared" ca="1" si="4"/>
        <v>0</v>
      </c>
      <c r="AJ45" s="1153"/>
      <c r="AK45" s="1153"/>
      <c r="AL45" s="1153"/>
      <c r="AM45" s="737"/>
      <c r="AN45" s="444"/>
      <c r="AO45" s="187"/>
      <c r="AP45" s="549"/>
      <c r="AQ45" s="737"/>
      <c r="AR45" s="878"/>
      <c r="AS45" s="878"/>
      <c r="AT45" s="878"/>
      <c r="AU45" s="878"/>
    </row>
    <row r="46" spans="1:47" ht="17.25" customHeight="1">
      <c r="A46" s="877"/>
      <c r="B46" s="877"/>
      <c r="C46" s="737" t="str">
        <f>C17</f>
        <v>Debt: Shareholder Loan</v>
      </c>
      <c r="D46" s="737"/>
      <c r="E46" s="737"/>
      <c r="F46" s="737"/>
      <c r="G46" s="737"/>
      <c r="H46" s="737"/>
      <c r="I46" s="737"/>
      <c r="J46" s="454">
        <f>SUMIF(Timing!$J$18:$AG$18,1,Financing!$J59:$AG59)</f>
        <v>0</v>
      </c>
      <c r="K46" s="455"/>
      <c r="L46" s="455"/>
      <c r="M46" s="456">
        <f t="shared" ca="1" si="1"/>
        <v>0</v>
      </c>
      <c r="N46" s="456"/>
      <c r="O46" s="456"/>
      <c r="P46" s="1152">
        <f t="shared" ca="1" si="3"/>
        <v>0</v>
      </c>
      <c r="Q46" s="1153"/>
      <c r="R46" s="1153"/>
      <c r="S46" s="1153"/>
      <c r="T46" s="737"/>
      <c r="U46" s="737"/>
      <c r="V46" s="737" t="s">
        <v>598</v>
      </c>
      <c r="W46" s="737"/>
      <c r="X46" s="737"/>
      <c r="Y46" s="737"/>
      <c r="Z46" s="737"/>
      <c r="AA46" s="737"/>
      <c r="AB46" s="737"/>
      <c r="AC46" s="454">
        <f ca="1">-(SUMIF(Timing!$J$18:$AG$18,1,Financing!J28:AG28)+SUMIF(Timing!$J$18:$AG$18,1,Financing!J29:AG29)+SUMIF(Timing!$J$18:$AG$18,1,Financing!J31:AG31))</f>
        <v>4068.2220984129608</v>
      </c>
      <c r="AD46" s="455"/>
      <c r="AE46" s="455"/>
      <c r="AF46" s="456">
        <f t="shared" ca="1" si="2"/>
        <v>4.7810487296295837E-3</v>
      </c>
      <c r="AG46" s="456"/>
      <c r="AH46" s="456"/>
      <c r="AI46" s="1152">
        <f t="shared" ca="1" si="4"/>
        <v>4.7810487296295837E-3</v>
      </c>
      <c r="AJ46" s="1153"/>
      <c r="AK46" s="1153"/>
      <c r="AL46" s="1153"/>
      <c r="AM46" s="737"/>
      <c r="AN46" s="444"/>
      <c r="AO46" s="187"/>
      <c r="AP46" s="188"/>
      <c r="AQ46" s="444"/>
    </row>
    <row r="47" spans="1:47" ht="17.25" customHeight="1">
      <c r="A47" s="877"/>
      <c r="B47" s="877"/>
      <c r="C47" s="737" t="str">
        <f>C18</f>
        <v>Overdraft Facility</v>
      </c>
      <c r="D47" s="737"/>
      <c r="E47" s="737"/>
      <c r="F47" s="737"/>
      <c r="G47" s="737"/>
      <c r="H47" s="737"/>
      <c r="I47" s="737"/>
      <c r="J47" s="454">
        <f ca="1">SUMIF(Timing!$J$18:$AG$18,1,Financing!$J67:$AG67)</f>
        <v>45155.543174629362</v>
      </c>
      <c r="K47" s="455"/>
      <c r="L47" s="455"/>
      <c r="M47" s="456">
        <f t="shared" ca="1" si="1"/>
        <v>5.3067617034828971E-2</v>
      </c>
      <c r="N47" s="456"/>
      <c r="O47" s="456"/>
      <c r="P47" s="1152">
        <f t="shared" ca="1" si="3"/>
        <v>5.3067617034828971E-2</v>
      </c>
      <c r="Q47" s="1153"/>
      <c r="R47" s="1153"/>
      <c r="S47" s="1153"/>
      <c r="T47" s="444"/>
      <c r="U47" s="737"/>
      <c r="V47" s="737" t="s">
        <v>1061</v>
      </c>
      <c r="W47" s="737"/>
      <c r="X47" s="737"/>
      <c r="Y47" s="737"/>
      <c r="Z47" s="737"/>
      <c r="AA47" s="737"/>
      <c r="AB47" s="737"/>
      <c r="AC47" s="454">
        <f ca="1">-SUMIF(Timing!$J$18:$AG$18,1,Financing!$J152:$AG152)</f>
        <v>46155.543174629362</v>
      </c>
      <c r="AD47" s="455"/>
      <c r="AE47" s="455"/>
      <c r="AF47" s="456">
        <f t="shared" ca="1" si="2"/>
        <v>5.4242835253884153E-2</v>
      </c>
      <c r="AG47" s="456"/>
      <c r="AH47" s="456"/>
      <c r="AI47" s="1152">
        <f t="shared" ca="1" si="4"/>
        <v>5.4242835253884153E-2</v>
      </c>
      <c r="AJ47" s="1153"/>
      <c r="AK47" s="1153"/>
      <c r="AL47" s="1153"/>
      <c r="AM47" s="737"/>
      <c r="AN47" s="444"/>
      <c r="AO47" s="187"/>
      <c r="AP47" s="188"/>
      <c r="AQ47" s="444"/>
    </row>
    <row r="48" spans="1:47" ht="17.25" customHeight="1">
      <c r="A48" s="877"/>
      <c r="B48" s="877"/>
      <c r="C48" s="728"/>
      <c r="D48" s="728"/>
      <c r="E48" s="728"/>
      <c r="F48" s="728"/>
      <c r="G48" s="728"/>
      <c r="H48" s="728"/>
      <c r="I48" s="728"/>
      <c r="J48" s="454"/>
      <c r="K48" s="862"/>
      <c r="L48" s="862"/>
      <c r="M48" s="863"/>
      <c r="N48" s="863"/>
      <c r="O48" s="863"/>
      <c r="P48" s="1152"/>
      <c r="Q48" s="1153"/>
      <c r="R48" s="1153"/>
      <c r="S48" s="1153"/>
      <c r="U48" s="737"/>
      <c r="V48" s="737" t="str">
        <f>Name_VAT &amp;" paid to tax authority"</f>
        <v>VAT paid to tax authority</v>
      </c>
      <c r="W48" s="737"/>
      <c r="X48" s="737"/>
      <c r="Y48" s="737"/>
      <c r="Z48" s="737"/>
      <c r="AA48" s="737"/>
      <c r="AB48" s="737"/>
      <c r="AC48" s="454">
        <f ca="1">MAX(0,-SUMIF(Timing!$J$18:$AG$18,1,Financing!J33:AG33))</f>
        <v>5393.1760670259719</v>
      </c>
      <c r="AD48" s="455"/>
      <c r="AE48" s="455"/>
      <c r="AF48" s="456">
        <f t="shared" ca="1" si="2"/>
        <v>6.3381587730871681E-3</v>
      </c>
      <c r="AG48" s="456"/>
      <c r="AH48" s="456"/>
      <c r="AI48" s="1152">
        <f t="shared" ca="1" si="4"/>
        <v>6.3381587730871681E-3</v>
      </c>
      <c r="AJ48" s="1153"/>
      <c r="AK48" s="1153"/>
      <c r="AL48" s="1153"/>
      <c r="AM48" s="737"/>
      <c r="AN48" s="444"/>
      <c r="AO48" s="187"/>
      <c r="AP48" s="188"/>
      <c r="AQ48" s="444"/>
    </row>
    <row r="49" spans="1:63" ht="17.25" customHeight="1">
      <c r="A49" s="877"/>
      <c r="B49" s="877"/>
      <c r="C49" s="728"/>
      <c r="D49" s="728"/>
      <c r="E49" s="728"/>
      <c r="F49" s="728"/>
      <c r="G49" s="728"/>
      <c r="H49" s="728"/>
      <c r="I49" s="728"/>
      <c r="J49" s="454"/>
      <c r="K49" s="862"/>
      <c r="L49" s="862"/>
      <c r="M49" s="863"/>
      <c r="N49" s="863"/>
      <c r="O49" s="863"/>
      <c r="P49" s="1152"/>
      <c r="Q49" s="1153"/>
      <c r="R49" s="1153"/>
      <c r="S49" s="1153"/>
      <c r="U49" s="737"/>
      <c r="V49" s="737" t="str">
        <f>Financing!C34</f>
        <v>Taxes on income paid</v>
      </c>
      <c r="W49" s="737"/>
      <c r="X49" s="737"/>
      <c r="Y49" s="737"/>
      <c r="Z49" s="737"/>
      <c r="AA49" s="737"/>
      <c r="AB49" s="737"/>
      <c r="AC49" s="454">
        <f ca="1">-(SUMIF(Timing!$J$18:$AG$18,1,Financing!J34:AG34))</f>
        <v>5000</v>
      </c>
      <c r="AD49" s="455"/>
      <c r="AE49" s="455"/>
      <c r="AF49" s="456">
        <f t="shared" ca="1" si="2"/>
        <v>5.8760910957819891E-3</v>
      </c>
      <c r="AG49" s="456"/>
      <c r="AH49" s="456"/>
      <c r="AI49" s="1152">
        <f t="shared" ca="1" si="4"/>
        <v>5.8760910957819891E-3</v>
      </c>
      <c r="AJ49" s="1153"/>
      <c r="AK49" s="1153"/>
      <c r="AL49" s="1153"/>
      <c r="AM49" s="444"/>
      <c r="AN49" s="444"/>
      <c r="AO49" s="187"/>
      <c r="AP49" s="188"/>
      <c r="AQ49" s="444"/>
    </row>
    <row r="50" spans="1:63" s="878" customFormat="1" ht="17.25" customHeight="1">
      <c r="A50" s="877"/>
      <c r="B50" s="877"/>
      <c r="C50" s="728"/>
      <c r="D50" s="728"/>
      <c r="E50" s="728"/>
      <c r="F50" s="728"/>
      <c r="G50" s="728"/>
      <c r="H50" s="728"/>
      <c r="I50" s="728"/>
      <c r="J50" s="454"/>
      <c r="K50" s="862"/>
      <c r="L50" s="862"/>
      <c r="M50" s="863"/>
      <c r="N50" s="863"/>
      <c r="O50" s="863"/>
      <c r="P50" s="1025"/>
      <c r="Q50" s="1024"/>
      <c r="R50" s="1024"/>
      <c r="S50" s="1024"/>
      <c r="U50" s="737"/>
      <c r="V50" s="737" t="s">
        <v>607</v>
      </c>
      <c r="W50" s="737"/>
      <c r="X50" s="737"/>
      <c r="Y50" s="737"/>
      <c r="Z50" s="737"/>
      <c r="AA50" s="737"/>
      <c r="AB50" s="737"/>
      <c r="AC50" s="454">
        <f ca="1">BI289</f>
        <v>9922.5987000000023</v>
      </c>
      <c r="AD50" s="455"/>
      <c r="AE50" s="455"/>
      <c r="AF50" s="456">
        <f t="shared" ca="1" si="2"/>
        <v>1.1661218773617591E-2</v>
      </c>
      <c r="AG50" s="456"/>
      <c r="AH50" s="456"/>
      <c r="AI50" s="1152">
        <f ca="1">AF50</f>
        <v>1.1661218773617591E-2</v>
      </c>
      <c r="AJ50" s="1153"/>
      <c r="AK50" s="1153"/>
      <c r="AL50" s="1153"/>
      <c r="AM50" s="737"/>
      <c r="AN50" s="737"/>
      <c r="AO50" s="877"/>
      <c r="AP50" s="549"/>
      <c r="AQ50" s="737"/>
    </row>
    <row r="51" spans="1:63" ht="17.25" customHeight="1">
      <c r="A51" s="877"/>
      <c r="B51" s="877"/>
      <c r="C51" s="728"/>
      <c r="D51" s="728"/>
      <c r="E51" s="728"/>
      <c r="F51" s="728"/>
      <c r="G51" s="728"/>
      <c r="H51" s="728"/>
      <c r="I51" s="728"/>
      <c r="J51" s="454"/>
      <c r="K51" s="862"/>
      <c r="L51" s="862"/>
      <c r="M51" s="863"/>
      <c r="N51" s="863"/>
      <c r="O51" s="863"/>
      <c r="P51" s="1152"/>
      <c r="Q51" s="1153"/>
      <c r="R51" s="1153"/>
      <c r="S51" s="1153"/>
      <c r="U51" s="737"/>
      <c r="V51" s="737" t="str">
        <f>Financing!C75</f>
        <v>Dividend payout</v>
      </c>
      <c r="W51" s="737"/>
      <c r="X51" s="737"/>
      <c r="Y51" s="737"/>
      <c r="Z51" s="737"/>
      <c r="AA51" s="737"/>
      <c r="AB51" s="737"/>
      <c r="AC51" s="454">
        <f>-(SUMIF(Timing!$J$18:$AG$18,1,Financing!J75:AG75))</f>
        <v>0</v>
      </c>
      <c r="AD51" s="455"/>
      <c r="AE51" s="455"/>
      <c r="AF51" s="456">
        <f t="shared" ca="1" si="2"/>
        <v>0</v>
      </c>
      <c r="AG51" s="456"/>
      <c r="AH51" s="456"/>
      <c r="AI51" s="1152">
        <f t="shared" ref="AI51" ca="1" si="5">AF51</f>
        <v>0</v>
      </c>
      <c r="AJ51" s="1153"/>
      <c r="AK51" s="1153"/>
      <c r="AL51" s="1153"/>
      <c r="AM51" s="737"/>
      <c r="AN51" s="444"/>
      <c r="AO51" s="187"/>
      <c r="AP51" s="188"/>
      <c r="AQ51" s="444"/>
      <c r="AS51" s="78"/>
    </row>
    <row r="52" spans="1:63" ht="17.25" customHeight="1" thickBot="1">
      <c r="A52" s="877"/>
      <c r="B52" s="877"/>
      <c r="C52" s="197" t="s">
        <v>595</v>
      </c>
      <c r="D52" s="198"/>
      <c r="E52" s="198"/>
      <c r="F52" s="198"/>
      <c r="G52" s="198"/>
      <c r="H52" s="198"/>
      <c r="I52" s="198"/>
      <c r="J52" s="457">
        <f ca="1">SUM(J36:J51)</f>
        <v>850905.80089535937</v>
      </c>
      <c r="K52" s="458"/>
      <c r="L52" s="458"/>
      <c r="M52" s="459">
        <f ca="1">SUM(M36:M51)</f>
        <v>1</v>
      </c>
      <c r="N52" s="459"/>
      <c r="O52" s="459"/>
      <c r="P52" s="444"/>
      <c r="Q52" s="444"/>
      <c r="R52" s="444"/>
      <c r="S52" s="444"/>
      <c r="T52" s="444"/>
      <c r="U52" s="737"/>
      <c r="V52" s="197" t="s">
        <v>596</v>
      </c>
      <c r="W52" s="198"/>
      <c r="X52" s="198"/>
      <c r="Y52" s="198"/>
      <c r="Z52" s="198"/>
      <c r="AA52" s="198"/>
      <c r="AB52" s="198"/>
      <c r="AC52" s="457">
        <f ca="1">SUM(AC36:AC51)</f>
        <v>850905.80089698231</v>
      </c>
      <c r="AD52" s="458"/>
      <c r="AE52" s="458"/>
      <c r="AF52" s="459">
        <f ca="1">SUM(AF36:AF51)</f>
        <v>1.0000000000000002</v>
      </c>
      <c r="AG52" s="459"/>
      <c r="AH52" s="459"/>
      <c r="AI52" s="444"/>
      <c r="AJ52" s="444"/>
      <c r="AK52" s="444"/>
      <c r="AL52" s="444"/>
      <c r="AM52" s="444"/>
      <c r="AN52" s="444"/>
      <c r="AO52" s="187"/>
      <c r="AP52" s="188"/>
      <c r="AQ52" s="444"/>
    </row>
    <row r="53" spans="1:63" ht="9" customHeight="1" thickTop="1">
      <c r="A53" s="877"/>
      <c r="B53" s="877"/>
      <c r="C53" s="444"/>
      <c r="D53" s="444"/>
      <c r="E53" s="444"/>
      <c r="F53" s="444"/>
      <c r="G53" s="444"/>
      <c r="H53" s="444"/>
      <c r="I53" s="444"/>
      <c r="J53" s="196"/>
      <c r="K53" s="444"/>
      <c r="L53" s="444"/>
      <c r="M53" s="444"/>
      <c r="N53" s="444"/>
      <c r="O53" s="444"/>
      <c r="P53" s="444"/>
      <c r="Q53" s="444"/>
      <c r="R53" s="444"/>
      <c r="S53" s="444"/>
      <c r="T53" s="444"/>
      <c r="U53" s="737"/>
      <c r="V53" s="444"/>
      <c r="W53" s="444"/>
      <c r="X53" s="444"/>
      <c r="Y53" s="444"/>
      <c r="Z53" s="444"/>
      <c r="AA53" s="444"/>
      <c r="AB53" s="444"/>
      <c r="AC53" s="444"/>
      <c r="AD53" s="444"/>
      <c r="AE53" s="444"/>
      <c r="AF53" s="444"/>
      <c r="AG53" s="444"/>
      <c r="AH53" s="444"/>
      <c r="AI53" s="444"/>
      <c r="AJ53" s="444"/>
      <c r="AK53" s="444"/>
      <c r="AL53" s="444"/>
      <c r="AM53" s="444"/>
      <c r="AN53" s="444"/>
      <c r="AO53" s="187"/>
      <c r="AP53" s="188"/>
      <c r="AQ53" s="444"/>
    </row>
    <row r="54" spans="1:63" ht="17.25" customHeight="1">
      <c r="A54" s="877"/>
      <c r="B54" s="877"/>
      <c r="C54" s="444" t="s">
        <v>597</v>
      </c>
      <c r="D54" s="444"/>
      <c r="E54" s="444"/>
      <c r="F54" s="444"/>
      <c r="G54" s="444"/>
      <c r="H54" s="444"/>
      <c r="I54" s="444"/>
      <c r="J54" s="631">
        <f ca="1">ROUND(J52-AC52,1)</f>
        <v>0</v>
      </c>
      <c r="K54" s="631"/>
      <c r="L54" s="631"/>
      <c r="M54" s="559">
        <f ca="1">ROUND(J52-AC52,1)</f>
        <v>0</v>
      </c>
      <c r="N54" s="560"/>
      <c r="O54" s="560"/>
      <c r="P54" s="536"/>
      <c r="Q54" s="444"/>
      <c r="R54" s="444"/>
      <c r="S54" s="444"/>
      <c r="T54" s="444"/>
      <c r="U54" s="444"/>
      <c r="V54" s="444"/>
      <c r="W54" s="444"/>
      <c r="X54" s="444"/>
      <c r="Y54" s="444"/>
      <c r="Z54" s="444"/>
      <c r="AA54" s="444"/>
      <c r="AB54" s="444"/>
      <c r="AC54" s="444"/>
      <c r="AD54" s="444"/>
      <c r="AE54" s="444"/>
      <c r="AF54" s="444"/>
      <c r="AG54" s="444"/>
      <c r="AH54" s="444"/>
      <c r="AI54" s="444"/>
      <c r="AJ54" s="444"/>
      <c r="AK54" s="444"/>
      <c r="AL54" s="444"/>
      <c r="AM54" s="444"/>
      <c r="AN54" s="444"/>
      <c r="AO54" s="187"/>
      <c r="AP54" s="188"/>
      <c r="AQ54" s="444"/>
    </row>
    <row r="55" spans="1:63" ht="17.25" customHeight="1">
      <c r="A55" s="877"/>
      <c r="B55" s="877"/>
      <c r="C55" s="444"/>
      <c r="D55" s="444"/>
      <c r="E55" s="444"/>
      <c r="F55" s="444"/>
      <c r="G55" s="444"/>
      <c r="H55" s="444"/>
      <c r="I55" s="444"/>
      <c r="J55" s="196"/>
      <c r="K55" s="444"/>
      <c r="L55" s="444"/>
      <c r="M55" s="444"/>
      <c r="N55" s="444"/>
      <c r="O55" s="444"/>
      <c r="P55" s="444"/>
      <c r="Q55" s="444"/>
      <c r="R55" s="444"/>
      <c r="S55" s="444"/>
      <c r="T55" s="444"/>
      <c r="U55" s="444"/>
      <c r="V55" s="444"/>
      <c r="W55" s="444"/>
      <c r="X55" s="444"/>
      <c r="Y55" s="444"/>
      <c r="Z55" s="444"/>
      <c r="AA55" s="444"/>
      <c r="AB55" s="444"/>
      <c r="AC55" s="444"/>
      <c r="AD55" s="444"/>
      <c r="AE55" s="444"/>
      <c r="AF55" s="444"/>
      <c r="AG55" s="444"/>
      <c r="AH55" s="444"/>
      <c r="AI55" s="444"/>
      <c r="AJ55" s="444"/>
      <c r="AK55" s="444"/>
      <c r="AL55" s="444"/>
      <c r="AM55" s="444"/>
      <c r="AN55" s="444"/>
      <c r="AO55" s="187"/>
      <c r="AP55" s="188"/>
      <c r="AQ55" s="444"/>
    </row>
    <row r="56" spans="1:63" ht="12" customHeight="1">
      <c r="A56" s="877"/>
      <c r="B56" s="87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8"/>
      <c r="AQ56" s="444"/>
    </row>
    <row r="57" spans="1:63" ht="12" customHeight="1">
      <c r="A57" s="877"/>
      <c r="B57" s="877"/>
      <c r="C57" s="460"/>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8"/>
      <c r="AQ57" s="444"/>
      <c r="AW57" s="488"/>
      <c r="AX57" s="188"/>
      <c r="AY57" s="188"/>
      <c r="AZ57" s="188"/>
      <c r="BA57" s="188"/>
      <c r="BB57" s="188"/>
      <c r="BC57" s="188"/>
      <c r="BD57" s="188"/>
      <c r="BE57" s="188"/>
      <c r="BF57" s="188"/>
      <c r="BG57" s="188"/>
      <c r="BH57" s="188"/>
      <c r="BI57" s="188"/>
      <c r="BJ57" s="188"/>
      <c r="BK57" s="188"/>
    </row>
    <row r="58" spans="1:63" ht="21" customHeight="1">
      <c r="A58" s="877"/>
      <c r="B58" s="877"/>
      <c r="C58" s="190" t="str">
        <f>CHOOSE(language,"Profit and Loss Statement","Income Statement")</f>
        <v>Income Statement</v>
      </c>
      <c r="D58" s="188"/>
      <c r="E58" s="188"/>
      <c r="F58" s="188"/>
      <c r="G58" s="188"/>
      <c r="H58" s="188"/>
      <c r="I58" s="188"/>
      <c r="J58" s="188"/>
      <c r="K58" s="188"/>
      <c r="L58" s="520"/>
      <c r="M58" s="520"/>
      <c r="N58" s="520"/>
      <c r="O58" s="520"/>
      <c r="P58" s="520"/>
      <c r="Q58" s="519"/>
      <c r="R58" s="520"/>
      <c r="S58" s="520"/>
      <c r="T58" s="520"/>
      <c r="U58" s="520"/>
      <c r="V58" s="520"/>
      <c r="W58" s="520"/>
      <c r="X58" s="520"/>
      <c r="Y58" s="520"/>
      <c r="Z58" s="520"/>
      <c r="AA58" s="519"/>
      <c r="AB58" s="519"/>
      <c r="AC58" s="519"/>
      <c r="AD58" s="520"/>
      <c r="AE58" s="520"/>
      <c r="AF58" s="519"/>
      <c r="AG58" s="519"/>
      <c r="AH58" s="519"/>
      <c r="AI58" s="520"/>
      <c r="AJ58" s="520"/>
      <c r="AK58" s="376"/>
      <c r="AL58" s="187"/>
      <c r="AM58" s="187"/>
      <c r="AN58" s="187"/>
      <c r="AO58" s="187"/>
      <c r="AP58" s="188"/>
      <c r="AQ58" s="444"/>
    </row>
    <row r="59" spans="1:63" ht="17.25" customHeight="1">
      <c r="A59" s="877"/>
      <c r="B59" s="877"/>
      <c r="C59" s="191" t="str">
        <f>"   (all currency in " &amp;Currency_Label &amp;")"</f>
        <v xml:space="preserve">   (all currency in USD)</v>
      </c>
      <c r="D59" s="444"/>
      <c r="E59" s="444"/>
      <c r="F59" s="444"/>
      <c r="G59" s="444"/>
      <c r="H59" s="444"/>
      <c r="I59" s="444"/>
      <c r="J59" s="444"/>
      <c r="K59" s="444"/>
      <c r="L59" s="346" t="str">
        <f>'Summary 02'!$V$5</f>
        <v>FY 2017</v>
      </c>
      <c r="M59" s="347"/>
      <c r="N59" s="348"/>
      <c r="O59" s="349" t="s">
        <v>48</v>
      </c>
      <c r="P59" s="351"/>
      <c r="Q59" s="352" t="str">
        <f>'Summary 02'!$AA$5</f>
        <v>FY 2018</v>
      </c>
      <c r="R59" s="347"/>
      <c r="S59" s="348"/>
      <c r="T59" s="349" t="s">
        <v>48</v>
      </c>
      <c r="U59" s="351"/>
      <c r="V59" s="352" t="s">
        <v>1072</v>
      </c>
      <c r="W59" s="347"/>
      <c r="X59" s="348"/>
      <c r="Y59" s="349"/>
      <c r="Z59" s="350"/>
      <c r="AA59" s="352"/>
      <c r="AB59" s="347"/>
      <c r="AC59" s="348"/>
      <c r="AD59" s="349"/>
      <c r="AE59" s="350"/>
      <c r="AF59" s="352"/>
      <c r="AG59" s="347"/>
      <c r="AH59" s="348"/>
      <c r="AI59" s="349"/>
      <c r="AJ59" s="350"/>
      <c r="AK59" s="187"/>
      <c r="AL59" s="187"/>
      <c r="AM59" s="187"/>
      <c r="AN59" s="187"/>
      <c r="AO59" s="187"/>
      <c r="AP59" s="188"/>
      <c r="AQ59" s="188"/>
      <c r="AR59" s="125"/>
    </row>
    <row r="60" spans="1:63" ht="17.25" customHeight="1">
      <c r="A60" s="877"/>
      <c r="B60" s="877"/>
      <c r="C60" s="191" t="str">
        <f>"   (last month in fiscal year: " &amp;Inputs!$I$20&amp;")"</f>
        <v xml:space="preserve">   (last month in fiscal year: Nov)</v>
      </c>
      <c r="D60" s="191"/>
      <c r="E60" s="444"/>
      <c r="F60" s="191"/>
      <c r="G60" s="191"/>
      <c r="H60" s="191"/>
      <c r="I60" s="444"/>
      <c r="J60" s="444"/>
      <c r="K60" s="1003">
        <f>IF(Inputs!$I$22=1,"",IF(MONTH(Startdatum)=1,"",Startdatum))</f>
        <v>43132</v>
      </c>
      <c r="L60" s="1001"/>
      <c r="M60" s="1002"/>
      <c r="N60" s="1001"/>
      <c r="O60" s="463"/>
      <c r="P60" s="464"/>
      <c r="Q60" s="465"/>
      <c r="R60" s="461"/>
      <c r="S60" s="462"/>
      <c r="T60" s="463"/>
      <c r="U60" s="464"/>
      <c r="V60" s="551"/>
      <c r="W60" s="551"/>
      <c r="X60" s="551"/>
      <c r="Y60" s="551"/>
      <c r="Z60" s="551"/>
      <c r="AA60" s="551"/>
      <c r="AB60" s="551"/>
      <c r="AC60" s="551"/>
      <c r="AD60" s="551"/>
      <c r="AE60" s="551"/>
      <c r="AF60" s="551"/>
      <c r="AG60" s="551"/>
      <c r="AH60" s="551"/>
      <c r="AI60" s="551"/>
      <c r="AJ60" s="551"/>
      <c r="AK60" s="377"/>
      <c r="AL60" s="187"/>
      <c r="AM60" s="187"/>
      <c r="AN60" s="187"/>
      <c r="AO60" s="187"/>
      <c r="AP60" s="188"/>
      <c r="AQ60" s="549"/>
    </row>
    <row r="61" spans="1:63" ht="17.25" customHeight="1">
      <c r="A61" s="877"/>
      <c r="B61" s="877"/>
      <c r="C61" s="188" t="str">
        <f>CHOOSE(language,"Turnover","Revenue")</f>
        <v>Revenue</v>
      </c>
      <c r="D61" s="188"/>
      <c r="E61" s="188"/>
      <c r="F61" s="188"/>
      <c r="G61" s="444"/>
      <c r="H61" s="444"/>
      <c r="I61" s="444"/>
      <c r="J61" s="737"/>
      <c r="K61" s="444"/>
      <c r="L61" s="466">
        <f ca="1">'Summary 02'!V15</f>
        <v>391429.00416910852</v>
      </c>
      <c r="M61" s="467"/>
      <c r="N61" s="468"/>
      <c r="O61" s="860">
        <f t="shared" ref="O61:O67" ca="1" si="6">IFERROR(L61/L$61,0)</f>
        <v>1</v>
      </c>
      <c r="P61" s="470"/>
      <c r="Q61" s="471">
        <f ca="1">'Summary 02'!AA15</f>
        <v>1282291.1234232928</v>
      </c>
      <c r="R61" s="467"/>
      <c r="S61" s="468"/>
      <c r="T61" s="860">
        <f t="shared" ref="T61:T67" ca="1" si="7">IFERROR(Q61/Q$61,0)</f>
        <v>1</v>
      </c>
      <c r="U61" s="470"/>
      <c r="V61" s="551"/>
      <c r="W61" s="551"/>
      <c r="X61" s="551"/>
      <c r="Y61" s="551"/>
      <c r="Z61" s="551"/>
      <c r="AA61" s="551"/>
      <c r="AB61" s="551"/>
      <c r="AC61" s="551"/>
      <c r="AD61" s="551"/>
      <c r="AE61" s="551"/>
      <c r="AF61" s="551"/>
      <c r="AG61" s="551"/>
      <c r="AH61" s="551"/>
      <c r="AI61" s="551"/>
      <c r="AJ61" s="551"/>
      <c r="AK61" s="377"/>
      <c r="AL61" s="187"/>
      <c r="AM61" s="187"/>
      <c r="AN61" s="187"/>
      <c r="AO61" s="187"/>
      <c r="AP61" s="188"/>
      <c r="AQ61" s="549"/>
    </row>
    <row r="62" spans="1:63" s="878" customFormat="1" ht="17.25" customHeight="1" outlineLevel="1">
      <c r="A62" s="877"/>
      <c r="B62" s="877"/>
      <c r="C62" s="24" t="str">
        <f>"  -  " &amp;PS_01</f>
        <v xml:space="preserve">  -  WonderApp</v>
      </c>
      <c r="D62" s="549"/>
      <c r="E62" s="549"/>
      <c r="F62" s="549"/>
      <c r="G62" s="737"/>
      <c r="H62" s="737"/>
      <c r="I62" s="737"/>
      <c r="J62" s="737"/>
      <c r="K62" s="737"/>
      <c r="L62" s="472">
        <f ca="1">'Summary 02'!V11</f>
        <v>391429.00416910852</v>
      </c>
      <c r="M62" s="473"/>
      <c r="N62" s="474"/>
      <c r="O62" s="469">
        <f t="shared" ca="1" si="6"/>
        <v>1</v>
      </c>
      <c r="P62" s="470"/>
      <c r="Q62" s="475">
        <f ca="1">'Summary 02'!AA11</f>
        <v>1282291.1234232928</v>
      </c>
      <c r="R62" s="473"/>
      <c r="S62" s="474"/>
      <c r="T62" s="469">
        <f t="shared" ca="1" si="7"/>
        <v>1</v>
      </c>
      <c r="U62" s="470"/>
      <c r="V62" s="551"/>
      <c r="W62" s="551"/>
      <c r="X62" s="551"/>
      <c r="Y62" s="551"/>
      <c r="Z62" s="551"/>
      <c r="AA62" s="551"/>
      <c r="AB62" s="551"/>
      <c r="AC62" s="551"/>
      <c r="AD62" s="551"/>
      <c r="AE62" s="551"/>
      <c r="AF62" s="551"/>
      <c r="AG62" s="551"/>
      <c r="AH62" s="551"/>
      <c r="AI62" s="551"/>
      <c r="AJ62" s="551"/>
      <c r="AK62" s="551"/>
      <c r="AL62" s="877"/>
      <c r="AM62" s="877"/>
      <c r="AN62" s="877"/>
      <c r="AO62" s="877"/>
      <c r="AP62" s="549"/>
      <c r="AQ62" s="549"/>
    </row>
    <row r="63" spans="1:63" s="878" customFormat="1" ht="17.25" customHeight="1" outlineLevel="1">
      <c r="A63" s="877"/>
      <c r="B63" s="877"/>
      <c r="C63" s="24" t="str">
        <f>"  -  " &amp;PS_02</f>
        <v xml:space="preserve">  -  WonderMoreX</v>
      </c>
      <c r="D63" s="549"/>
      <c r="E63" s="549"/>
      <c r="F63" s="549"/>
      <c r="G63" s="737"/>
      <c r="H63" s="737"/>
      <c r="I63" s="737"/>
      <c r="J63" s="737"/>
      <c r="K63" s="737"/>
      <c r="L63" s="472">
        <f>'Summary 02'!V12</f>
        <v>0</v>
      </c>
      <c r="M63" s="473"/>
      <c r="N63" s="474"/>
      <c r="O63" s="469">
        <f t="shared" ca="1" si="6"/>
        <v>0</v>
      </c>
      <c r="P63" s="470"/>
      <c r="Q63" s="475">
        <f>'Summary 02'!AA12</f>
        <v>0</v>
      </c>
      <c r="R63" s="473"/>
      <c r="S63" s="474"/>
      <c r="T63" s="469">
        <f t="shared" ca="1" si="7"/>
        <v>0</v>
      </c>
      <c r="U63" s="470"/>
      <c r="V63" s="551"/>
      <c r="W63" s="551"/>
      <c r="X63" s="551"/>
      <c r="Y63" s="551"/>
      <c r="Z63" s="551"/>
      <c r="AA63" s="551"/>
      <c r="AB63" s="551"/>
      <c r="AC63" s="551"/>
      <c r="AD63" s="551"/>
      <c r="AE63" s="551"/>
      <c r="AF63" s="551"/>
      <c r="AG63" s="551"/>
      <c r="AH63" s="551"/>
      <c r="AI63" s="551"/>
      <c r="AJ63" s="551"/>
      <c r="AK63" s="551"/>
      <c r="AL63" s="877"/>
      <c r="AM63" s="877"/>
      <c r="AN63" s="877"/>
      <c r="AO63" s="877"/>
      <c r="AP63" s="549"/>
      <c r="AQ63" s="549"/>
    </row>
    <row r="64" spans="1:63" s="878" customFormat="1" ht="17.25" customHeight="1" outlineLevel="1">
      <c r="A64" s="877"/>
      <c r="B64" s="877"/>
      <c r="C64" s="24" t="str">
        <f>"  -  " &amp;PS_03</f>
        <v xml:space="preserve">  -  Customizing Services</v>
      </c>
      <c r="D64" s="549"/>
      <c r="E64" s="549"/>
      <c r="F64" s="549"/>
      <c r="G64" s="737"/>
      <c r="H64" s="737"/>
      <c r="I64" s="737"/>
      <c r="J64" s="737"/>
      <c r="K64" s="737"/>
      <c r="L64" s="472">
        <f>'Summary 02'!V13</f>
        <v>0</v>
      </c>
      <c r="M64" s="473"/>
      <c r="N64" s="474"/>
      <c r="O64" s="469">
        <f t="shared" ca="1" si="6"/>
        <v>0</v>
      </c>
      <c r="P64" s="470"/>
      <c r="Q64" s="475">
        <f>'Summary 02'!AA13</f>
        <v>0</v>
      </c>
      <c r="R64" s="473"/>
      <c r="S64" s="474"/>
      <c r="T64" s="469">
        <f t="shared" ca="1" si="7"/>
        <v>0</v>
      </c>
      <c r="U64" s="470"/>
      <c r="V64" s="551"/>
      <c r="W64" s="551"/>
      <c r="X64" s="551"/>
      <c r="Y64" s="551"/>
      <c r="Z64" s="551"/>
      <c r="AA64" s="551"/>
      <c r="AB64" s="551"/>
      <c r="AC64" s="551"/>
      <c r="AD64" s="551"/>
      <c r="AE64" s="551"/>
      <c r="AF64" s="551"/>
      <c r="AG64" s="551"/>
      <c r="AH64" s="551"/>
      <c r="AI64" s="551"/>
      <c r="AJ64" s="551"/>
      <c r="AK64" s="551"/>
      <c r="AL64" s="877"/>
      <c r="AM64" s="877"/>
      <c r="AN64" s="877"/>
      <c r="AO64" s="877"/>
      <c r="AP64" s="549"/>
      <c r="AQ64" s="549"/>
    </row>
    <row r="65" spans="1:49" s="878" customFormat="1" ht="17.25" customHeight="1" outlineLevel="1">
      <c r="A65" s="877"/>
      <c r="B65" s="877"/>
      <c r="C65" s="24" t="str">
        <f>"  -  " &amp;PS_04</f>
        <v xml:space="preserve">  -  FutureApp</v>
      </c>
      <c r="D65" s="549"/>
      <c r="E65" s="549"/>
      <c r="F65" s="549"/>
      <c r="G65" s="737"/>
      <c r="H65" s="737"/>
      <c r="I65" s="737"/>
      <c r="J65" s="737"/>
      <c r="K65" s="737"/>
      <c r="L65" s="472">
        <f>'Summary 02'!V14</f>
        <v>0</v>
      </c>
      <c r="M65" s="473"/>
      <c r="N65" s="474"/>
      <c r="O65" s="469">
        <f t="shared" ca="1" si="6"/>
        <v>0</v>
      </c>
      <c r="P65" s="470"/>
      <c r="Q65" s="475">
        <f>'Summary 02'!AA14</f>
        <v>0</v>
      </c>
      <c r="R65" s="473"/>
      <c r="S65" s="474"/>
      <c r="T65" s="469">
        <f t="shared" ca="1" si="7"/>
        <v>0</v>
      </c>
      <c r="U65" s="470"/>
      <c r="V65" s="551"/>
      <c r="W65" s="551"/>
      <c r="X65" s="551"/>
      <c r="Y65" s="551"/>
      <c r="Z65" s="551"/>
      <c r="AA65" s="551"/>
      <c r="AB65" s="551"/>
      <c r="AC65" s="551"/>
      <c r="AD65" s="551"/>
      <c r="AE65" s="551"/>
      <c r="AF65" s="551"/>
      <c r="AG65" s="551"/>
      <c r="AH65" s="551"/>
      <c r="AI65" s="551"/>
      <c r="AJ65" s="551"/>
      <c r="AK65" s="551"/>
      <c r="AL65" s="877"/>
      <c r="AM65" s="877"/>
      <c r="AN65" s="877"/>
      <c r="AO65" s="877"/>
      <c r="AP65" s="549"/>
      <c r="AQ65" s="549"/>
    </row>
    <row r="66" spans="1:49" ht="17.25" customHeight="1">
      <c r="A66" s="877"/>
      <c r="B66" s="877"/>
      <c r="C66" s="188" t="s">
        <v>271</v>
      </c>
      <c r="D66" s="188"/>
      <c r="E66" s="188"/>
      <c r="F66" s="188"/>
      <c r="G66" s="444"/>
      <c r="H66" s="444"/>
      <c r="I66" s="444"/>
      <c r="J66" s="444"/>
      <c r="K66" s="444"/>
      <c r="L66" s="472">
        <f ca="1">'Summary 02'!V23</f>
        <v>90622.460525983595</v>
      </c>
      <c r="M66" s="473"/>
      <c r="N66" s="474"/>
      <c r="O66" s="469">
        <f t="shared" ca="1" si="6"/>
        <v>0.23151697896876364</v>
      </c>
      <c r="P66" s="470"/>
      <c r="Q66" s="475">
        <f ca="1">'Summary 02'!AA23</f>
        <v>316225.90306667058</v>
      </c>
      <c r="R66" s="473"/>
      <c r="S66" s="474"/>
      <c r="T66" s="469">
        <f t="shared" ca="1" si="7"/>
        <v>0.24661006950001502</v>
      </c>
      <c r="U66" s="470"/>
      <c r="V66" s="551"/>
      <c r="W66" s="551"/>
      <c r="X66" s="551"/>
      <c r="Y66" s="551"/>
      <c r="Z66" s="551"/>
      <c r="AA66" s="551"/>
      <c r="AB66" s="551"/>
      <c r="AC66" s="551"/>
      <c r="AD66" s="551"/>
      <c r="AE66" s="551"/>
      <c r="AF66" s="551"/>
      <c r="AG66" s="551"/>
      <c r="AH66" s="551"/>
      <c r="AI66" s="551"/>
      <c r="AJ66" s="551"/>
      <c r="AK66" s="377"/>
      <c r="AL66" s="187"/>
      <c r="AM66" s="187"/>
      <c r="AN66" s="187"/>
      <c r="AO66" s="187"/>
      <c r="AP66" s="188"/>
      <c r="AQ66" s="549"/>
    </row>
    <row r="67" spans="1:49" ht="17.25" customHeight="1">
      <c r="A67" s="877"/>
      <c r="B67" s="877"/>
      <c r="C67" s="195" t="s">
        <v>274</v>
      </c>
      <c r="D67" s="187"/>
      <c r="E67" s="187"/>
      <c r="F67" s="187"/>
      <c r="G67" s="187"/>
      <c r="H67" s="187"/>
      <c r="I67" s="187"/>
      <c r="J67" s="550"/>
      <c r="K67" s="187"/>
      <c r="L67" s="476">
        <f ca="1">L61-L66</f>
        <v>300806.54364312493</v>
      </c>
      <c r="M67" s="477"/>
      <c r="N67" s="478"/>
      <c r="O67" s="479">
        <f t="shared" ca="1" si="6"/>
        <v>0.76848302103123634</v>
      </c>
      <c r="P67" s="480"/>
      <c r="Q67" s="481">
        <f ca="1">Q61-Q66</f>
        <v>966065.22035662225</v>
      </c>
      <c r="R67" s="477"/>
      <c r="S67" s="478"/>
      <c r="T67" s="479">
        <f t="shared" ca="1" si="7"/>
        <v>0.75338993049998504</v>
      </c>
      <c r="U67" s="480"/>
      <c r="V67" s="551"/>
      <c r="W67" s="551"/>
      <c r="X67" s="551"/>
      <c r="Y67" s="551"/>
      <c r="Z67" s="551"/>
      <c r="AA67" s="551"/>
      <c r="AB67" s="551"/>
      <c r="AC67" s="551"/>
      <c r="AD67" s="551"/>
      <c r="AE67" s="551"/>
      <c r="AF67" s="551"/>
      <c r="AG67" s="551"/>
      <c r="AH67" s="551"/>
      <c r="AI67" s="551"/>
      <c r="AJ67" s="551"/>
      <c r="AK67" s="377"/>
      <c r="AL67" s="187"/>
      <c r="AM67" s="187"/>
      <c r="AN67" s="187"/>
      <c r="AO67" s="187"/>
      <c r="AP67" s="188"/>
      <c r="AQ67" s="549"/>
      <c r="AW67" s="345"/>
    </row>
    <row r="68" spans="1:49" s="878" customFormat="1" ht="17.25" customHeight="1">
      <c r="A68" s="877"/>
      <c r="B68" s="877"/>
      <c r="C68" s="444" t="s">
        <v>273</v>
      </c>
      <c r="D68" s="444"/>
      <c r="E68" s="444"/>
      <c r="F68" s="444"/>
      <c r="G68" s="444"/>
      <c r="H68" s="444"/>
      <c r="I68" s="444"/>
      <c r="J68" s="444"/>
      <c r="K68" s="444"/>
      <c r="L68" s="472">
        <f ca="1">SUM(L69:L71)</f>
        <v>303112.82627923402</v>
      </c>
      <c r="M68" s="473"/>
      <c r="N68" s="474"/>
      <c r="O68" s="469">
        <f ca="1">IFERROR(L68/L$61,0)</f>
        <v>0.77437497745639872</v>
      </c>
      <c r="P68" s="470"/>
      <c r="Q68" s="475">
        <f ca="1">SUM(Q69:Q71)</f>
        <v>675851.92739263654</v>
      </c>
      <c r="R68" s="473"/>
      <c r="S68" s="474"/>
      <c r="T68" s="469">
        <f ca="1">IFERROR(Q68/Q$61,0)</f>
        <v>0.52706590184320679</v>
      </c>
      <c r="U68" s="470"/>
      <c r="V68" s="551"/>
      <c r="W68" s="551"/>
      <c r="X68" s="551"/>
      <c r="Y68" s="551"/>
      <c r="Z68" s="551"/>
      <c r="AA68" s="551"/>
      <c r="AB68" s="551"/>
      <c r="AC68" s="551"/>
      <c r="AD68" s="551"/>
      <c r="AE68" s="551"/>
      <c r="AF68" s="551"/>
      <c r="AG68" s="551"/>
      <c r="AH68" s="551"/>
      <c r="AI68" s="551"/>
      <c r="AJ68" s="551"/>
      <c r="AK68" s="377"/>
      <c r="AL68" s="877"/>
      <c r="AM68" s="877"/>
      <c r="AN68" s="877"/>
      <c r="AO68" s="877"/>
      <c r="AP68" s="549"/>
      <c r="AQ68" s="549"/>
      <c r="AW68" s="345"/>
    </row>
    <row r="69" spans="1:49" s="878" customFormat="1" ht="17.25" customHeight="1" outlineLevel="1">
      <c r="A69" s="877"/>
      <c r="B69" s="877"/>
      <c r="C69" s="24" t="str">
        <f>IF(IFS!C28="","",IFS!C28)</f>
        <v xml:space="preserve">  -  Marketing and Sales </v>
      </c>
      <c r="D69" s="549"/>
      <c r="E69" s="549"/>
      <c r="F69" s="549"/>
      <c r="G69" s="737"/>
      <c r="H69" s="737"/>
      <c r="I69" s="737"/>
      <c r="J69" s="737"/>
      <c r="K69" s="737"/>
      <c r="L69" s="472">
        <f ca="1">'Summary 02'!V27</f>
        <v>121332.00746755337</v>
      </c>
      <c r="M69" s="473"/>
      <c r="N69" s="474"/>
      <c r="O69" s="469">
        <f ca="1">IFERROR(L69/L$61,0)</f>
        <v>0.3099719391645655</v>
      </c>
      <c r="P69" s="470"/>
      <c r="Q69" s="475">
        <f ca="1">'Summary 02'!AA27</f>
        <v>304308.86724167911</v>
      </c>
      <c r="R69" s="473"/>
      <c r="S69" s="474"/>
      <c r="T69" s="469">
        <f ca="1">IFERROR(Q69/Q$61,0)</f>
        <v>0.23731652015906901</v>
      </c>
      <c r="U69" s="470"/>
      <c r="V69" s="551"/>
      <c r="W69" s="551"/>
      <c r="X69" s="551"/>
      <c r="Y69" s="551"/>
      <c r="Z69" s="551"/>
      <c r="AA69" s="551"/>
      <c r="AB69" s="551"/>
      <c r="AC69" s="551"/>
      <c r="AD69" s="551"/>
      <c r="AE69" s="551"/>
      <c r="AF69" s="551"/>
      <c r="AG69" s="551"/>
      <c r="AH69" s="551"/>
      <c r="AI69" s="551"/>
      <c r="AJ69" s="551"/>
      <c r="AK69" s="551"/>
      <c r="AL69" s="877"/>
      <c r="AM69" s="877"/>
      <c r="AN69" s="877"/>
      <c r="AO69" s="877"/>
      <c r="AP69" s="549"/>
      <c r="AQ69" s="549"/>
      <c r="AW69" s="345"/>
    </row>
    <row r="70" spans="1:49" s="878" customFormat="1" ht="17.25" customHeight="1" outlineLevel="1">
      <c r="A70" s="877"/>
      <c r="B70" s="877"/>
      <c r="C70" s="24" t="str">
        <f>IF(IFS!C44="","",IFS!C44)</f>
        <v xml:space="preserve">  -  Research and Development</v>
      </c>
      <c r="D70" s="549"/>
      <c r="E70" s="549"/>
      <c r="F70" s="549"/>
      <c r="G70" s="737"/>
      <c r="H70" s="737"/>
      <c r="I70" s="737"/>
      <c r="J70" s="737"/>
      <c r="K70" s="737"/>
      <c r="L70" s="472">
        <f>'Summary 02'!V43</f>
        <v>76218.31881168067</v>
      </c>
      <c r="M70" s="473"/>
      <c r="N70" s="474"/>
      <c r="O70" s="469">
        <f ca="1">IFERROR(L70/L$61,0)</f>
        <v>0.19471811746160786</v>
      </c>
      <c r="P70" s="470"/>
      <c r="Q70" s="475">
        <f>'Summary 02'!AA43</f>
        <v>169316.06015095746</v>
      </c>
      <c r="R70" s="473"/>
      <c r="S70" s="474"/>
      <c r="T70" s="469">
        <f ca="1">IFERROR(Q70/Q$61,0)</f>
        <v>0.13204182502561482</v>
      </c>
      <c r="U70" s="470"/>
      <c r="V70" s="551"/>
      <c r="W70" s="551"/>
      <c r="X70" s="551"/>
      <c r="Y70" s="551"/>
      <c r="Z70" s="551"/>
      <c r="AA70" s="551"/>
      <c r="AB70" s="551"/>
      <c r="AC70" s="551"/>
      <c r="AD70" s="551"/>
      <c r="AE70" s="551"/>
      <c r="AF70" s="551"/>
      <c r="AG70" s="551"/>
      <c r="AH70" s="551"/>
      <c r="AI70" s="551"/>
      <c r="AJ70" s="551"/>
      <c r="AK70" s="551"/>
      <c r="AL70" s="877"/>
      <c r="AM70" s="877"/>
      <c r="AN70" s="877"/>
      <c r="AO70" s="877"/>
      <c r="AP70" s="549"/>
      <c r="AQ70" s="549"/>
      <c r="AW70" s="345"/>
    </row>
    <row r="71" spans="1:49" ht="17.25" customHeight="1" outlineLevel="1">
      <c r="A71" s="877"/>
      <c r="B71" s="877"/>
      <c r="C71" s="24" t="str">
        <f>IF(IFS!C60="","",IFS!C60)</f>
        <v xml:space="preserve">  -  General and Administration</v>
      </c>
      <c r="D71" s="549"/>
      <c r="E71" s="549"/>
      <c r="F71" s="549"/>
      <c r="G71" s="737"/>
      <c r="H71" s="737"/>
      <c r="I71" s="737"/>
      <c r="J71" s="737"/>
      <c r="K71" s="737"/>
      <c r="L71" s="472">
        <f>'Summary 02'!V59</f>
        <v>105562.5</v>
      </c>
      <c r="M71" s="473"/>
      <c r="N71" s="474"/>
      <c r="O71" s="469">
        <f ca="1">IFERROR(L71/L$61,0)</f>
        <v>0.26968492083022538</v>
      </c>
      <c r="P71" s="470"/>
      <c r="Q71" s="475">
        <f>'Summary 02'!AA59</f>
        <v>202227.00000000003</v>
      </c>
      <c r="R71" s="473"/>
      <c r="S71" s="474"/>
      <c r="T71" s="469">
        <f ca="1">IFERROR(Q71/Q$61,0)</f>
        <v>0.15770755665852298</v>
      </c>
      <c r="U71" s="470"/>
      <c r="V71" s="551"/>
      <c r="W71" s="551"/>
      <c r="X71" s="551"/>
      <c r="Y71" s="551"/>
      <c r="Z71" s="551"/>
      <c r="AA71" s="551"/>
      <c r="AB71" s="551"/>
      <c r="AC71" s="551"/>
      <c r="AD71" s="551"/>
      <c r="AE71" s="551"/>
      <c r="AF71" s="551"/>
      <c r="AG71" s="551"/>
      <c r="AH71" s="551"/>
      <c r="AI71" s="551"/>
      <c r="AJ71" s="551"/>
      <c r="AK71" s="551"/>
      <c r="AL71" s="877"/>
      <c r="AM71" s="187"/>
      <c r="AN71" s="187"/>
      <c r="AO71" s="187"/>
      <c r="AP71" s="188"/>
      <c r="AQ71" s="549"/>
    </row>
    <row r="72" spans="1:49" ht="17.25" customHeight="1">
      <c r="A72" s="877"/>
      <c r="B72" s="877"/>
      <c r="C72" s="195" t="s">
        <v>276</v>
      </c>
      <c r="D72" s="550"/>
      <c r="E72" s="550"/>
      <c r="F72" s="550"/>
      <c r="G72" s="550"/>
      <c r="H72" s="550"/>
      <c r="I72" s="550"/>
      <c r="J72" s="550"/>
      <c r="K72" s="550"/>
      <c r="L72" s="476">
        <f ca="1">L67-L68</f>
        <v>-2306.2826361090993</v>
      </c>
      <c r="M72" s="477"/>
      <c r="N72" s="478"/>
      <c r="O72" s="482">
        <f t="shared" ref="O72:O83" ca="1" si="8">IFERROR(L72/L$61,0)</f>
        <v>-5.8919564251624012E-3</v>
      </c>
      <c r="P72" s="480"/>
      <c r="Q72" s="481">
        <f ca="1">Q67-Q68</f>
        <v>290213.2929639857</v>
      </c>
      <c r="R72" s="477"/>
      <c r="S72" s="478"/>
      <c r="T72" s="482">
        <f t="shared" ref="T72:T83" ca="1" si="9">IFERROR(Q72/Q$61,0)</f>
        <v>0.22632402865677825</v>
      </c>
      <c r="U72" s="480"/>
      <c r="V72" s="551"/>
      <c r="W72" s="551"/>
      <c r="X72" s="551"/>
      <c r="Y72" s="551"/>
      <c r="Z72" s="551"/>
      <c r="AA72" s="551"/>
      <c r="AB72" s="551"/>
      <c r="AC72" s="551"/>
      <c r="AD72" s="551"/>
      <c r="AE72" s="551"/>
      <c r="AF72" s="551"/>
      <c r="AG72" s="551"/>
      <c r="AH72" s="551"/>
      <c r="AI72" s="551"/>
      <c r="AJ72" s="551"/>
      <c r="AK72" s="551"/>
      <c r="AL72" s="550"/>
      <c r="AM72" s="550"/>
      <c r="AN72" s="550"/>
      <c r="AO72" s="550"/>
      <c r="AP72" s="549"/>
      <c r="AQ72" s="549"/>
    </row>
    <row r="73" spans="1:49" ht="17.25" customHeight="1">
      <c r="A73" s="877"/>
      <c r="B73" s="877"/>
      <c r="C73" s="799" t="s">
        <v>279</v>
      </c>
      <c r="D73" s="557"/>
      <c r="E73" s="557"/>
      <c r="F73" s="557"/>
      <c r="G73" s="557"/>
      <c r="H73" s="557"/>
      <c r="I73" s="557"/>
      <c r="J73" s="557"/>
      <c r="K73" s="557"/>
      <c r="L73" s="472">
        <f>'Summary 02'!V78</f>
        <v>2750</v>
      </c>
      <c r="M73" s="473"/>
      <c r="N73" s="474"/>
      <c r="O73" s="469">
        <f t="shared" ca="1" si="8"/>
        <v>7.0255396782296729E-3</v>
      </c>
      <c r="P73" s="470"/>
      <c r="Q73" s="475">
        <f>'Summary 02'!AA78</f>
        <v>0</v>
      </c>
      <c r="R73" s="473"/>
      <c r="S73" s="474"/>
      <c r="T73" s="469">
        <f t="shared" ca="1" si="9"/>
        <v>0</v>
      </c>
      <c r="U73" s="470"/>
      <c r="V73" s="551"/>
      <c r="W73" s="551"/>
      <c r="X73" s="551"/>
      <c r="Y73" s="551"/>
      <c r="Z73" s="551"/>
      <c r="AA73" s="551"/>
      <c r="AB73" s="551"/>
      <c r="AC73" s="551"/>
      <c r="AD73" s="551"/>
      <c r="AE73" s="551"/>
      <c r="AF73" s="551"/>
      <c r="AG73" s="551"/>
      <c r="AH73" s="551"/>
      <c r="AI73" s="551"/>
      <c r="AJ73" s="551"/>
      <c r="AK73" s="551"/>
      <c r="AL73" s="550"/>
      <c r="AM73" s="550"/>
      <c r="AN73" s="550"/>
      <c r="AO73" s="550"/>
      <c r="AP73" s="549"/>
      <c r="AQ73" s="549"/>
    </row>
    <row r="74" spans="1:49" s="799" customFormat="1" ht="17.25" customHeight="1">
      <c r="A74" s="877"/>
      <c r="B74" s="877"/>
      <c r="C74" s="799" t="s">
        <v>208</v>
      </c>
      <c r="D74" s="737"/>
      <c r="E74" s="737"/>
      <c r="F74" s="737"/>
      <c r="G74" s="737"/>
      <c r="H74" s="737"/>
      <c r="I74" s="737"/>
      <c r="J74" s="737"/>
      <c r="K74" s="737"/>
      <c r="L74" s="472">
        <f ca="1">'Summary 02'!V79</f>
        <v>3861.1441467205123</v>
      </c>
      <c r="M74" s="473"/>
      <c r="N74" s="474"/>
      <c r="O74" s="469">
        <f t="shared" ref="O74" ca="1" si="10">IFERROR(L74/L$61,0)</f>
        <v>9.8642259658724418E-3</v>
      </c>
      <c r="P74" s="470"/>
      <c r="Q74" s="475">
        <f ca="1">'Summary 02'!AA79</f>
        <v>12935.259354607066</v>
      </c>
      <c r="R74" s="473"/>
      <c r="S74" s="474"/>
      <c r="T74" s="469">
        <f t="shared" ca="1" si="9"/>
        <v>1.0087615143177632E-2</v>
      </c>
      <c r="U74" s="470"/>
      <c r="V74" s="551"/>
      <c r="W74" s="551"/>
      <c r="X74" s="551"/>
      <c r="Y74" s="551"/>
      <c r="Z74" s="551"/>
      <c r="AA74" s="551"/>
      <c r="AB74" s="551"/>
      <c r="AC74" s="551"/>
      <c r="AD74" s="551"/>
      <c r="AE74" s="551"/>
      <c r="AF74" s="551"/>
      <c r="AG74" s="551"/>
      <c r="AH74" s="551"/>
      <c r="AI74" s="551"/>
      <c r="AJ74" s="551"/>
      <c r="AK74" s="551"/>
      <c r="AL74" s="550"/>
      <c r="AM74" s="550"/>
      <c r="AN74" s="550"/>
      <c r="AO74" s="550"/>
      <c r="AP74" s="549"/>
      <c r="AQ74" s="549"/>
    </row>
    <row r="75" spans="1:49" s="799" customFormat="1" ht="17.25" customHeight="1">
      <c r="A75" s="877"/>
      <c r="B75" s="877"/>
      <c r="C75" s="799" t="s">
        <v>403</v>
      </c>
      <c r="D75" s="737"/>
      <c r="E75" s="737"/>
      <c r="F75" s="737"/>
      <c r="G75" s="737"/>
      <c r="H75" s="737"/>
      <c r="I75" s="737"/>
      <c r="J75" s="737"/>
      <c r="K75" s="737"/>
      <c r="L75" s="472">
        <f>'Summary 02'!V80</f>
        <v>0</v>
      </c>
      <c r="M75" s="473"/>
      <c r="N75" s="474"/>
      <c r="O75" s="469">
        <f t="shared" ref="O75:O76" ca="1" si="11">IFERROR(L75/L$61,0)</f>
        <v>0</v>
      </c>
      <c r="P75" s="470"/>
      <c r="Q75" s="475">
        <f>'Summary 02'!AA80</f>
        <v>4500</v>
      </c>
      <c r="R75" s="473"/>
      <c r="S75" s="474"/>
      <c r="T75" s="469">
        <f t="shared" ca="1" si="9"/>
        <v>3.5093434851100661E-3</v>
      </c>
      <c r="U75" s="470"/>
      <c r="V75" s="551"/>
      <c r="W75" s="551"/>
      <c r="X75" s="551"/>
      <c r="Y75" s="551"/>
      <c r="Z75" s="551"/>
      <c r="AA75" s="551"/>
      <c r="AB75" s="551"/>
      <c r="AC75" s="551"/>
      <c r="AD75" s="551"/>
      <c r="AE75" s="551"/>
      <c r="AF75" s="551"/>
      <c r="AG75" s="551"/>
      <c r="AH75" s="551"/>
      <c r="AI75" s="551"/>
      <c r="AJ75" s="551"/>
      <c r="AK75" s="551"/>
      <c r="AL75" s="550"/>
      <c r="AM75" s="550"/>
      <c r="AN75" s="550"/>
      <c r="AO75" s="550"/>
      <c r="AP75" s="549"/>
      <c r="AQ75" s="549"/>
    </row>
    <row r="76" spans="1:49" s="799" customFormat="1" ht="17.25" customHeight="1">
      <c r="A76" s="877"/>
      <c r="B76" s="877"/>
      <c r="C76" s="799" t="s">
        <v>593</v>
      </c>
      <c r="D76" s="737"/>
      <c r="E76" s="737"/>
      <c r="F76" s="737"/>
      <c r="G76" s="737"/>
      <c r="H76" s="737"/>
      <c r="I76" s="737"/>
      <c r="J76" s="737"/>
      <c r="K76" s="737"/>
      <c r="L76" s="472">
        <f>-'Summary 02'!V85+'Summary 02'!V86</f>
        <v>-6750</v>
      </c>
      <c r="M76" s="473"/>
      <c r="N76" s="474"/>
      <c r="O76" s="469">
        <f t="shared" ca="1" si="11"/>
        <v>-1.7244506482927378E-2</v>
      </c>
      <c r="P76" s="470"/>
      <c r="Q76" s="475">
        <f>-'Summary 02'!AA85+'Summary 02'!AA86</f>
        <v>4550</v>
      </c>
      <c r="R76" s="473"/>
      <c r="S76" s="474"/>
      <c r="T76" s="469">
        <f t="shared" ca="1" si="9"/>
        <v>3.5483361905001777E-3</v>
      </c>
      <c r="U76" s="470"/>
      <c r="V76" s="551"/>
      <c r="W76" s="551"/>
      <c r="X76" s="551"/>
      <c r="Y76" s="551"/>
      <c r="Z76" s="551"/>
      <c r="AA76" s="551"/>
      <c r="AB76" s="551"/>
      <c r="AC76" s="551"/>
      <c r="AD76" s="551"/>
      <c r="AE76" s="551"/>
      <c r="AF76" s="551"/>
      <c r="AG76" s="551"/>
      <c r="AH76" s="551"/>
      <c r="AI76" s="551"/>
      <c r="AJ76" s="551"/>
      <c r="AK76" s="551"/>
      <c r="AL76" s="550"/>
      <c r="AM76" s="550"/>
      <c r="AN76" s="550"/>
      <c r="AO76" s="550"/>
      <c r="AP76" s="549"/>
      <c r="AQ76" s="549"/>
    </row>
    <row r="77" spans="1:49" ht="17.25" customHeight="1">
      <c r="A77" s="877"/>
      <c r="B77" s="877"/>
      <c r="C77" s="195" t="s">
        <v>563</v>
      </c>
      <c r="D77" s="187"/>
      <c r="E77" s="187"/>
      <c r="F77" s="187"/>
      <c r="G77" s="187"/>
      <c r="H77" s="187"/>
      <c r="I77" s="187"/>
      <c r="J77" s="187"/>
      <c r="K77" s="187"/>
      <c r="L77" s="476">
        <f ca="1">L72+L73-L74+L75+L76</f>
        <v>-10167.426782829611</v>
      </c>
      <c r="M77" s="477"/>
      <c r="N77" s="478"/>
      <c r="O77" s="482">
        <f t="shared" ca="1" si="8"/>
        <v>-2.5975149195732548E-2</v>
      </c>
      <c r="P77" s="480"/>
      <c r="Q77" s="481">
        <f ca="1">Q72+Q73-Q74+Q75+Q76</f>
        <v>286328.03360937862</v>
      </c>
      <c r="R77" s="477"/>
      <c r="S77" s="478"/>
      <c r="T77" s="482">
        <f t="shared" ca="1" si="9"/>
        <v>0.22329409318921087</v>
      </c>
      <c r="U77" s="480"/>
      <c r="V77" s="551"/>
      <c r="W77" s="551"/>
      <c r="X77" s="551"/>
      <c r="Y77" s="551"/>
      <c r="Z77" s="551"/>
      <c r="AA77" s="551"/>
      <c r="AB77" s="551"/>
      <c r="AC77" s="551"/>
      <c r="AD77" s="551"/>
      <c r="AE77" s="551"/>
      <c r="AF77" s="551"/>
      <c r="AG77" s="551"/>
      <c r="AH77" s="551"/>
      <c r="AI77" s="551"/>
      <c r="AJ77" s="551"/>
      <c r="AK77" s="377"/>
      <c r="AL77" s="187"/>
      <c r="AM77" s="187"/>
      <c r="AN77" s="187"/>
      <c r="AO77" s="187"/>
      <c r="AP77" s="188"/>
      <c r="AQ77" s="188"/>
    </row>
    <row r="78" spans="1:49" ht="17.25" customHeight="1">
      <c r="A78" s="877"/>
      <c r="B78" s="877"/>
      <c r="C78" s="799" t="str">
        <f>CHOOSE(language,"Depreciation &amp; Amortisation","Depreciation &amp; Amortization")</f>
        <v>Depreciation &amp; Amortization</v>
      </c>
      <c r="D78" s="444"/>
      <c r="E78" s="444"/>
      <c r="F78" s="444"/>
      <c r="G78" s="444"/>
      <c r="H78" s="444"/>
      <c r="I78" s="444"/>
      <c r="J78" s="444"/>
      <c r="K78" s="444"/>
      <c r="L78" s="472">
        <f>'Summary 02'!V81</f>
        <v>8212.6587301587297</v>
      </c>
      <c r="M78" s="473"/>
      <c r="N78" s="474"/>
      <c r="O78" s="469">
        <f t="shared" ca="1" si="8"/>
        <v>2.0981221735450719E-2</v>
      </c>
      <c r="P78" s="470"/>
      <c r="Q78" s="475">
        <f>'Summary 02'!AA81</f>
        <v>28799.761904761908</v>
      </c>
      <c r="R78" s="473"/>
      <c r="S78" s="474"/>
      <c r="T78" s="469">
        <f t="shared" ca="1" si="9"/>
        <v>2.2459612625154949E-2</v>
      </c>
      <c r="U78" s="470"/>
      <c r="V78" s="551"/>
      <c r="W78" s="551"/>
      <c r="X78" s="551"/>
      <c r="Y78" s="551"/>
      <c r="Z78" s="551"/>
      <c r="AA78" s="551"/>
      <c r="AB78" s="551"/>
      <c r="AC78" s="551"/>
      <c r="AD78" s="551"/>
      <c r="AE78" s="551"/>
      <c r="AF78" s="551"/>
      <c r="AG78" s="551"/>
      <c r="AH78" s="551"/>
      <c r="AI78" s="551"/>
      <c r="AJ78" s="551"/>
      <c r="AK78" s="377"/>
      <c r="AL78" s="187"/>
      <c r="AM78" s="187"/>
      <c r="AN78" s="187"/>
      <c r="AO78" s="187"/>
      <c r="AP78" s="188"/>
      <c r="AQ78" s="188"/>
    </row>
    <row r="79" spans="1:49" ht="17.25" customHeight="1">
      <c r="A79" s="877"/>
      <c r="B79" s="877"/>
      <c r="C79" s="195" t="s">
        <v>594</v>
      </c>
      <c r="D79" s="187"/>
      <c r="E79" s="187"/>
      <c r="F79" s="187"/>
      <c r="G79" s="187"/>
      <c r="H79" s="187"/>
      <c r="I79" s="187"/>
      <c r="J79" s="187"/>
      <c r="K79" s="187"/>
      <c r="L79" s="476">
        <f ca="1">L77-L78</f>
        <v>-18380.085512988342</v>
      </c>
      <c r="M79" s="477"/>
      <c r="N79" s="478"/>
      <c r="O79" s="482">
        <f t="shared" ca="1" si="8"/>
        <v>-4.6956370931183267E-2</v>
      </c>
      <c r="P79" s="480"/>
      <c r="Q79" s="481">
        <f ca="1">Q77-Q78</f>
        <v>257528.27170461672</v>
      </c>
      <c r="R79" s="477"/>
      <c r="S79" s="478"/>
      <c r="T79" s="482">
        <f t="shared" ca="1" si="9"/>
        <v>0.20083448056405592</v>
      </c>
      <c r="U79" s="480"/>
      <c r="V79" s="551"/>
      <c r="W79" s="551"/>
      <c r="X79" s="551"/>
      <c r="Y79" s="551"/>
      <c r="Z79" s="551"/>
      <c r="AA79" s="551"/>
      <c r="AB79" s="551"/>
      <c r="AC79" s="551"/>
      <c r="AD79" s="551"/>
      <c r="AE79" s="551"/>
      <c r="AF79" s="551"/>
      <c r="AG79" s="551"/>
      <c r="AH79" s="551"/>
      <c r="AI79" s="551"/>
      <c r="AJ79" s="551"/>
      <c r="AK79" s="377"/>
      <c r="AL79" s="187"/>
      <c r="AM79" s="187"/>
      <c r="AN79" s="187"/>
      <c r="AO79" s="187"/>
      <c r="AP79" s="188"/>
      <c r="AQ79" s="188"/>
    </row>
    <row r="80" spans="1:49" ht="17.25" customHeight="1">
      <c r="A80" s="877"/>
      <c r="B80" s="877"/>
      <c r="C80" s="444" t="s">
        <v>486</v>
      </c>
      <c r="D80" s="444"/>
      <c r="E80" s="444"/>
      <c r="F80" s="444"/>
      <c r="G80" s="737"/>
      <c r="H80" s="737"/>
      <c r="I80" s="737"/>
      <c r="J80" s="444"/>
      <c r="K80" s="444"/>
      <c r="L80" s="472">
        <f ca="1">'Summary 02'!V83-'Summary 02'!V84</f>
        <v>3236.5078601268124</v>
      </c>
      <c r="M80" s="473"/>
      <c r="N80" s="474"/>
      <c r="O80" s="469">
        <f t="shared" ca="1" si="8"/>
        <v>8.2684415964447752E-3</v>
      </c>
      <c r="P80" s="470"/>
      <c r="Q80" s="475">
        <f ca="1">'Summary 02'!AA83-'Summary 02'!AA84</f>
        <v>10510.272696190481</v>
      </c>
      <c r="R80" s="473"/>
      <c r="S80" s="474"/>
      <c r="T80" s="469">
        <f t="shared" ca="1" si="9"/>
        <v>8.196479336245838E-3</v>
      </c>
      <c r="U80" s="470"/>
      <c r="V80" s="551"/>
      <c r="W80" s="551"/>
      <c r="X80" s="551"/>
      <c r="Y80" s="551"/>
      <c r="Z80" s="551"/>
      <c r="AA80" s="551"/>
      <c r="AB80" s="551"/>
      <c r="AC80" s="551"/>
      <c r="AD80" s="551"/>
      <c r="AE80" s="551"/>
      <c r="AF80" s="551"/>
      <c r="AG80" s="551"/>
      <c r="AH80" s="551"/>
      <c r="AI80" s="551"/>
      <c r="AJ80" s="551"/>
      <c r="AK80" s="377"/>
      <c r="AL80" s="187"/>
      <c r="AM80" s="187"/>
      <c r="AN80" s="187"/>
      <c r="AO80" s="187"/>
      <c r="AP80" s="188"/>
      <c r="AQ80" s="188"/>
    </row>
    <row r="81" spans="1:51" ht="17.25" customHeight="1">
      <c r="A81" s="877"/>
      <c r="B81" s="877"/>
      <c r="C81" s="195" t="s">
        <v>411</v>
      </c>
      <c r="D81" s="187"/>
      <c r="E81" s="187"/>
      <c r="F81" s="187"/>
      <c r="G81" s="187"/>
      <c r="H81" s="187"/>
      <c r="I81" s="187"/>
      <c r="J81" s="187"/>
      <c r="K81" s="187"/>
      <c r="L81" s="476">
        <f ca="1">L79-L80</f>
        <v>-21616.593373115153</v>
      </c>
      <c r="M81" s="477"/>
      <c r="N81" s="478"/>
      <c r="O81" s="482">
        <f t="shared" ca="1" si="8"/>
        <v>-5.5224812527628044E-2</v>
      </c>
      <c r="P81" s="480"/>
      <c r="Q81" s="481">
        <f ca="1">Q79-Q80</f>
        <v>247017.99900842624</v>
      </c>
      <c r="R81" s="477"/>
      <c r="S81" s="478"/>
      <c r="T81" s="482">
        <f t="shared" ca="1" si="9"/>
        <v>0.19263800122781008</v>
      </c>
      <c r="U81" s="480"/>
      <c r="V81" s="551"/>
      <c r="W81" s="551"/>
      <c r="X81" s="551"/>
      <c r="Y81" s="551"/>
      <c r="Z81" s="551"/>
      <c r="AA81" s="551"/>
      <c r="AB81" s="551"/>
      <c r="AC81" s="551"/>
      <c r="AD81" s="551"/>
      <c r="AE81" s="551"/>
      <c r="AF81" s="551"/>
      <c r="AG81" s="551"/>
      <c r="AH81" s="551"/>
      <c r="AI81" s="551"/>
      <c r="AJ81" s="551"/>
      <c r="AK81" s="377"/>
      <c r="AL81" s="534"/>
      <c r="AM81" s="534"/>
      <c r="AN81" s="534"/>
      <c r="AO81" s="534"/>
      <c r="AP81" s="535"/>
      <c r="AQ81" s="188"/>
    </row>
    <row r="82" spans="1:51" ht="17.25" customHeight="1">
      <c r="A82" s="877"/>
      <c r="B82" s="877"/>
      <c r="C82" s="251" t="str">
        <f>CHOOSE(language,"Taxes on Profit","Taxes on Income")</f>
        <v>Taxes on Income</v>
      </c>
      <c r="D82" s="444"/>
      <c r="E82" s="444"/>
      <c r="F82" s="444"/>
      <c r="G82" s="444"/>
      <c r="H82" s="444"/>
      <c r="I82" s="444"/>
      <c r="J82" s="444"/>
      <c r="K82" s="444"/>
      <c r="L82" s="472">
        <f ca="1">'Summary 02'!V88</f>
        <v>0</v>
      </c>
      <c r="M82" s="473"/>
      <c r="N82" s="474"/>
      <c r="O82" s="469">
        <f t="shared" ca="1" si="8"/>
        <v>0</v>
      </c>
      <c r="P82" s="470"/>
      <c r="Q82" s="475">
        <f ca="1">'Summary 02'!AA88</f>
        <v>42080.281127062197</v>
      </c>
      <c r="R82" s="473"/>
      <c r="S82" s="474"/>
      <c r="T82" s="469">
        <f t="shared" ca="1" si="9"/>
        <v>3.2816480094412397E-2</v>
      </c>
      <c r="U82" s="470"/>
      <c r="V82" s="551"/>
      <c r="W82" s="551"/>
      <c r="X82" s="551"/>
      <c r="Y82" s="551"/>
      <c r="Z82" s="551"/>
      <c r="AA82" s="551"/>
      <c r="AB82" s="551"/>
      <c r="AC82" s="551"/>
      <c r="AD82" s="551"/>
      <c r="AE82" s="551"/>
      <c r="AF82" s="551"/>
      <c r="AG82" s="551"/>
      <c r="AH82" s="551"/>
      <c r="AI82" s="551"/>
      <c r="AJ82" s="551"/>
      <c r="AK82" s="377"/>
      <c r="AL82" s="187"/>
      <c r="AM82" s="187"/>
      <c r="AN82" s="187"/>
      <c r="AO82" s="187"/>
      <c r="AP82" s="188"/>
      <c r="AQ82" s="188"/>
    </row>
    <row r="83" spans="1:51" ht="17.25" customHeight="1" thickBot="1">
      <c r="A83" s="877"/>
      <c r="B83" s="877"/>
      <c r="C83" s="197" t="s">
        <v>639</v>
      </c>
      <c r="D83" s="546"/>
      <c r="E83" s="546"/>
      <c r="F83" s="546"/>
      <c r="G83" s="546"/>
      <c r="H83" s="546"/>
      <c r="I83" s="546"/>
      <c r="J83" s="546"/>
      <c r="K83" s="546"/>
      <c r="L83" s="457">
        <f ca="1">L81-L82</f>
        <v>-21616.593373115153</v>
      </c>
      <c r="M83" s="458"/>
      <c r="N83" s="483"/>
      <c r="O83" s="484">
        <f t="shared" ca="1" si="8"/>
        <v>-5.5224812527628044E-2</v>
      </c>
      <c r="P83" s="485"/>
      <c r="Q83" s="486">
        <f ca="1">Q81-Q82</f>
        <v>204937.71788136405</v>
      </c>
      <c r="R83" s="458"/>
      <c r="S83" s="483"/>
      <c r="T83" s="484">
        <f t="shared" ca="1" si="9"/>
        <v>0.15982152113339768</v>
      </c>
      <c r="U83" s="485"/>
      <c r="V83" s="551"/>
      <c r="W83" s="551"/>
      <c r="X83" s="551"/>
      <c r="Y83" s="551"/>
      <c r="Z83" s="551"/>
      <c r="AA83" s="551"/>
      <c r="AB83" s="551"/>
      <c r="AC83" s="551"/>
      <c r="AD83" s="551"/>
      <c r="AE83" s="551"/>
      <c r="AF83" s="551"/>
      <c r="AG83" s="551"/>
      <c r="AH83" s="551"/>
      <c r="AI83" s="551"/>
      <c r="AJ83" s="551"/>
      <c r="AK83" s="551"/>
      <c r="AL83" s="187"/>
      <c r="AM83" s="187"/>
      <c r="AN83" s="187"/>
      <c r="AO83" s="187"/>
      <c r="AP83" s="188"/>
      <c r="AQ83" s="188"/>
    </row>
    <row r="84" spans="1:51" ht="17.25" customHeight="1" thickTop="1">
      <c r="A84" s="877"/>
      <c r="B84" s="877"/>
      <c r="C84" s="251" t="s">
        <v>283</v>
      </c>
      <c r="D84" s="545"/>
      <c r="E84" s="545"/>
      <c r="F84" s="545"/>
      <c r="G84" s="545"/>
      <c r="H84" s="545"/>
      <c r="I84" s="578">
        <f>Inputs!$F$284</f>
        <v>-23500</v>
      </c>
      <c r="J84" s="578"/>
      <c r="K84" s="545"/>
      <c r="L84" s="472">
        <f ca="1">Inputs!$F$284+L83</f>
        <v>-45116.593373115153</v>
      </c>
      <c r="M84" s="473"/>
      <c r="N84" s="474"/>
      <c r="O84" s="618"/>
      <c r="P84" s="464"/>
      <c r="Q84" s="475">
        <f ca="1">IF(Q81=0,0,L84+Q83)</f>
        <v>159821.1245082489</v>
      </c>
      <c r="R84" s="473"/>
      <c r="S84" s="474"/>
      <c r="T84" s="618"/>
      <c r="U84" s="464"/>
      <c r="V84" s="551"/>
      <c r="W84" s="551"/>
      <c r="X84" s="551"/>
      <c r="Y84" s="551"/>
      <c r="Z84" s="551"/>
      <c r="AA84" s="551"/>
      <c r="AB84" s="551"/>
      <c r="AC84" s="551"/>
      <c r="AD84" s="551"/>
      <c r="AE84" s="551"/>
      <c r="AF84" s="551"/>
      <c r="AG84" s="551"/>
      <c r="AH84" s="551"/>
      <c r="AI84" s="551"/>
      <c r="AJ84" s="551"/>
      <c r="AK84" s="551"/>
      <c r="AL84" s="187"/>
      <c r="AM84" s="187"/>
      <c r="AN84" s="187"/>
      <c r="AO84" s="187"/>
      <c r="AP84" s="188"/>
      <c r="AQ84" s="188"/>
    </row>
    <row r="85" spans="1:51" ht="17.25" customHeight="1">
      <c r="A85" s="877"/>
      <c r="B85" s="877"/>
      <c r="C85" s="487" t="s">
        <v>641</v>
      </c>
      <c r="D85" s="255"/>
      <c r="E85" s="255"/>
      <c r="F85" s="255"/>
      <c r="G85" s="255"/>
      <c r="H85" s="255"/>
      <c r="I85" s="631">
        <f ca="1">ROUND(I84+L83+Q83-LOOKUP(Enddatum,'Summary 02'!$J$8:$AA$8,'Summary 02'!$J$90:$AA$90),1)</f>
        <v>0</v>
      </c>
      <c r="J85" s="631"/>
      <c r="K85" s="255"/>
      <c r="L85" s="382"/>
      <c r="M85" s="380"/>
      <c r="N85" s="380"/>
      <c r="O85" s="255"/>
      <c r="P85" s="255"/>
      <c r="Q85" s="382"/>
      <c r="R85" s="380"/>
      <c r="S85" s="380"/>
      <c r="T85" s="444"/>
      <c r="U85" s="444"/>
      <c r="V85" s="877"/>
      <c r="W85" s="877"/>
      <c r="X85" s="877"/>
      <c r="Y85" s="877"/>
      <c r="Z85" s="877"/>
      <c r="AA85" s="877"/>
      <c r="AB85" s="877"/>
      <c r="AC85" s="877"/>
      <c r="AD85" s="877"/>
      <c r="AE85" s="877"/>
      <c r="AF85" s="877"/>
      <c r="AG85" s="877"/>
      <c r="AH85" s="877"/>
      <c r="AI85" s="877"/>
      <c r="AJ85" s="877"/>
      <c r="AK85" s="187"/>
      <c r="AL85" s="187"/>
      <c r="AM85" s="187"/>
      <c r="AN85" s="187"/>
      <c r="AO85" s="187"/>
      <c r="AP85" s="188"/>
      <c r="AQ85" s="188"/>
    </row>
    <row r="86" spans="1:51" ht="12.75" customHeight="1">
      <c r="A86" s="877"/>
      <c r="B86" s="877"/>
      <c r="C86" s="187"/>
      <c r="D86" s="187"/>
      <c r="E86" s="187"/>
      <c r="F86" s="187"/>
      <c r="G86" s="187"/>
      <c r="H86" s="187"/>
      <c r="I86" s="187"/>
      <c r="J86" s="187"/>
      <c r="K86" s="187"/>
      <c r="L86" s="451"/>
      <c r="M86" s="187"/>
      <c r="N86" s="187"/>
      <c r="O86" s="451"/>
      <c r="P86" s="187"/>
      <c r="Q86" s="187"/>
      <c r="R86" s="451"/>
      <c r="S86" s="187"/>
      <c r="T86" s="187"/>
      <c r="U86" s="451"/>
      <c r="V86" s="877"/>
      <c r="W86" s="877"/>
      <c r="X86" s="877"/>
      <c r="Y86" s="877"/>
      <c r="Z86" s="877"/>
      <c r="AA86" s="877"/>
      <c r="AB86" s="877"/>
      <c r="AC86" s="877"/>
      <c r="AD86" s="877"/>
      <c r="AE86" s="877"/>
      <c r="AF86" s="877"/>
      <c r="AG86" s="877"/>
      <c r="AH86" s="877"/>
      <c r="AI86" s="877"/>
      <c r="AJ86" s="877"/>
      <c r="AK86" s="187"/>
      <c r="AL86" s="187"/>
      <c r="AM86" s="451"/>
      <c r="AN86" s="187"/>
      <c r="AO86" s="187"/>
      <c r="AP86" s="188"/>
      <c r="AQ86" s="188"/>
      <c r="AY86" s="256"/>
    </row>
    <row r="87" spans="1:51" ht="17.25" customHeight="1">
      <c r="A87" s="877"/>
      <c r="B87" s="877"/>
      <c r="C87" s="187"/>
      <c r="D87" s="187"/>
      <c r="E87" s="187"/>
      <c r="F87" s="187"/>
      <c r="G87" s="187"/>
      <c r="H87" s="187"/>
      <c r="I87" s="187"/>
      <c r="J87" s="187"/>
      <c r="K87" s="187"/>
      <c r="L87" s="451"/>
      <c r="M87" s="187"/>
      <c r="N87" s="187"/>
      <c r="O87" s="451"/>
      <c r="P87" s="187"/>
      <c r="Q87" s="187"/>
      <c r="R87" s="451"/>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8"/>
      <c r="AQ87" s="188"/>
      <c r="AR87" s="125"/>
      <c r="AS87" s="799"/>
    </row>
    <row r="88" spans="1:51" s="878" customFormat="1" ht="17.25" customHeight="1">
      <c r="A88" s="877"/>
      <c r="B88" s="877"/>
      <c r="C88" s="488" t="str">
        <f>CHOOSE(language,"Turnover, Gross Profit and Net Profit","Revenue, Gross Profit and Net Profit")</f>
        <v>Revenue, Gross Profit and Net Profit</v>
      </c>
      <c r="D88" s="549"/>
      <c r="E88" s="549"/>
      <c r="F88" s="549"/>
      <c r="G88" s="549"/>
      <c r="H88" s="549"/>
      <c r="I88" s="549"/>
      <c r="J88" s="549"/>
      <c r="K88" s="549"/>
      <c r="L88" s="237"/>
      <c r="M88" s="549"/>
      <c r="N88" s="453" t="str">
        <f>"  (in "&amp;currency &amp;" '000)"</f>
        <v xml:space="preserve">  (in USD '000)</v>
      </c>
      <c r="O88" s="237"/>
      <c r="P88" s="549"/>
      <c r="Q88" s="549"/>
      <c r="R88" s="237"/>
      <c r="S88" s="549"/>
      <c r="T88" s="549"/>
      <c r="U88" s="549"/>
      <c r="V88" s="549"/>
      <c r="W88" s="549"/>
      <c r="X88" s="549"/>
      <c r="Y88" s="549"/>
      <c r="Z88" s="549"/>
      <c r="AA88" s="549"/>
      <c r="AB88" s="549"/>
      <c r="AC88" s="549"/>
      <c r="AD88" s="549"/>
      <c r="AE88" s="549"/>
      <c r="AF88" s="549"/>
      <c r="AG88" s="549"/>
      <c r="AH88" s="549"/>
      <c r="AI88" s="549"/>
      <c r="AJ88" s="549"/>
      <c r="AK88" s="877"/>
      <c r="AL88" s="877"/>
      <c r="AM88" s="877"/>
      <c r="AN88" s="877"/>
      <c r="AO88" s="877"/>
      <c r="AP88" s="549"/>
      <c r="AQ88" s="549"/>
      <c r="AR88" s="800"/>
    </row>
    <row r="89" spans="1:51" s="878" customFormat="1" ht="17.25" customHeight="1">
      <c r="A89" s="877"/>
      <c r="B89" s="877"/>
      <c r="C89" s="549"/>
      <c r="D89" s="549"/>
      <c r="E89" s="549"/>
      <c r="F89" s="549"/>
      <c r="G89" s="549"/>
      <c r="H89" s="549"/>
      <c r="I89" s="549"/>
      <c r="J89" s="549"/>
      <c r="K89" s="549"/>
      <c r="L89" s="237"/>
      <c r="M89" s="549"/>
      <c r="N89" s="549"/>
      <c r="O89" s="237"/>
      <c r="P89" s="549"/>
      <c r="Q89" s="549"/>
      <c r="R89" s="237"/>
      <c r="S89" s="549"/>
      <c r="T89" s="549"/>
      <c r="U89" s="549"/>
      <c r="V89" s="549"/>
      <c r="W89" s="549"/>
      <c r="X89" s="549"/>
      <c r="Y89" s="549"/>
      <c r="Z89" s="549"/>
      <c r="AA89" s="549"/>
      <c r="AB89" s="549"/>
      <c r="AC89" s="549"/>
      <c r="AD89" s="549"/>
      <c r="AE89" s="549"/>
      <c r="AF89" s="549"/>
      <c r="AG89" s="549"/>
      <c r="AH89" s="549"/>
      <c r="AI89" s="549"/>
      <c r="AJ89" s="549"/>
      <c r="AK89" s="877"/>
      <c r="AL89" s="877"/>
      <c r="AM89" s="877"/>
      <c r="AN89" s="877"/>
      <c r="AO89" s="877"/>
      <c r="AP89" s="549"/>
      <c r="AQ89" s="549"/>
      <c r="AR89" s="800"/>
    </row>
    <row r="90" spans="1:51" s="878" customFormat="1" ht="17.25" customHeight="1">
      <c r="A90" s="877"/>
      <c r="B90" s="877"/>
      <c r="C90" s="549"/>
      <c r="D90" s="549"/>
      <c r="E90" s="549"/>
      <c r="F90" s="549"/>
      <c r="G90" s="549"/>
      <c r="H90" s="549"/>
      <c r="I90" s="549"/>
      <c r="J90" s="549"/>
      <c r="K90" s="549"/>
      <c r="L90" s="237"/>
      <c r="M90" s="549"/>
      <c r="N90" s="549"/>
      <c r="O90" s="237"/>
      <c r="P90" s="549"/>
      <c r="Q90" s="549"/>
      <c r="R90" s="237"/>
      <c r="S90" s="549"/>
      <c r="T90" s="549"/>
      <c r="U90" s="549"/>
      <c r="V90" s="549"/>
      <c r="W90" s="549"/>
      <c r="X90" s="549"/>
      <c r="Y90" s="549"/>
      <c r="Z90" s="549"/>
      <c r="AA90" s="549"/>
      <c r="AB90" s="549"/>
      <c r="AC90" s="549"/>
      <c r="AD90" s="549"/>
      <c r="AE90" s="549"/>
      <c r="AF90" s="549"/>
      <c r="AG90" s="549"/>
      <c r="AH90" s="549"/>
      <c r="AI90" s="549"/>
      <c r="AJ90" s="549"/>
      <c r="AK90" s="877"/>
      <c r="AL90" s="877"/>
      <c r="AM90" s="877"/>
      <c r="AN90" s="877"/>
      <c r="AO90" s="877"/>
      <c r="AP90" s="549"/>
      <c r="AQ90" s="549"/>
      <c r="AR90" s="800"/>
    </row>
    <row r="91" spans="1:51" s="878" customFormat="1" ht="17.25" customHeight="1">
      <c r="A91" s="877"/>
      <c r="B91" s="877"/>
      <c r="C91" s="549"/>
      <c r="D91" s="549"/>
      <c r="E91" s="549"/>
      <c r="F91" s="549"/>
      <c r="G91" s="549"/>
      <c r="H91" s="549"/>
      <c r="I91" s="549"/>
      <c r="J91" s="549"/>
      <c r="K91" s="549"/>
      <c r="L91" s="237"/>
      <c r="M91" s="549"/>
      <c r="N91" s="549"/>
      <c r="O91" s="237"/>
      <c r="P91" s="549"/>
      <c r="Q91" s="549"/>
      <c r="R91" s="237"/>
      <c r="S91" s="549"/>
      <c r="T91" s="549"/>
      <c r="U91" s="549"/>
      <c r="V91" s="549"/>
      <c r="W91" s="549"/>
      <c r="X91" s="549"/>
      <c r="Y91" s="549"/>
      <c r="Z91" s="549"/>
      <c r="AA91" s="549"/>
      <c r="AB91" s="549"/>
      <c r="AC91" s="549"/>
      <c r="AD91" s="549"/>
      <c r="AE91" s="549"/>
      <c r="AF91" s="549"/>
      <c r="AG91" s="549"/>
      <c r="AH91" s="549"/>
      <c r="AI91" s="549"/>
      <c r="AJ91" s="549"/>
      <c r="AK91" s="877"/>
      <c r="AL91" s="877"/>
      <c r="AM91" s="877"/>
      <c r="AN91" s="877"/>
      <c r="AO91" s="877"/>
      <c r="AP91" s="549"/>
      <c r="AQ91" s="549"/>
      <c r="AR91" s="800"/>
    </row>
    <row r="92" spans="1:51" s="878" customFormat="1" ht="17.25" customHeight="1">
      <c r="A92" s="877"/>
      <c r="B92" s="877"/>
      <c r="C92" s="549"/>
      <c r="D92" s="549"/>
      <c r="E92" s="549"/>
      <c r="F92" s="549"/>
      <c r="G92" s="549"/>
      <c r="H92" s="549"/>
      <c r="I92" s="549"/>
      <c r="J92" s="549"/>
      <c r="K92" s="549"/>
      <c r="L92" s="237"/>
      <c r="M92" s="549"/>
      <c r="N92" s="549"/>
      <c r="O92" s="237"/>
      <c r="P92" s="549"/>
      <c r="Q92" s="549"/>
      <c r="R92" s="237"/>
      <c r="S92" s="549"/>
      <c r="T92" s="549"/>
      <c r="U92" s="549"/>
      <c r="V92" s="549"/>
      <c r="W92" s="549"/>
      <c r="X92" s="549"/>
      <c r="Y92" s="549"/>
      <c r="Z92" s="549"/>
      <c r="AA92" s="549"/>
      <c r="AB92" s="549"/>
      <c r="AC92" s="549"/>
      <c r="AD92" s="549"/>
      <c r="AE92" s="549"/>
      <c r="AF92" s="549"/>
      <c r="AG92" s="549"/>
      <c r="AH92" s="549"/>
      <c r="AI92" s="549"/>
      <c r="AJ92" s="549"/>
      <c r="AK92" s="877"/>
      <c r="AL92" s="877"/>
      <c r="AM92" s="877"/>
      <c r="AN92" s="877"/>
      <c r="AO92" s="877"/>
      <c r="AP92" s="549"/>
      <c r="AQ92" s="549"/>
      <c r="AR92" s="800"/>
    </row>
    <row r="93" spans="1:51" s="878" customFormat="1" ht="17.25" customHeight="1">
      <c r="A93" s="877"/>
      <c r="B93" s="877"/>
      <c r="C93" s="549"/>
      <c r="D93" s="549"/>
      <c r="E93" s="549"/>
      <c r="F93" s="549"/>
      <c r="G93" s="549"/>
      <c r="H93" s="549"/>
      <c r="I93" s="549"/>
      <c r="J93" s="549"/>
      <c r="K93" s="549"/>
      <c r="L93" s="237"/>
      <c r="M93" s="549"/>
      <c r="N93" s="549"/>
      <c r="O93" s="237"/>
      <c r="P93" s="549"/>
      <c r="Q93" s="549"/>
      <c r="R93" s="237"/>
      <c r="S93" s="549"/>
      <c r="T93" s="549"/>
      <c r="U93" s="549"/>
      <c r="V93" s="549"/>
      <c r="W93" s="549"/>
      <c r="X93" s="549"/>
      <c r="Y93" s="549"/>
      <c r="Z93" s="549"/>
      <c r="AA93" s="549"/>
      <c r="AB93" s="549"/>
      <c r="AC93" s="549"/>
      <c r="AD93" s="549"/>
      <c r="AE93" s="549"/>
      <c r="AF93" s="549"/>
      <c r="AG93" s="549"/>
      <c r="AH93" s="549"/>
      <c r="AI93" s="549"/>
      <c r="AJ93" s="549"/>
      <c r="AK93" s="877"/>
      <c r="AL93" s="877"/>
      <c r="AM93" s="877"/>
      <c r="AN93" s="877"/>
      <c r="AO93" s="877"/>
      <c r="AP93" s="549"/>
      <c r="AQ93" s="549"/>
      <c r="AR93" s="800"/>
    </row>
    <row r="94" spans="1:51" s="878" customFormat="1" ht="17.25" customHeight="1">
      <c r="A94" s="877"/>
      <c r="B94" s="877"/>
      <c r="C94" s="549"/>
      <c r="D94" s="549"/>
      <c r="E94" s="549"/>
      <c r="F94" s="549"/>
      <c r="G94" s="549"/>
      <c r="H94" s="549"/>
      <c r="I94" s="549"/>
      <c r="J94" s="549"/>
      <c r="K94" s="549"/>
      <c r="L94" s="237"/>
      <c r="M94" s="549"/>
      <c r="N94" s="549"/>
      <c r="O94" s="237"/>
      <c r="P94" s="549"/>
      <c r="Q94" s="549"/>
      <c r="R94" s="237"/>
      <c r="S94" s="549"/>
      <c r="T94" s="549"/>
      <c r="U94" s="549"/>
      <c r="V94" s="549"/>
      <c r="W94" s="549"/>
      <c r="X94" s="549"/>
      <c r="Y94" s="549"/>
      <c r="Z94" s="549"/>
      <c r="AA94" s="549"/>
      <c r="AB94" s="549"/>
      <c r="AC94" s="549"/>
      <c r="AD94" s="549"/>
      <c r="AE94" s="549"/>
      <c r="AF94" s="549"/>
      <c r="AG94" s="549"/>
      <c r="AH94" s="549"/>
      <c r="AI94" s="549"/>
      <c r="AJ94" s="549"/>
      <c r="AK94" s="877"/>
      <c r="AL94" s="877"/>
      <c r="AM94" s="877"/>
      <c r="AN94" s="877"/>
      <c r="AO94" s="877"/>
      <c r="AP94" s="549"/>
      <c r="AQ94" s="549"/>
      <c r="AR94" s="800"/>
    </row>
    <row r="95" spans="1:51" s="878" customFormat="1" ht="17.25" customHeight="1">
      <c r="A95" s="877"/>
      <c r="B95" s="877"/>
      <c r="C95" s="549"/>
      <c r="D95" s="549"/>
      <c r="E95" s="549"/>
      <c r="F95" s="549"/>
      <c r="G95" s="549"/>
      <c r="H95" s="549"/>
      <c r="I95" s="549"/>
      <c r="J95" s="549"/>
      <c r="K95" s="549"/>
      <c r="L95" s="237"/>
      <c r="M95" s="549"/>
      <c r="N95" s="549"/>
      <c r="O95" s="237"/>
      <c r="P95" s="549"/>
      <c r="Q95" s="549"/>
      <c r="R95" s="237"/>
      <c r="S95" s="549"/>
      <c r="T95" s="549"/>
      <c r="U95" s="549"/>
      <c r="V95" s="549"/>
      <c r="W95" s="549"/>
      <c r="X95" s="549"/>
      <c r="Y95" s="549"/>
      <c r="Z95" s="549"/>
      <c r="AA95" s="549"/>
      <c r="AB95" s="549"/>
      <c r="AC95" s="549"/>
      <c r="AD95" s="549"/>
      <c r="AE95" s="549"/>
      <c r="AF95" s="549"/>
      <c r="AG95" s="549"/>
      <c r="AH95" s="549"/>
      <c r="AI95" s="549"/>
      <c r="AJ95" s="549"/>
      <c r="AK95" s="877"/>
      <c r="AL95" s="877"/>
      <c r="AM95" s="877"/>
      <c r="AN95" s="877"/>
      <c r="AO95" s="877"/>
      <c r="AP95" s="549"/>
      <c r="AQ95" s="549"/>
      <c r="AR95" s="800"/>
    </row>
    <row r="96" spans="1:51" s="878" customFormat="1" ht="17.25" customHeight="1">
      <c r="A96" s="877"/>
      <c r="B96" s="877"/>
      <c r="C96" s="549"/>
      <c r="D96" s="549"/>
      <c r="E96" s="549"/>
      <c r="F96" s="549"/>
      <c r="G96" s="549"/>
      <c r="H96" s="549"/>
      <c r="I96" s="549"/>
      <c r="J96" s="549"/>
      <c r="K96" s="549"/>
      <c r="L96" s="237"/>
      <c r="M96" s="549"/>
      <c r="N96" s="549"/>
      <c r="O96" s="237"/>
      <c r="P96" s="549"/>
      <c r="Q96" s="549"/>
      <c r="R96" s="237"/>
      <c r="S96" s="549"/>
      <c r="T96" s="549"/>
      <c r="U96" s="549"/>
      <c r="V96" s="549"/>
      <c r="W96" s="549"/>
      <c r="X96" s="549"/>
      <c r="Y96" s="549"/>
      <c r="Z96" s="549"/>
      <c r="AA96" s="549"/>
      <c r="AB96" s="549"/>
      <c r="AC96" s="549"/>
      <c r="AD96" s="549"/>
      <c r="AE96" s="549"/>
      <c r="AF96" s="549"/>
      <c r="AG96" s="549"/>
      <c r="AH96" s="549"/>
      <c r="AI96" s="549"/>
      <c r="AJ96" s="549"/>
      <c r="AK96" s="877"/>
      <c r="AL96" s="877"/>
      <c r="AM96" s="877"/>
      <c r="AN96" s="877"/>
      <c r="AO96" s="877"/>
      <c r="AP96" s="549"/>
      <c r="AQ96" s="549"/>
      <c r="AR96" s="800"/>
    </row>
    <row r="97" spans="1:45" s="878" customFormat="1" ht="17.25" customHeight="1">
      <c r="A97" s="877"/>
      <c r="B97" s="877"/>
      <c r="C97" s="549"/>
      <c r="D97" s="549"/>
      <c r="E97" s="549"/>
      <c r="F97" s="549"/>
      <c r="G97" s="549"/>
      <c r="H97" s="549"/>
      <c r="I97" s="549"/>
      <c r="J97" s="549"/>
      <c r="K97" s="549"/>
      <c r="L97" s="237"/>
      <c r="M97" s="549"/>
      <c r="N97" s="549"/>
      <c r="O97" s="237"/>
      <c r="P97" s="549"/>
      <c r="Q97" s="549"/>
      <c r="R97" s="237"/>
      <c r="S97" s="549"/>
      <c r="T97" s="549"/>
      <c r="U97" s="549"/>
      <c r="V97" s="549"/>
      <c r="W97" s="549"/>
      <c r="X97" s="549"/>
      <c r="Y97" s="549"/>
      <c r="Z97" s="549"/>
      <c r="AA97" s="549"/>
      <c r="AB97" s="549"/>
      <c r="AC97" s="549"/>
      <c r="AD97" s="549"/>
      <c r="AE97" s="549"/>
      <c r="AF97" s="549"/>
      <c r="AG97" s="549"/>
      <c r="AH97" s="549"/>
      <c r="AI97" s="549"/>
      <c r="AJ97" s="549"/>
      <c r="AK97" s="877"/>
      <c r="AL97" s="877"/>
      <c r="AM97" s="877"/>
      <c r="AN97" s="877"/>
      <c r="AO97" s="877"/>
      <c r="AP97" s="549"/>
      <c r="AQ97" s="549"/>
      <c r="AR97" s="800"/>
    </row>
    <row r="98" spans="1:45" s="878" customFormat="1" ht="17.25" customHeight="1">
      <c r="A98" s="877"/>
      <c r="B98" s="877"/>
      <c r="C98" s="549"/>
      <c r="D98" s="549"/>
      <c r="E98" s="549"/>
      <c r="F98" s="549"/>
      <c r="G98" s="549"/>
      <c r="H98" s="549"/>
      <c r="I98" s="549"/>
      <c r="J98" s="549"/>
      <c r="K98" s="549"/>
      <c r="L98" s="237"/>
      <c r="M98" s="549"/>
      <c r="N98" s="549"/>
      <c r="O98" s="237"/>
      <c r="P98" s="549"/>
      <c r="Q98" s="549"/>
      <c r="R98" s="237"/>
      <c r="S98" s="549"/>
      <c r="T98" s="549"/>
      <c r="U98" s="549"/>
      <c r="V98" s="549"/>
      <c r="W98" s="549"/>
      <c r="X98" s="549"/>
      <c r="Y98" s="549"/>
      <c r="Z98" s="549"/>
      <c r="AA98" s="549"/>
      <c r="AB98" s="549"/>
      <c r="AC98" s="549"/>
      <c r="AD98" s="549"/>
      <c r="AE98" s="549"/>
      <c r="AF98" s="549"/>
      <c r="AG98" s="549"/>
      <c r="AH98" s="549"/>
      <c r="AI98" s="549"/>
      <c r="AJ98" s="549"/>
      <c r="AK98" s="877"/>
      <c r="AL98" s="877"/>
      <c r="AM98" s="877"/>
      <c r="AN98" s="877"/>
      <c r="AO98" s="877"/>
      <c r="AP98" s="549"/>
      <c r="AQ98" s="549"/>
      <c r="AR98" s="800"/>
    </row>
    <row r="99" spans="1:45" s="878" customFormat="1" ht="17.25" customHeight="1">
      <c r="A99" s="877"/>
      <c r="B99" s="877"/>
      <c r="C99" s="549"/>
      <c r="D99" s="549"/>
      <c r="E99" s="549"/>
      <c r="F99" s="549"/>
      <c r="G99" s="549"/>
      <c r="H99" s="549"/>
      <c r="I99" s="549"/>
      <c r="J99" s="549"/>
      <c r="K99" s="549"/>
      <c r="L99" s="237"/>
      <c r="M99" s="549"/>
      <c r="N99" s="549"/>
      <c r="O99" s="237"/>
      <c r="P99" s="549"/>
      <c r="Q99" s="549"/>
      <c r="R99" s="237"/>
      <c r="S99" s="549"/>
      <c r="T99" s="549"/>
      <c r="U99" s="549"/>
      <c r="V99" s="549"/>
      <c r="W99" s="549"/>
      <c r="X99" s="549"/>
      <c r="Y99" s="549"/>
      <c r="Z99" s="549"/>
      <c r="AA99" s="549"/>
      <c r="AB99" s="549"/>
      <c r="AC99" s="549"/>
      <c r="AD99" s="549"/>
      <c r="AE99" s="549"/>
      <c r="AF99" s="549"/>
      <c r="AG99" s="549"/>
      <c r="AH99" s="549"/>
      <c r="AI99" s="549"/>
      <c r="AJ99" s="549"/>
      <c r="AK99" s="877"/>
      <c r="AL99" s="877"/>
      <c r="AM99" s="877"/>
      <c r="AN99" s="877"/>
      <c r="AO99" s="877"/>
      <c r="AP99" s="549"/>
      <c r="AQ99" s="549"/>
      <c r="AR99" s="800"/>
    </row>
    <row r="100" spans="1:45" s="878" customFormat="1" ht="17.25" customHeight="1">
      <c r="A100" s="877"/>
      <c r="B100" s="877"/>
      <c r="C100" s="549"/>
      <c r="D100" s="549"/>
      <c r="E100" s="549"/>
      <c r="F100" s="549"/>
      <c r="G100" s="549"/>
      <c r="H100" s="549"/>
      <c r="I100" s="549"/>
      <c r="J100" s="549"/>
      <c r="K100" s="549"/>
      <c r="L100" s="237"/>
      <c r="M100" s="549"/>
      <c r="N100" s="549"/>
      <c r="O100" s="237"/>
      <c r="P100" s="549"/>
      <c r="Q100" s="549"/>
      <c r="R100" s="237"/>
      <c r="S100" s="549"/>
      <c r="T100" s="549"/>
      <c r="U100" s="549"/>
      <c r="V100" s="549"/>
      <c r="W100" s="549"/>
      <c r="X100" s="549"/>
      <c r="Y100" s="549"/>
      <c r="Z100" s="549"/>
      <c r="AA100" s="549"/>
      <c r="AB100" s="549"/>
      <c r="AC100" s="549"/>
      <c r="AD100" s="549"/>
      <c r="AE100" s="549"/>
      <c r="AF100" s="549"/>
      <c r="AG100" s="549"/>
      <c r="AH100" s="549"/>
      <c r="AI100" s="549"/>
      <c r="AJ100" s="549"/>
      <c r="AK100" s="877"/>
      <c r="AL100" s="877"/>
      <c r="AM100" s="877"/>
      <c r="AN100" s="877"/>
      <c r="AO100" s="877"/>
      <c r="AP100" s="549"/>
      <c r="AQ100" s="549"/>
      <c r="AR100" s="800"/>
    </row>
    <row r="101" spans="1:45" s="878" customFormat="1" ht="17.25" customHeight="1">
      <c r="A101" s="877"/>
      <c r="B101" s="877"/>
      <c r="C101" s="549"/>
      <c r="D101" s="549"/>
      <c r="E101" s="549"/>
      <c r="F101" s="549"/>
      <c r="G101" s="549"/>
      <c r="H101" s="549"/>
      <c r="I101" s="549"/>
      <c r="J101" s="549"/>
      <c r="K101" s="549"/>
      <c r="L101" s="237"/>
      <c r="M101" s="549"/>
      <c r="N101" s="549"/>
      <c r="O101" s="237"/>
      <c r="P101" s="549"/>
      <c r="Q101" s="549"/>
      <c r="R101" s="237"/>
      <c r="S101" s="549"/>
      <c r="T101" s="549"/>
      <c r="U101" s="549"/>
      <c r="V101" s="549"/>
      <c r="W101" s="549"/>
      <c r="X101" s="549"/>
      <c r="Y101" s="549"/>
      <c r="Z101" s="549"/>
      <c r="AA101" s="549"/>
      <c r="AB101" s="549"/>
      <c r="AC101" s="549"/>
      <c r="AD101" s="549"/>
      <c r="AE101" s="549"/>
      <c r="AF101" s="549"/>
      <c r="AG101" s="549"/>
      <c r="AH101" s="549"/>
      <c r="AI101" s="549"/>
      <c r="AJ101" s="549"/>
      <c r="AK101" s="877"/>
      <c r="AL101" s="877"/>
      <c r="AM101" s="877"/>
      <c r="AN101" s="877"/>
      <c r="AO101" s="877"/>
      <c r="AP101" s="549"/>
      <c r="AQ101" s="549"/>
      <c r="AR101" s="800"/>
    </row>
    <row r="102" spans="1:45" s="878" customFormat="1" ht="17.25" customHeight="1">
      <c r="A102" s="877"/>
      <c r="B102" s="877"/>
      <c r="C102" s="549"/>
      <c r="D102" s="549"/>
      <c r="E102" s="549"/>
      <c r="F102" s="549"/>
      <c r="G102" s="549"/>
      <c r="H102" s="549"/>
      <c r="I102" s="549"/>
      <c r="J102" s="549"/>
      <c r="K102" s="549"/>
      <c r="L102" s="237"/>
      <c r="M102" s="549"/>
      <c r="N102" s="549"/>
      <c r="O102" s="237"/>
      <c r="P102" s="549"/>
      <c r="Q102" s="549"/>
      <c r="R102" s="237"/>
      <c r="S102" s="549"/>
      <c r="T102" s="549"/>
      <c r="U102" s="549"/>
      <c r="V102" s="549"/>
      <c r="W102" s="549"/>
      <c r="X102" s="549"/>
      <c r="Y102" s="549"/>
      <c r="Z102" s="549"/>
      <c r="AA102" s="549"/>
      <c r="AB102" s="549"/>
      <c r="AC102" s="549"/>
      <c r="AD102" s="549"/>
      <c r="AE102" s="549"/>
      <c r="AF102" s="549"/>
      <c r="AG102" s="549"/>
      <c r="AH102" s="549"/>
      <c r="AI102" s="549"/>
      <c r="AJ102" s="549"/>
      <c r="AK102" s="877"/>
      <c r="AL102" s="877"/>
      <c r="AM102" s="877"/>
      <c r="AN102" s="877"/>
      <c r="AO102" s="877"/>
      <c r="AP102" s="549"/>
      <c r="AQ102" s="549"/>
      <c r="AR102" s="800"/>
    </row>
    <row r="103" spans="1:45" s="878" customFormat="1" ht="17.25" customHeight="1">
      <c r="A103" s="877"/>
      <c r="B103" s="877"/>
      <c r="C103" s="549"/>
      <c r="D103" s="549"/>
      <c r="E103" s="549"/>
      <c r="F103" s="549"/>
      <c r="G103" s="549"/>
      <c r="H103" s="549"/>
      <c r="I103" s="549"/>
      <c r="J103" s="549"/>
      <c r="K103" s="549"/>
      <c r="L103" s="237"/>
      <c r="M103" s="549"/>
      <c r="N103" s="549"/>
      <c r="O103" s="237"/>
      <c r="P103" s="549"/>
      <c r="Q103" s="549"/>
      <c r="R103" s="237"/>
      <c r="S103" s="549"/>
      <c r="T103" s="549"/>
      <c r="U103" s="549"/>
      <c r="V103" s="549"/>
      <c r="W103" s="549"/>
      <c r="X103" s="549"/>
      <c r="Y103" s="549"/>
      <c r="Z103" s="549"/>
      <c r="AA103" s="549"/>
      <c r="AB103" s="549"/>
      <c r="AC103" s="549"/>
      <c r="AD103" s="549"/>
      <c r="AE103" s="549"/>
      <c r="AF103" s="549"/>
      <c r="AG103" s="549"/>
      <c r="AH103" s="549"/>
      <c r="AI103" s="549"/>
      <c r="AJ103" s="549"/>
      <c r="AK103" s="877"/>
      <c r="AL103" s="877"/>
      <c r="AM103" s="877"/>
      <c r="AN103" s="877"/>
      <c r="AO103" s="877"/>
      <c r="AP103" s="549"/>
      <c r="AQ103" s="549"/>
      <c r="AR103" s="800"/>
    </row>
    <row r="104" spans="1:45" s="878" customFormat="1" ht="17.25" customHeight="1">
      <c r="A104" s="877"/>
      <c r="B104" s="877"/>
      <c r="C104" s="549"/>
      <c r="D104" s="549"/>
      <c r="E104" s="549"/>
      <c r="F104" s="549"/>
      <c r="G104" s="549"/>
      <c r="H104" s="549"/>
      <c r="I104" s="549"/>
      <c r="J104" s="549"/>
      <c r="K104" s="549"/>
      <c r="L104" s="237"/>
      <c r="M104" s="549"/>
      <c r="N104" s="549"/>
      <c r="O104" s="237"/>
      <c r="P104" s="549"/>
      <c r="Q104" s="549"/>
      <c r="R104" s="237"/>
      <c r="S104" s="549"/>
      <c r="T104" s="549"/>
      <c r="U104" s="549"/>
      <c r="V104" s="549"/>
      <c r="W104" s="549"/>
      <c r="X104" s="549"/>
      <c r="Y104" s="549"/>
      <c r="Z104" s="549"/>
      <c r="AA104" s="549"/>
      <c r="AB104" s="549"/>
      <c r="AC104" s="549"/>
      <c r="AD104" s="549"/>
      <c r="AE104" s="549"/>
      <c r="AF104" s="549"/>
      <c r="AG104" s="549"/>
      <c r="AH104" s="549"/>
      <c r="AI104" s="549"/>
      <c r="AJ104" s="549"/>
      <c r="AK104" s="877"/>
      <c r="AL104" s="877"/>
      <c r="AM104" s="877"/>
      <c r="AN104" s="877"/>
      <c r="AO104" s="877"/>
      <c r="AP104" s="549"/>
      <c r="AQ104" s="549"/>
      <c r="AR104" s="800"/>
    </row>
    <row r="105" spans="1:45" s="878" customFormat="1" ht="17.25" customHeight="1">
      <c r="A105" s="877"/>
      <c r="B105" s="877"/>
      <c r="C105" s="549"/>
      <c r="D105" s="549"/>
      <c r="E105" s="549"/>
      <c r="F105" s="549"/>
      <c r="G105" s="549"/>
      <c r="H105" s="549"/>
      <c r="I105" s="549"/>
      <c r="J105" s="549"/>
      <c r="K105" s="549"/>
      <c r="L105" s="237"/>
      <c r="M105" s="549"/>
      <c r="N105" s="549"/>
      <c r="O105" s="237"/>
      <c r="P105" s="549"/>
      <c r="Q105" s="549"/>
      <c r="R105" s="237"/>
      <c r="S105" s="549"/>
      <c r="T105" s="549"/>
      <c r="U105" s="549"/>
      <c r="V105" s="549"/>
      <c r="W105" s="549"/>
      <c r="X105" s="549"/>
      <c r="Y105" s="549"/>
      <c r="Z105" s="549"/>
      <c r="AA105" s="549"/>
      <c r="AB105" s="549"/>
      <c r="AC105" s="549"/>
      <c r="AD105" s="549"/>
      <c r="AE105" s="549"/>
      <c r="AF105" s="549"/>
      <c r="AG105" s="549"/>
      <c r="AH105" s="549"/>
      <c r="AI105" s="549"/>
      <c r="AJ105" s="549"/>
      <c r="AK105" s="877"/>
      <c r="AL105" s="877"/>
      <c r="AM105" s="877"/>
      <c r="AN105" s="877"/>
      <c r="AO105" s="877"/>
      <c r="AP105" s="549"/>
      <c r="AQ105" s="549"/>
      <c r="AR105" s="800"/>
    </row>
    <row r="106" spans="1:45" s="878" customFormat="1" ht="17.25" customHeight="1">
      <c r="A106" s="877"/>
      <c r="B106" s="877"/>
      <c r="C106" s="549"/>
      <c r="D106" s="549"/>
      <c r="E106" s="549"/>
      <c r="F106" s="549"/>
      <c r="G106" s="549"/>
      <c r="H106" s="549"/>
      <c r="I106" s="549"/>
      <c r="J106" s="549"/>
      <c r="K106" s="549"/>
      <c r="L106" s="237"/>
      <c r="M106" s="549"/>
      <c r="N106" s="549"/>
      <c r="O106" s="237"/>
      <c r="P106" s="549"/>
      <c r="Q106" s="549"/>
      <c r="R106" s="237"/>
      <c r="S106" s="549"/>
      <c r="T106" s="549"/>
      <c r="U106" s="549"/>
      <c r="V106" s="549"/>
      <c r="W106" s="549"/>
      <c r="X106" s="549"/>
      <c r="Y106" s="549"/>
      <c r="Z106" s="549"/>
      <c r="AA106" s="549"/>
      <c r="AB106" s="549"/>
      <c r="AC106" s="549"/>
      <c r="AD106" s="549"/>
      <c r="AE106" s="549"/>
      <c r="AF106" s="549"/>
      <c r="AG106" s="549"/>
      <c r="AH106" s="549"/>
      <c r="AI106" s="549"/>
      <c r="AJ106" s="549"/>
      <c r="AK106" s="877"/>
      <c r="AL106" s="877"/>
      <c r="AM106" s="877"/>
      <c r="AN106" s="877"/>
      <c r="AO106" s="877"/>
      <c r="AP106" s="549"/>
      <c r="AQ106" s="549"/>
      <c r="AR106" s="800"/>
    </row>
    <row r="107" spans="1:45" s="878" customFormat="1" ht="17.25" customHeight="1">
      <c r="A107" s="877"/>
      <c r="B107" s="877"/>
      <c r="C107" s="549"/>
      <c r="D107" s="549"/>
      <c r="E107" s="549"/>
      <c r="F107" s="549"/>
      <c r="G107" s="549"/>
      <c r="H107" s="549"/>
      <c r="I107" s="549"/>
      <c r="J107" s="549"/>
      <c r="K107" s="549"/>
      <c r="L107" s="237"/>
      <c r="M107" s="549"/>
      <c r="N107" s="549"/>
      <c r="O107" s="237"/>
      <c r="P107" s="549"/>
      <c r="Q107" s="549"/>
      <c r="R107" s="237"/>
      <c r="S107" s="549"/>
      <c r="T107" s="549"/>
      <c r="U107" s="549"/>
      <c r="V107" s="549"/>
      <c r="W107" s="549"/>
      <c r="X107" s="549"/>
      <c r="Y107" s="549"/>
      <c r="Z107" s="549"/>
      <c r="AA107" s="549"/>
      <c r="AB107" s="549"/>
      <c r="AC107" s="549"/>
      <c r="AD107" s="549"/>
      <c r="AE107" s="549"/>
      <c r="AF107" s="549"/>
      <c r="AG107" s="549"/>
      <c r="AH107" s="549"/>
      <c r="AI107" s="549"/>
      <c r="AJ107" s="549"/>
      <c r="AK107" s="877"/>
      <c r="AL107" s="877"/>
      <c r="AM107" s="877"/>
      <c r="AN107" s="877"/>
      <c r="AO107" s="877"/>
      <c r="AP107" s="549"/>
      <c r="AQ107" s="549"/>
      <c r="AR107" s="800"/>
    </row>
    <row r="108" spans="1:45" s="878" customFormat="1" ht="17.25" customHeight="1">
      <c r="A108" s="877"/>
      <c r="B108" s="877"/>
      <c r="C108" s="549"/>
      <c r="D108" s="549"/>
      <c r="E108" s="549"/>
      <c r="F108" s="549"/>
      <c r="G108" s="549"/>
      <c r="H108" s="549"/>
      <c r="I108" s="549"/>
      <c r="J108" s="549"/>
      <c r="K108" s="549"/>
      <c r="L108" s="237"/>
      <c r="M108" s="549"/>
      <c r="N108" s="549"/>
      <c r="O108" s="237"/>
      <c r="P108" s="549"/>
      <c r="Q108" s="549"/>
      <c r="R108" s="237"/>
      <c r="S108" s="549"/>
      <c r="T108" s="549"/>
      <c r="U108" s="549"/>
      <c r="V108" s="549"/>
      <c r="W108" s="549"/>
      <c r="X108" s="549"/>
      <c r="Y108" s="549"/>
      <c r="Z108" s="549"/>
      <c r="AA108" s="549"/>
      <c r="AB108" s="549"/>
      <c r="AC108" s="549"/>
      <c r="AD108" s="549"/>
      <c r="AE108" s="549"/>
      <c r="AF108" s="549"/>
      <c r="AG108" s="549"/>
      <c r="AH108" s="549"/>
      <c r="AI108" s="549"/>
      <c r="AJ108" s="549"/>
      <c r="AK108" s="877"/>
      <c r="AL108" s="877"/>
      <c r="AM108" s="877"/>
      <c r="AN108" s="877"/>
      <c r="AO108" s="877"/>
      <c r="AP108" s="549"/>
      <c r="AQ108" s="549"/>
      <c r="AR108" s="800"/>
    </row>
    <row r="109" spans="1:45" s="878" customFormat="1" ht="9" customHeight="1">
      <c r="A109" s="877"/>
      <c r="B109" s="877"/>
      <c r="C109" s="549"/>
      <c r="D109" s="549"/>
      <c r="E109" s="549"/>
      <c r="F109" s="549"/>
      <c r="G109" s="549"/>
      <c r="H109" s="549"/>
      <c r="I109" s="549"/>
      <c r="J109" s="549"/>
      <c r="K109" s="549"/>
      <c r="L109" s="237"/>
      <c r="M109" s="549"/>
      <c r="N109" s="549"/>
      <c r="O109" s="237"/>
      <c r="P109" s="549"/>
      <c r="Q109" s="549"/>
      <c r="R109" s="237"/>
      <c r="S109" s="549"/>
      <c r="T109" s="549"/>
      <c r="U109" s="549"/>
      <c r="V109" s="549"/>
      <c r="W109" s="549"/>
      <c r="X109" s="549"/>
      <c r="Y109" s="549"/>
      <c r="Z109" s="549"/>
      <c r="AA109" s="549"/>
      <c r="AB109" s="549"/>
      <c r="AC109" s="549"/>
      <c r="AD109" s="549"/>
      <c r="AE109" s="549"/>
      <c r="AF109" s="549"/>
      <c r="AG109" s="549"/>
      <c r="AH109" s="549"/>
      <c r="AI109" s="549"/>
      <c r="AJ109" s="549"/>
      <c r="AK109" s="877"/>
      <c r="AL109" s="877"/>
      <c r="AM109" s="877"/>
      <c r="AN109" s="877"/>
      <c r="AO109" s="877"/>
      <c r="AP109" s="549"/>
      <c r="AQ109" s="549"/>
      <c r="AR109" s="800"/>
    </row>
    <row r="110" spans="1:45" s="878" customFormat="1" ht="17.25" customHeight="1">
      <c r="A110" s="877"/>
      <c r="B110" s="877"/>
      <c r="C110" s="877"/>
      <c r="D110" s="877"/>
      <c r="E110" s="877"/>
      <c r="F110" s="877"/>
      <c r="G110" s="877"/>
      <c r="H110" s="877"/>
      <c r="I110" s="877"/>
      <c r="J110" s="877"/>
      <c r="K110" s="877"/>
      <c r="L110" s="451"/>
      <c r="M110" s="877"/>
      <c r="N110" s="877"/>
      <c r="O110" s="451"/>
      <c r="P110" s="877"/>
      <c r="Q110" s="877"/>
      <c r="R110" s="451"/>
      <c r="S110" s="877"/>
      <c r="T110" s="877"/>
      <c r="U110" s="877"/>
      <c r="V110" s="877"/>
      <c r="W110" s="877"/>
      <c r="X110" s="877"/>
      <c r="Y110" s="877"/>
      <c r="Z110" s="877"/>
      <c r="AA110" s="877"/>
      <c r="AB110" s="877"/>
      <c r="AC110" s="877"/>
      <c r="AD110" s="877"/>
      <c r="AE110" s="877"/>
      <c r="AF110" s="877"/>
      <c r="AG110" s="877"/>
      <c r="AH110" s="877"/>
      <c r="AI110" s="877"/>
      <c r="AJ110" s="877"/>
      <c r="AK110" s="877"/>
      <c r="AL110" s="877"/>
      <c r="AM110" s="877"/>
      <c r="AN110" s="877"/>
      <c r="AO110" s="877"/>
      <c r="AP110" s="549"/>
      <c r="AQ110" s="549"/>
      <c r="AR110" s="800"/>
    </row>
    <row r="111" spans="1:45" s="878" customFormat="1" ht="17.25" customHeight="1">
      <c r="A111" s="877"/>
      <c r="B111" s="877"/>
      <c r="C111" s="877"/>
      <c r="D111" s="877"/>
      <c r="E111" s="877"/>
      <c r="F111" s="877"/>
      <c r="G111" s="877"/>
      <c r="H111" s="877"/>
      <c r="I111" s="877"/>
      <c r="J111" s="877"/>
      <c r="K111" s="877"/>
      <c r="L111" s="451"/>
      <c r="M111" s="877"/>
      <c r="N111" s="877"/>
      <c r="O111" s="451"/>
      <c r="P111" s="877"/>
      <c r="Q111" s="877"/>
      <c r="R111" s="451"/>
      <c r="S111" s="877"/>
      <c r="T111" s="877"/>
      <c r="U111" s="877"/>
      <c r="V111" s="877"/>
      <c r="W111" s="877"/>
      <c r="X111" s="877"/>
      <c r="Y111" s="877"/>
      <c r="Z111" s="877"/>
      <c r="AA111" s="877"/>
      <c r="AB111" s="877"/>
      <c r="AC111" s="877"/>
      <c r="AD111" s="877"/>
      <c r="AE111" s="877"/>
      <c r="AF111" s="877"/>
      <c r="AG111" s="877"/>
      <c r="AH111" s="877"/>
      <c r="AI111" s="877"/>
      <c r="AJ111" s="877"/>
      <c r="AK111" s="877"/>
      <c r="AL111" s="877"/>
      <c r="AM111" s="877"/>
      <c r="AN111" s="877"/>
      <c r="AO111" s="877"/>
      <c r="AP111" s="549"/>
      <c r="AQ111" s="549"/>
      <c r="AR111" s="800"/>
    </row>
    <row r="112" spans="1:45" ht="10.5" customHeight="1">
      <c r="A112" s="877"/>
      <c r="B112" s="187"/>
      <c r="C112" s="188"/>
      <c r="D112" s="188"/>
      <c r="E112" s="188"/>
      <c r="F112" s="188"/>
      <c r="G112" s="188"/>
      <c r="H112" s="188"/>
      <c r="I112" s="188"/>
      <c r="J112" s="188"/>
      <c r="K112" s="188"/>
      <c r="L112" s="237"/>
      <c r="M112" s="188"/>
      <c r="N112" s="188"/>
      <c r="O112" s="237"/>
      <c r="P112" s="188"/>
      <c r="Q112" s="188"/>
      <c r="R112" s="237"/>
      <c r="S112" s="188"/>
      <c r="T112" s="877"/>
      <c r="U112" s="549"/>
      <c r="V112" s="549"/>
      <c r="W112" s="549"/>
      <c r="X112" s="549"/>
      <c r="Y112" s="549"/>
      <c r="Z112" s="549"/>
      <c r="AA112" s="549"/>
      <c r="AB112" s="549"/>
      <c r="AC112" s="549"/>
      <c r="AD112" s="549"/>
      <c r="AE112" s="549"/>
      <c r="AF112" s="549"/>
      <c r="AG112" s="549"/>
      <c r="AH112" s="549"/>
      <c r="AI112" s="549"/>
      <c r="AJ112" s="549"/>
      <c r="AK112" s="549"/>
      <c r="AL112" s="549"/>
      <c r="AM112" s="549"/>
      <c r="AN112" s="549"/>
      <c r="AO112" s="877"/>
      <c r="AP112" s="188"/>
      <c r="AQ112" s="188"/>
      <c r="AR112" s="125"/>
      <c r="AS112" s="799"/>
    </row>
    <row r="113" spans="1:49" s="878" customFormat="1" ht="19.5" customHeight="1">
      <c r="A113" s="877"/>
      <c r="B113" s="877"/>
      <c r="C113" s="190" t="s">
        <v>658</v>
      </c>
      <c r="D113" s="549"/>
      <c r="E113" s="549"/>
      <c r="F113" s="549"/>
      <c r="G113" s="549"/>
      <c r="H113" s="549"/>
      <c r="I113" s="549"/>
      <c r="J113" s="549"/>
      <c r="K113" s="549"/>
      <c r="L113" s="237"/>
      <c r="M113" s="549"/>
      <c r="N113" s="549"/>
      <c r="O113" s="237"/>
      <c r="P113" s="549"/>
      <c r="Q113" s="549"/>
      <c r="R113" s="237"/>
      <c r="S113" s="549"/>
      <c r="T113" s="877"/>
      <c r="U113" s="549"/>
      <c r="V113" s="549"/>
      <c r="W113" s="549"/>
      <c r="X113" s="549"/>
      <c r="Y113" s="549"/>
      <c r="Z113" s="549"/>
      <c r="AA113" s="549"/>
      <c r="AB113" s="549"/>
      <c r="AC113" s="549"/>
      <c r="AD113" s="549"/>
      <c r="AE113" s="549"/>
      <c r="AF113" s="549"/>
      <c r="AG113" s="549"/>
      <c r="AH113" s="549"/>
      <c r="AI113" s="549"/>
      <c r="AJ113" s="549"/>
      <c r="AK113" s="549"/>
      <c r="AL113" s="549"/>
      <c r="AM113" s="549"/>
      <c r="AN113" s="549"/>
      <c r="AO113" s="877"/>
      <c r="AP113" s="549"/>
      <c r="AQ113" s="549"/>
      <c r="AR113" s="800"/>
    </row>
    <row r="114" spans="1:49" s="878" customFormat="1" ht="10.5" customHeight="1">
      <c r="A114" s="877"/>
      <c r="B114" s="877"/>
      <c r="C114" s="549"/>
      <c r="D114" s="549"/>
      <c r="E114" s="549"/>
      <c r="F114" s="549"/>
      <c r="G114" s="549"/>
      <c r="H114" s="549"/>
      <c r="I114" s="549"/>
      <c r="J114" s="549"/>
      <c r="K114" s="549"/>
      <c r="L114" s="237"/>
      <c r="M114" s="549"/>
      <c r="N114" s="549"/>
      <c r="O114" s="237"/>
      <c r="P114" s="549"/>
      <c r="Q114" s="549"/>
      <c r="R114" s="237"/>
      <c r="S114" s="549"/>
      <c r="T114" s="877"/>
      <c r="U114" s="549"/>
      <c r="V114" s="549"/>
      <c r="W114" s="549"/>
      <c r="X114" s="549"/>
      <c r="Y114" s="549"/>
      <c r="Z114" s="549"/>
      <c r="AA114" s="549"/>
      <c r="AB114" s="549"/>
      <c r="AC114" s="549"/>
      <c r="AD114" s="549"/>
      <c r="AE114" s="549"/>
      <c r="AF114" s="549"/>
      <c r="AG114" s="549"/>
      <c r="AH114" s="549"/>
      <c r="AI114" s="549"/>
      <c r="AJ114" s="549"/>
      <c r="AK114" s="549"/>
      <c r="AL114" s="549"/>
      <c r="AM114" s="549"/>
      <c r="AN114" s="549"/>
      <c r="AO114" s="877"/>
      <c r="AP114" s="549"/>
      <c r="AQ114" s="549"/>
      <c r="AR114" s="800"/>
    </row>
    <row r="115" spans="1:49" ht="17.25" customHeight="1">
      <c r="A115" s="877"/>
      <c r="B115" s="187"/>
      <c r="C115" s="190" t="s">
        <v>236</v>
      </c>
      <c r="D115" s="444"/>
      <c r="E115" s="444"/>
      <c r="F115" s="444"/>
      <c r="G115" s="444"/>
      <c r="H115" s="444"/>
      <c r="I115" s="444"/>
      <c r="J115" s="353" t="str">
        <f>'Summary 02'!$V$5</f>
        <v>FY 2017</v>
      </c>
      <c r="K115" s="354"/>
      <c r="L115" s="353" t="str">
        <f>'Summary 02'!$AA$5</f>
        <v>FY 2018</v>
      </c>
      <c r="M115" s="354"/>
      <c r="N115" s="352" t="s">
        <v>1072</v>
      </c>
      <c r="O115" s="354"/>
      <c r="P115" s="353"/>
      <c r="Q115" s="354"/>
      <c r="R115" s="353"/>
      <c r="S115" s="354"/>
      <c r="T115" s="877"/>
      <c r="U115" s="800"/>
      <c r="V115" s="800"/>
      <c r="W115" s="800"/>
      <c r="X115" s="800"/>
      <c r="Y115" s="800"/>
      <c r="Z115" s="800"/>
      <c r="AA115" s="800"/>
      <c r="AB115" s="800"/>
      <c r="AC115" s="800"/>
      <c r="AD115" s="800"/>
      <c r="AE115" s="800"/>
      <c r="AF115" s="800"/>
      <c r="AG115" s="800"/>
      <c r="AH115" s="800"/>
      <c r="AI115" s="800"/>
      <c r="AJ115" s="549"/>
      <c r="AK115" s="549"/>
      <c r="AL115" s="549"/>
      <c r="AM115" s="549"/>
      <c r="AN115" s="549"/>
      <c r="AO115" s="877"/>
      <c r="AP115" s="188"/>
      <c r="AQ115" s="188"/>
      <c r="AS115" s="799"/>
    </row>
    <row r="116" spans="1:49" ht="17.25" customHeight="1">
      <c r="A116" s="877"/>
      <c r="B116" s="187"/>
      <c r="C116" s="444" t="s">
        <v>668</v>
      </c>
      <c r="D116" s="444"/>
      <c r="E116" s="444"/>
      <c r="F116" s="444"/>
      <c r="G116" s="444"/>
      <c r="H116" s="444"/>
      <c r="I116" s="444"/>
      <c r="J116" s="489">
        <f ca="1">SUMPRODUCT((Timing!$J$5:$AG$5='Summary 02'!V$8)*('Human Resources'!$J$43:$AG$43))</f>
        <v>12.803838426130184</v>
      </c>
      <c r="K116" s="490"/>
      <c r="L116" s="489">
        <f ca="1">SUMPRODUCT((Timing!$J$5:$AG$5='Summary 02'!AA8)*('Human Resources'!$J$43:$AG$43))</f>
        <v>24.308666753228788</v>
      </c>
      <c r="M116" s="490"/>
      <c r="N116" s="877"/>
      <c r="O116" s="877"/>
      <c r="P116" s="877"/>
      <c r="Q116" s="877"/>
      <c r="R116" s="877"/>
      <c r="S116" s="877"/>
      <c r="T116" s="877"/>
      <c r="U116" s="549"/>
      <c r="V116" s="549"/>
      <c r="W116" s="549"/>
      <c r="X116" s="549"/>
      <c r="Y116" s="549"/>
      <c r="Z116" s="549"/>
      <c r="AA116" s="549"/>
      <c r="AB116" s="549"/>
      <c r="AC116" s="549"/>
      <c r="AD116" s="549"/>
      <c r="AE116" s="549"/>
      <c r="AF116" s="549"/>
      <c r="AG116" s="549"/>
      <c r="AH116" s="549"/>
      <c r="AI116" s="549"/>
      <c r="AJ116" s="549"/>
      <c r="AK116" s="549"/>
      <c r="AL116" s="549"/>
      <c r="AM116" s="549"/>
      <c r="AN116" s="549"/>
      <c r="AO116" s="877"/>
      <c r="AP116" s="188"/>
      <c r="AQ116" s="188"/>
      <c r="AS116" s="799"/>
    </row>
    <row r="117" spans="1:49" ht="17.25" customHeight="1">
      <c r="A117" s="877"/>
      <c r="B117" s="187"/>
      <c r="C117" s="444" t="s">
        <v>654</v>
      </c>
      <c r="D117" s="444"/>
      <c r="E117" s="444"/>
      <c r="F117" s="196"/>
      <c r="G117" s="196"/>
      <c r="H117" s="196"/>
      <c r="I117" s="79"/>
      <c r="J117" s="491">
        <f ca="1">IF(J116=0,"",J116-'Human Resources'!$I$43)</f>
        <v>12.803838426130184</v>
      </c>
      <c r="K117" s="492"/>
      <c r="L117" s="491">
        <f ca="1">IF(L116=0,"",L116-J116)</f>
        <v>11.504828327098604</v>
      </c>
      <c r="M117" s="492"/>
      <c r="N117" s="877"/>
      <c r="O117" s="877"/>
      <c r="P117" s="877"/>
      <c r="Q117" s="877"/>
      <c r="R117" s="877"/>
      <c r="S117" s="877"/>
      <c r="T117" s="877"/>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877"/>
      <c r="AP117" s="188"/>
      <c r="AQ117" s="188"/>
      <c r="AR117" s="125"/>
      <c r="AS117" s="799"/>
    </row>
    <row r="118" spans="1:49" ht="17.25" customHeight="1">
      <c r="A118" s="877"/>
      <c r="B118" s="187"/>
      <c r="C118" s="188"/>
      <c r="D118" s="188"/>
      <c r="E118" s="188"/>
      <c r="F118" s="188"/>
      <c r="G118" s="188"/>
      <c r="H118" s="188"/>
      <c r="I118" s="188"/>
      <c r="J118" s="188"/>
      <c r="K118" s="188"/>
      <c r="L118" s="188"/>
      <c r="M118" s="188"/>
      <c r="N118" s="188"/>
      <c r="O118" s="188"/>
      <c r="P118" s="188"/>
      <c r="Q118" s="188"/>
      <c r="R118" s="188"/>
      <c r="S118" s="188"/>
      <c r="T118" s="877"/>
      <c r="U118" s="549"/>
      <c r="V118" s="549"/>
      <c r="W118" s="549"/>
      <c r="X118" s="549"/>
      <c r="Y118" s="549"/>
      <c r="Z118" s="549"/>
      <c r="AA118" s="549"/>
      <c r="AB118" s="549"/>
      <c r="AC118" s="549"/>
      <c r="AD118" s="549"/>
      <c r="AE118" s="549"/>
      <c r="AF118" s="549"/>
      <c r="AG118" s="549"/>
      <c r="AH118" s="549"/>
      <c r="AI118" s="549"/>
      <c r="AJ118" s="549"/>
      <c r="AK118" s="549"/>
      <c r="AL118" s="549"/>
      <c r="AM118" s="549"/>
      <c r="AN118" s="549"/>
      <c r="AO118" s="877"/>
      <c r="AP118" s="188"/>
      <c r="AQ118" s="188"/>
      <c r="AR118" s="125"/>
      <c r="AS118" s="799"/>
    </row>
    <row r="119" spans="1:49" ht="17.25" customHeight="1">
      <c r="A119" s="877"/>
      <c r="B119" s="187"/>
      <c r="T119" s="877"/>
      <c r="U119" s="549"/>
      <c r="V119" s="549"/>
      <c r="W119" s="549"/>
      <c r="X119" s="549"/>
      <c r="Y119" s="549"/>
      <c r="Z119" s="549"/>
      <c r="AA119" s="549"/>
      <c r="AB119" s="549"/>
      <c r="AC119" s="549"/>
      <c r="AD119" s="549"/>
      <c r="AE119" s="549"/>
      <c r="AF119" s="549"/>
      <c r="AG119" s="549"/>
      <c r="AH119" s="549"/>
      <c r="AI119" s="549"/>
      <c r="AJ119" s="549"/>
      <c r="AK119" s="549"/>
      <c r="AL119" s="549"/>
      <c r="AM119" s="549"/>
      <c r="AN119" s="549"/>
      <c r="AO119" s="877"/>
      <c r="AP119" s="188"/>
      <c r="AQ119" s="188"/>
      <c r="AR119" s="125"/>
      <c r="AS119" s="799"/>
    </row>
    <row r="120" spans="1:49" ht="17.25" customHeight="1">
      <c r="A120" s="877"/>
      <c r="B120" s="187"/>
      <c r="C120" s="190" t="s">
        <v>657</v>
      </c>
      <c r="D120" s="549"/>
      <c r="E120" s="549"/>
      <c r="F120" s="549"/>
      <c r="G120" s="549"/>
      <c r="H120" s="549"/>
      <c r="I120" s="549"/>
      <c r="J120" s="549"/>
      <c r="K120" s="549"/>
      <c r="L120" s="549"/>
      <c r="M120" s="549"/>
      <c r="N120" s="549"/>
      <c r="O120" s="549"/>
      <c r="P120" s="549"/>
      <c r="Q120" s="549"/>
      <c r="R120" s="549"/>
      <c r="S120" s="549"/>
      <c r="T120" s="877"/>
      <c r="U120" s="549"/>
      <c r="V120" s="549"/>
      <c r="W120" s="549"/>
      <c r="X120" s="549"/>
      <c r="Y120" s="549"/>
      <c r="Z120" s="549"/>
      <c r="AA120" s="549"/>
      <c r="AB120" s="549"/>
      <c r="AC120" s="549"/>
      <c r="AD120" s="549"/>
      <c r="AE120" s="549"/>
      <c r="AF120" s="549"/>
      <c r="AG120" s="549"/>
      <c r="AH120" s="549"/>
      <c r="AI120" s="549"/>
      <c r="AJ120" s="549"/>
      <c r="AK120" s="549"/>
      <c r="AL120" s="549"/>
      <c r="AM120" s="549"/>
      <c r="AN120" s="549"/>
      <c r="AO120" s="877"/>
      <c r="AP120" s="188"/>
      <c r="AQ120" s="188"/>
      <c r="AR120" s="125"/>
      <c r="AS120" s="799"/>
      <c r="AW120" s="878"/>
    </row>
    <row r="121" spans="1:49" ht="17.25" customHeight="1">
      <c r="A121" s="877"/>
      <c r="B121" s="187"/>
      <c r="C121" s="549" t="s">
        <v>659</v>
      </c>
      <c r="D121" s="549"/>
      <c r="E121" s="549"/>
      <c r="F121" s="549"/>
      <c r="G121" s="549"/>
      <c r="H121" s="549"/>
      <c r="I121" s="549"/>
      <c r="J121" s="498"/>
      <c r="K121" s="549"/>
      <c r="L121" s="549"/>
      <c r="M121" s="549"/>
      <c r="N121" s="549"/>
      <c r="O121" s="549"/>
      <c r="P121" s="549"/>
      <c r="Q121" s="549"/>
      <c r="R121" s="549"/>
      <c r="S121" s="549"/>
      <c r="T121" s="877"/>
      <c r="U121" s="549"/>
      <c r="V121" s="549"/>
      <c r="W121" s="549"/>
      <c r="X121" s="549"/>
      <c r="Y121" s="549"/>
      <c r="Z121" s="549"/>
      <c r="AA121" s="549"/>
      <c r="AB121" s="549"/>
      <c r="AC121" s="549"/>
      <c r="AD121" s="549"/>
      <c r="AE121" s="549"/>
      <c r="AF121" s="549"/>
      <c r="AG121" s="549"/>
      <c r="AH121" s="549"/>
      <c r="AI121" s="549"/>
      <c r="AJ121" s="549"/>
      <c r="AK121" s="549"/>
      <c r="AL121" s="549"/>
      <c r="AM121" s="549"/>
      <c r="AN121" s="549"/>
      <c r="AO121" s="877"/>
      <c r="AP121" s="188"/>
      <c r="AQ121" s="188"/>
      <c r="AR121" s="125"/>
      <c r="AS121" s="799"/>
      <c r="AW121" s="878"/>
    </row>
    <row r="122" spans="1:49" ht="17.25" customHeight="1">
      <c r="A122" s="877"/>
      <c r="B122" s="187"/>
      <c r="C122" s="549"/>
      <c r="D122" s="549"/>
      <c r="E122" s="549"/>
      <c r="F122" s="549"/>
      <c r="G122" s="549"/>
      <c r="H122" s="549"/>
      <c r="I122" s="549"/>
      <c r="J122" s="353" t="str">
        <f>'Summary 02'!$V$5</f>
        <v>FY 2017</v>
      </c>
      <c r="K122" s="354"/>
      <c r="L122" s="353" t="str">
        <f>'Summary 02'!$AA$5</f>
        <v>FY 2018</v>
      </c>
      <c r="M122" s="354"/>
      <c r="N122" s="352" t="s">
        <v>1072</v>
      </c>
      <c r="O122" s="354"/>
      <c r="P122" s="353"/>
      <c r="Q122" s="354"/>
      <c r="R122" s="353"/>
      <c r="S122" s="354"/>
      <c r="T122" s="877"/>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877"/>
      <c r="AP122" s="188"/>
      <c r="AQ122" s="188"/>
      <c r="AR122" s="125"/>
      <c r="AS122" s="799"/>
    </row>
    <row r="123" spans="1:49" ht="17.25" customHeight="1">
      <c r="A123" s="877"/>
      <c r="B123" s="187"/>
      <c r="C123" s="66" t="s">
        <v>661</v>
      </c>
      <c r="D123" s="549"/>
      <c r="E123" s="549"/>
      <c r="F123" s="549"/>
      <c r="G123" s="549"/>
      <c r="H123" s="549"/>
      <c r="J123" s="890">
        <v>1</v>
      </c>
      <c r="K123" s="890"/>
      <c r="L123" s="891">
        <v>2</v>
      </c>
      <c r="M123" s="891"/>
      <c r="N123" s="877"/>
      <c r="O123" s="877"/>
      <c r="P123" s="877"/>
      <c r="Q123" s="877"/>
      <c r="R123" s="877"/>
      <c r="S123" s="877"/>
      <c r="T123" s="877"/>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877"/>
      <c r="AP123" s="188"/>
      <c r="AQ123" s="188"/>
      <c r="AR123" s="125"/>
      <c r="AS123" s="799"/>
    </row>
    <row r="124" spans="1:49" ht="17.25" customHeight="1">
      <c r="A124" s="877"/>
      <c r="B124" s="187"/>
      <c r="C124" s="549" t="str">
        <f>AW280</f>
        <v>Direct Labor Staff</v>
      </c>
      <c r="D124" s="549"/>
      <c r="E124" s="549"/>
      <c r="F124" s="549"/>
      <c r="G124" s="549"/>
      <c r="H124" s="549"/>
      <c r="I124" s="549"/>
      <c r="J124" s="597">
        <f ca="1">SUMPRODUCT((Timing!$J$15:$AG$15=J$123)*('Human Resources'!$J161:$AG161))</f>
        <v>55438.709909283629</v>
      </c>
      <c r="K124" s="455"/>
      <c r="L124" s="597">
        <f ca="1">SUMPRODUCT((Timing!$J$15:$AG$15=L$123)*('Human Resources'!$J161:$AG161))</f>
        <v>192618.60922394722</v>
      </c>
      <c r="M124" s="455"/>
      <c r="N124" s="877"/>
      <c r="O124" s="877"/>
      <c r="P124" s="877"/>
      <c r="Q124" s="877"/>
      <c r="R124" s="877"/>
      <c r="S124" s="877"/>
      <c r="T124" s="877"/>
      <c r="U124" s="549"/>
      <c r="V124" s="549"/>
      <c r="W124" s="549"/>
      <c r="X124" s="549"/>
      <c r="Y124" s="549"/>
      <c r="Z124" s="549"/>
      <c r="AA124" s="549"/>
      <c r="AB124" s="549"/>
      <c r="AC124" s="549"/>
      <c r="AD124" s="549"/>
      <c r="AE124" s="549"/>
      <c r="AF124" s="549"/>
      <c r="AG124" s="549"/>
      <c r="AH124" s="549"/>
      <c r="AI124" s="549"/>
      <c r="AJ124" s="549"/>
      <c r="AK124" s="549"/>
      <c r="AL124" s="549"/>
      <c r="AM124" s="549"/>
      <c r="AN124" s="549"/>
      <c r="AO124" s="877"/>
      <c r="AP124" s="188"/>
      <c r="AQ124" s="188"/>
      <c r="AR124" s="125"/>
      <c r="AS124" s="799"/>
    </row>
    <row r="125" spans="1:49" ht="17.25" customHeight="1">
      <c r="A125" s="877"/>
      <c r="B125" s="187"/>
      <c r="C125" s="549" t="str">
        <f>AW281</f>
        <v>Marketing and Sales Staff</v>
      </c>
      <c r="D125" s="549"/>
      <c r="E125" s="549"/>
      <c r="F125" s="549"/>
      <c r="G125" s="549"/>
      <c r="H125" s="549"/>
      <c r="I125" s="549"/>
      <c r="J125" s="597">
        <f ca="1">SUMPRODUCT((Timing!$J$15:$AG$15=J$123)*('Human Resources'!$J162:$AG162))</f>
        <v>86186.714237911627</v>
      </c>
      <c r="K125" s="455"/>
      <c r="L125" s="597">
        <f ca="1">SUMPRODUCT((Timing!$J$15:$AG$15=L$123)*('Human Resources'!$J162:$AG162))</f>
        <v>258202.72600229766</v>
      </c>
      <c r="M125" s="455"/>
      <c r="N125" s="877"/>
      <c r="O125" s="877"/>
      <c r="P125" s="877"/>
      <c r="Q125" s="877"/>
      <c r="R125" s="877"/>
      <c r="S125" s="877"/>
      <c r="T125" s="877"/>
      <c r="U125" s="549"/>
      <c r="V125" s="549"/>
      <c r="W125" s="549"/>
      <c r="X125" s="549"/>
      <c r="Y125" s="549"/>
      <c r="Z125" s="549"/>
      <c r="AA125" s="549"/>
      <c r="AB125" s="549"/>
      <c r="AC125" s="549"/>
      <c r="AD125" s="549"/>
      <c r="AE125" s="549"/>
      <c r="AF125" s="549"/>
      <c r="AG125" s="549"/>
      <c r="AH125" s="549"/>
      <c r="AI125" s="549"/>
      <c r="AJ125" s="549"/>
      <c r="AK125" s="549"/>
      <c r="AL125" s="549"/>
      <c r="AM125" s="549"/>
      <c r="AN125" s="549"/>
      <c r="AO125" s="877"/>
      <c r="AP125" s="188"/>
      <c r="AQ125" s="188"/>
      <c r="AR125" s="125"/>
      <c r="AS125" s="799"/>
    </row>
    <row r="126" spans="1:49" ht="17.25" customHeight="1">
      <c r="A126" s="877"/>
      <c r="B126" s="187"/>
      <c r="C126" s="549" t="str">
        <f>AW282</f>
        <v>Research and Development Staff</v>
      </c>
      <c r="D126" s="549"/>
      <c r="E126" s="549"/>
      <c r="F126" s="549"/>
      <c r="G126" s="549"/>
      <c r="H126" s="549"/>
      <c r="I126" s="549"/>
      <c r="J126" s="597">
        <f>SUMPRODUCT((Timing!$J$15:$AG$15=J$123)*('Human Resources'!$J163:$AG163))</f>
        <v>60525</v>
      </c>
      <c r="K126" s="455"/>
      <c r="L126" s="597">
        <f>SUMPRODUCT((Timing!$J$15:$AG$15=L$123)*('Human Resources'!$J163:$AG163))</f>
        <v>148302</v>
      </c>
      <c r="M126" s="455"/>
      <c r="N126" s="877"/>
      <c r="O126" s="877"/>
      <c r="P126" s="877"/>
      <c r="Q126" s="877"/>
      <c r="R126" s="877"/>
      <c r="S126" s="877"/>
      <c r="T126" s="877"/>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877"/>
      <c r="AP126" s="188"/>
      <c r="AQ126" s="188"/>
      <c r="AR126" s="125"/>
      <c r="AS126" s="799"/>
    </row>
    <row r="127" spans="1:49" ht="17.25" customHeight="1">
      <c r="A127" s="877"/>
      <c r="B127" s="187"/>
      <c r="C127" s="549" t="str">
        <f>AW283</f>
        <v>General and Administration Staff</v>
      </c>
      <c r="D127" s="549"/>
      <c r="E127" s="549"/>
      <c r="F127" s="549"/>
      <c r="G127" s="549"/>
      <c r="H127" s="549"/>
      <c r="I127" s="549"/>
      <c r="J127" s="597">
        <f>SUMPRODUCT((Timing!$J$15:$AG$15=J$123)*('Human Resources'!$J164:$AG164))</f>
        <v>63562.500000000015</v>
      </c>
      <c r="K127" s="455"/>
      <c r="L127" s="597">
        <f>SUMPRODUCT((Timing!$J$15:$AG$15=L$123)*('Human Resources'!$J164:$AG164))</f>
        <v>144627</v>
      </c>
      <c r="M127" s="455"/>
      <c r="N127" s="877"/>
      <c r="O127" s="877"/>
      <c r="P127" s="877"/>
      <c r="Q127" s="877"/>
      <c r="R127" s="877"/>
      <c r="S127" s="877"/>
      <c r="T127" s="877"/>
      <c r="U127" s="549"/>
      <c r="V127" s="549"/>
      <c r="W127" s="549"/>
      <c r="X127" s="549"/>
      <c r="Y127" s="549"/>
      <c r="Z127" s="549"/>
      <c r="AA127" s="549"/>
      <c r="AB127" s="549"/>
      <c r="AC127" s="549"/>
      <c r="AD127" s="549"/>
      <c r="AE127" s="549"/>
      <c r="AF127" s="549"/>
      <c r="AG127" s="549"/>
      <c r="AH127" s="549"/>
      <c r="AI127" s="549"/>
      <c r="AJ127" s="549"/>
      <c r="AK127" s="549"/>
      <c r="AL127" s="549"/>
      <c r="AM127" s="549"/>
      <c r="AN127" s="549"/>
      <c r="AO127" s="877"/>
      <c r="AP127" s="188"/>
      <c r="AQ127" s="188"/>
      <c r="AR127" s="125"/>
      <c r="AS127" s="799"/>
    </row>
    <row r="128" spans="1:49" ht="17.25" customHeight="1">
      <c r="A128" s="877"/>
      <c r="B128" s="187"/>
      <c r="C128" s="604" t="s">
        <v>660</v>
      </c>
      <c r="D128" s="605"/>
      <c r="E128" s="605"/>
      <c r="F128" s="605"/>
      <c r="G128" s="605"/>
      <c r="H128" s="605"/>
      <c r="I128" s="605"/>
      <c r="J128" s="606">
        <f ca="1">SUM(J124:J127)</f>
        <v>265712.92414719524</v>
      </c>
      <c r="K128" s="607"/>
      <c r="L128" s="606">
        <f ca="1">SUM(L124:L127)</f>
        <v>743750.33522624488</v>
      </c>
      <c r="M128" s="607"/>
      <c r="N128" s="877"/>
      <c r="O128" s="877"/>
      <c r="P128" s="877"/>
      <c r="Q128" s="877"/>
      <c r="R128" s="877"/>
      <c r="S128" s="877"/>
      <c r="T128" s="877"/>
      <c r="U128" s="549"/>
      <c r="V128" s="549"/>
      <c r="W128" s="549"/>
      <c r="X128" s="549"/>
      <c r="Y128" s="549"/>
      <c r="Z128" s="549"/>
      <c r="AA128" s="549"/>
      <c r="AB128" s="549"/>
      <c r="AC128" s="549"/>
      <c r="AD128" s="549"/>
      <c r="AE128" s="549"/>
      <c r="AF128" s="549"/>
      <c r="AG128" s="549"/>
      <c r="AH128" s="549"/>
      <c r="AI128" s="549"/>
      <c r="AJ128" s="549"/>
      <c r="AK128" s="549"/>
      <c r="AL128" s="549"/>
      <c r="AM128" s="549"/>
      <c r="AN128" s="549"/>
      <c r="AO128" s="877"/>
      <c r="AP128" s="188"/>
      <c r="AQ128" s="188"/>
      <c r="AR128" s="125"/>
      <c r="AS128" s="799"/>
    </row>
    <row r="129" spans="1:49" ht="17.25" customHeight="1">
      <c r="A129" s="877"/>
      <c r="B129" s="187"/>
      <c r="C129" s="549"/>
      <c r="D129" s="549"/>
      <c r="E129" s="549"/>
      <c r="F129" s="549"/>
      <c r="G129" s="549"/>
      <c r="H129" s="549"/>
      <c r="I129" s="549"/>
      <c r="J129" s="549"/>
      <c r="K129" s="549"/>
      <c r="L129" s="549"/>
      <c r="M129" s="549"/>
      <c r="N129" s="877"/>
      <c r="O129" s="877"/>
      <c r="P129" s="877"/>
      <c r="Q129" s="877"/>
      <c r="R129" s="877"/>
      <c r="S129" s="877"/>
      <c r="T129" s="877"/>
      <c r="U129" s="549"/>
      <c r="V129" s="549"/>
      <c r="W129" s="549"/>
      <c r="X129" s="549"/>
      <c r="Y129" s="549"/>
      <c r="Z129" s="549"/>
      <c r="AA129" s="549"/>
      <c r="AB129" s="549"/>
      <c r="AC129" s="549"/>
      <c r="AD129" s="549"/>
      <c r="AE129" s="549"/>
      <c r="AF129" s="549"/>
      <c r="AG129" s="549"/>
      <c r="AH129" s="549"/>
      <c r="AI129" s="549"/>
      <c r="AJ129" s="549"/>
      <c r="AK129" s="549"/>
      <c r="AL129" s="549"/>
      <c r="AM129" s="549"/>
      <c r="AN129" s="549"/>
      <c r="AO129" s="877"/>
      <c r="AP129" s="188"/>
      <c r="AQ129" s="188"/>
      <c r="AR129" s="125"/>
      <c r="AS129" s="799"/>
    </row>
    <row r="130" spans="1:49" ht="17.25" customHeight="1">
      <c r="A130" s="877"/>
      <c r="B130" s="187"/>
      <c r="C130" s="549"/>
      <c r="D130" s="549"/>
      <c r="E130" s="549"/>
      <c r="F130" s="549"/>
      <c r="G130" s="549"/>
      <c r="H130" s="549"/>
      <c r="I130" s="549"/>
      <c r="J130" s="549"/>
      <c r="K130" s="549"/>
      <c r="L130" s="549"/>
      <c r="M130" s="549"/>
      <c r="N130" s="877"/>
      <c r="O130" s="877"/>
      <c r="P130" s="877"/>
      <c r="Q130" s="877"/>
      <c r="R130" s="877"/>
      <c r="S130" s="877"/>
      <c r="T130" s="877"/>
      <c r="U130" s="549"/>
      <c r="V130" s="549"/>
      <c r="W130" s="549"/>
      <c r="X130" s="549"/>
      <c r="Y130" s="549"/>
      <c r="Z130" s="549"/>
      <c r="AA130" s="549"/>
      <c r="AB130" s="549"/>
      <c r="AC130" s="549"/>
      <c r="AD130" s="549"/>
      <c r="AE130" s="549"/>
      <c r="AF130" s="549"/>
      <c r="AG130" s="549"/>
      <c r="AH130" s="549"/>
      <c r="AI130" s="549"/>
      <c r="AJ130" s="549"/>
      <c r="AK130" s="549"/>
      <c r="AL130" s="549"/>
      <c r="AM130" s="549"/>
      <c r="AN130" s="549"/>
      <c r="AO130" s="877"/>
      <c r="AP130" s="188"/>
      <c r="AQ130" s="188"/>
      <c r="AR130" s="125"/>
      <c r="AS130" s="799"/>
    </row>
    <row r="131" spans="1:49" ht="17.25" customHeight="1">
      <c r="A131" s="877"/>
      <c r="B131" s="187"/>
      <c r="C131" s="187"/>
      <c r="D131" s="187"/>
      <c r="E131" s="187"/>
      <c r="F131" s="187"/>
      <c r="G131" s="187"/>
      <c r="H131" s="187"/>
      <c r="I131" s="187"/>
      <c r="J131" s="187"/>
      <c r="K131" s="187"/>
      <c r="L131" s="187"/>
      <c r="M131" s="187"/>
      <c r="N131" s="187"/>
      <c r="O131" s="187"/>
      <c r="P131" s="187"/>
      <c r="Q131" s="187"/>
      <c r="R131" s="187"/>
      <c r="S131" s="187"/>
      <c r="T131" s="877"/>
      <c r="U131" s="877"/>
      <c r="V131" s="877"/>
      <c r="W131" s="877"/>
      <c r="X131" s="877"/>
      <c r="Y131" s="877"/>
      <c r="Z131" s="877"/>
      <c r="AA131" s="877"/>
      <c r="AB131" s="877"/>
      <c r="AC131" s="877"/>
      <c r="AD131" s="877"/>
      <c r="AE131" s="877"/>
      <c r="AF131" s="877"/>
      <c r="AG131" s="877"/>
      <c r="AH131" s="877"/>
      <c r="AI131" s="877"/>
      <c r="AJ131" s="877"/>
      <c r="AK131" s="877"/>
      <c r="AL131" s="877"/>
      <c r="AM131" s="877"/>
      <c r="AN131" s="877"/>
      <c r="AO131" s="877"/>
      <c r="AP131" s="188"/>
      <c r="AQ131" s="188"/>
      <c r="AR131" s="125"/>
      <c r="AS131" s="799"/>
    </row>
    <row r="132" spans="1:49" ht="17.25" customHeight="1">
      <c r="A132" s="877"/>
      <c r="B132" s="550"/>
      <c r="C132" s="550"/>
      <c r="D132" s="550"/>
      <c r="E132" s="550"/>
      <c r="F132" s="550"/>
      <c r="G132" s="550"/>
      <c r="H132" s="550"/>
      <c r="I132" s="550"/>
      <c r="J132" s="550"/>
      <c r="K132" s="550"/>
      <c r="L132" s="550"/>
      <c r="M132" s="550"/>
      <c r="N132" s="550"/>
      <c r="O132" s="550"/>
      <c r="P132" s="550"/>
      <c r="Q132" s="550"/>
      <c r="R132" s="550"/>
      <c r="S132" s="550"/>
      <c r="T132" s="550"/>
      <c r="U132" s="550"/>
      <c r="V132" s="550"/>
      <c r="W132" s="550"/>
      <c r="X132" s="550"/>
      <c r="Y132" s="550"/>
      <c r="Z132" s="550"/>
      <c r="AA132" s="550"/>
      <c r="AB132" s="550"/>
      <c r="AC132" s="550"/>
      <c r="AD132" s="550"/>
      <c r="AE132" s="550"/>
      <c r="AF132" s="550"/>
      <c r="AG132" s="550"/>
      <c r="AH132" s="550"/>
      <c r="AI132" s="550"/>
      <c r="AJ132" s="550"/>
      <c r="AK132" s="550"/>
      <c r="AL132" s="550"/>
      <c r="AM132" s="550"/>
      <c r="AN132" s="550"/>
      <c r="AO132" s="550"/>
      <c r="AP132" s="549"/>
      <c r="AQ132" s="549"/>
      <c r="AR132" s="125"/>
      <c r="AS132" s="799"/>
    </row>
    <row r="133" spans="1:49" ht="10.5" customHeight="1">
      <c r="A133" s="877"/>
      <c r="B133" s="550"/>
      <c r="C133" s="190"/>
      <c r="D133" s="545"/>
      <c r="E133" s="545"/>
      <c r="F133" s="545"/>
      <c r="G133" s="545"/>
      <c r="H133" s="545"/>
      <c r="I133" s="545"/>
      <c r="J133" s="545"/>
      <c r="K133" s="545"/>
      <c r="Y133" s="545"/>
      <c r="Z133" s="545"/>
      <c r="AA133" s="550"/>
      <c r="AB133" s="444"/>
      <c r="AC133" s="444"/>
      <c r="AD133" s="444"/>
      <c r="AE133" s="444"/>
      <c r="AF133" s="444"/>
      <c r="AG133" s="444"/>
      <c r="AH133" s="444"/>
      <c r="AI133" s="444"/>
      <c r="AJ133" s="444"/>
      <c r="AK133" s="444"/>
      <c r="AL133" s="444"/>
      <c r="AM133" s="444"/>
      <c r="AN133" s="444"/>
      <c r="AO133" s="187"/>
      <c r="AP133" s="188"/>
      <c r="AQ133" s="188"/>
      <c r="AR133" s="125"/>
    </row>
    <row r="134" spans="1:49" s="799" customFormat="1" ht="21.75" customHeight="1">
      <c r="A134" s="877"/>
      <c r="B134" s="550"/>
      <c r="C134" s="190" t="s">
        <v>608</v>
      </c>
      <c r="D134" s="737"/>
      <c r="E134" s="737"/>
      <c r="F134" s="737"/>
      <c r="G134" s="737"/>
      <c r="H134" s="737"/>
      <c r="I134" s="737"/>
      <c r="J134" s="737"/>
      <c r="K134" s="737"/>
      <c r="Y134" s="737"/>
      <c r="Z134" s="737"/>
      <c r="AA134" s="550"/>
      <c r="AB134" s="190" t="s">
        <v>732</v>
      </c>
      <c r="AC134" s="737"/>
      <c r="AD134" s="737"/>
      <c r="AE134" s="737"/>
      <c r="AF134" s="737"/>
      <c r="AG134" s="737"/>
      <c r="AH134" s="737"/>
      <c r="AI134" s="737"/>
      <c r="AJ134" s="737"/>
      <c r="AK134" s="737"/>
      <c r="AL134" s="737"/>
      <c r="AM134" s="737"/>
      <c r="AN134" s="737"/>
      <c r="AO134" s="550"/>
      <c r="AP134" s="549"/>
      <c r="AQ134" s="549"/>
      <c r="AR134" s="800"/>
    </row>
    <row r="135" spans="1:49" ht="6" customHeight="1">
      <c r="A135" s="877"/>
      <c r="B135" s="550"/>
      <c r="C135" s="190"/>
      <c r="D135" s="545"/>
      <c r="E135" s="545"/>
      <c r="F135" s="545"/>
      <c r="G135" s="545"/>
      <c r="H135" s="545"/>
      <c r="I135" s="545"/>
      <c r="J135" s="545"/>
      <c r="K135" s="545"/>
      <c r="L135" s="617">
        <f>IF('Summary 02'!$V$8&lt;=Enddatum,1,0)</f>
        <v>1</v>
      </c>
      <c r="M135" s="617"/>
      <c r="N135" s="617"/>
      <c r="O135" s="617">
        <f>IF('Summary 02'!$AA$8&lt;=Enddatum,1,0)</f>
        <v>1</v>
      </c>
      <c r="P135" s="617"/>
      <c r="Q135" s="617"/>
      <c r="R135" s="617"/>
      <c r="S135" s="617"/>
      <c r="T135" s="617"/>
      <c r="U135" s="617"/>
      <c r="V135" s="617"/>
      <c r="W135" s="617"/>
      <c r="X135" s="617"/>
      <c r="Y135" s="617"/>
      <c r="Z135" s="617"/>
      <c r="AA135" s="550"/>
      <c r="AB135" s="190"/>
      <c r="AC135" s="444"/>
      <c r="AD135" s="444"/>
      <c r="AE135" s="444"/>
      <c r="AF135" s="444"/>
      <c r="AG135" s="444"/>
      <c r="AH135" s="444"/>
      <c r="AI135" s="444"/>
      <c r="AJ135" s="444"/>
      <c r="AK135" s="444"/>
      <c r="AL135" s="444"/>
      <c r="AM135" s="444"/>
      <c r="AN135" s="444"/>
      <c r="AO135" s="187"/>
      <c r="AP135" s="188"/>
      <c r="AQ135" s="188"/>
      <c r="AR135" s="125"/>
    </row>
    <row r="136" spans="1:49" ht="17.25" customHeight="1">
      <c r="A136" s="877"/>
      <c r="B136" s="550"/>
      <c r="C136" s="191" t="str">
        <f>"   (all currency in " &amp;Currency_Label &amp;")"</f>
        <v xml:space="preserve">   (all currency in USD)</v>
      </c>
      <c r="D136" s="545"/>
      <c r="E136" s="545"/>
      <c r="F136" s="545"/>
      <c r="G136" s="545"/>
      <c r="H136" s="545"/>
      <c r="I136" s="545"/>
      <c r="J136" s="545"/>
      <c r="K136" s="545"/>
      <c r="L136" s="598" t="str">
        <f>'Summary 02'!$V$5</f>
        <v>FY 2017</v>
      </c>
      <c r="M136" s="598"/>
      <c r="N136" s="598"/>
      <c r="O136" s="598" t="str">
        <f>'Summary 02'!$AA$5</f>
        <v>FY 2018</v>
      </c>
      <c r="P136" s="598"/>
      <c r="Q136" s="598"/>
      <c r="R136" s="352" t="s">
        <v>1072</v>
      </c>
      <c r="S136" s="598"/>
      <c r="T136" s="598"/>
      <c r="U136" s="598"/>
      <c r="V136" s="598"/>
      <c r="W136" s="598"/>
      <c r="X136" s="598"/>
      <c r="Y136" s="598"/>
      <c r="Z136" s="598"/>
      <c r="AA136" s="550"/>
      <c r="AB136" s="188" t="str">
        <f>"   (in " &amp;Currency_Label &amp;")"</f>
        <v xml:space="preserve">   (in USD)</v>
      </c>
      <c r="AC136" s="444"/>
      <c r="AD136" s="444"/>
      <c r="AE136" s="999"/>
      <c r="AF136" s="1007" t="str">
        <f>"(commencing in "&amp;TRIM(Timing!$I$31)&amp;" "&amp;FIXED(Timing!$I$32,0,1)&amp;")"</f>
        <v>(commencing in Feb 2018)</v>
      </c>
      <c r="AG136" s="862"/>
      <c r="AH136" s="862"/>
      <c r="AI136" s="1000"/>
      <c r="AJ136" s="862"/>
      <c r="AK136" s="444"/>
      <c r="AL136" s="444"/>
      <c r="AM136" s="444"/>
      <c r="AN136" s="444"/>
      <c r="AO136" s="187"/>
      <c r="AP136" s="188"/>
      <c r="AQ136" s="549"/>
      <c r="AR136" s="800"/>
      <c r="AS136" s="878"/>
      <c r="AT136" s="878"/>
      <c r="AU136" s="878"/>
      <c r="AV136" s="878"/>
      <c r="AW136" s="878"/>
    </row>
    <row r="137" spans="1:49" ht="17.25" customHeight="1">
      <c r="A137" s="877"/>
      <c r="B137" s="550"/>
      <c r="C137" s="191" t="str">
        <f>"   (last month in fiscal year: " &amp;Inputs!$I$20&amp;")"</f>
        <v xml:space="preserve">   (last month in fiscal year: Nov)</v>
      </c>
      <c r="D137" s="191"/>
      <c r="E137" s="545"/>
      <c r="F137" s="545"/>
      <c r="G137" s="545"/>
      <c r="H137" s="545"/>
      <c r="I137" s="545"/>
      <c r="J137" s="545"/>
      <c r="K137" s="1003">
        <f>IF(Inputs!$I$22=1,"",IF(MONTH(Startdatum)=1,"",Startdatum))</f>
        <v>43132</v>
      </c>
      <c r="L137" s="1001"/>
      <c r="M137" s="1002"/>
      <c r="N137" s="1001"/>
      <c r="O137" s="201"/>
      <c r="P137" s="461"/>
      <c r="Q137" s="202"/>
      <c r="R137" s="877"/>
      <c r="S137" s="877"/>
      <c r="T137" s="877"/>
      <c r="U137" s="877"/>
      <c r="V137" s="877"/>
      <c r="W137" s="877"/>
      <c r="X137" s="877"/>
      <c r="Y137" s="877"/>
      <c r="Z137" s="877"/>
      <c r="AA137" s="550"/>
      <c r="AB137" s="444"/>
      <c r="AC137" s="444"/>
      <c r="AD137" s="444"/>
      <c r="AE137" s="444"/>
      <c r="AF137" s="444"/>
      <c r="AG137" s="444"/>
      <c r="AH137" s="444"/>
      <c r="AI137" s="444"/>
      <c r="AJ137" s="444"/>
      <c r="AK137" s="444"/>
      <c r="AL137" s="444"/>
      <c r="AM137" s="444"/>
      <c r="AN137" s="444"/>
      <c r="AO137" s="187"/>
      <c r="AP137" s="188"/>
      <c r="AQ137" s="188"/>
      <c r="AR137" s="125"/>
    </row>
    <row r="138" spans="1:49" ht="17.25" customHeight="1">
      <c r="A138" s="877"/>
      <c r="B138" s="550"/>
      <c r="C138" s="195" t="s">
        <v>614</v>
      </c>
      <c r="D138" s="550"/>
      <c r="E138" s="550"/>
      <c r="F138" s="550"/>
      <c r="G138" s="550"/>
      <c r="H138" s="550"/>
      <c r="I138" s="550"/>
      <c r="J138" s="550"/>
      <c r="K138" s="550"/>
      <c r="L138" s="864">
        <v>1</v>
      </c>
      <c r="M138" s="584"/>
      <c r="N138" s="586"/>
      <c r="O138" s="864">
        <v>2</v>
      </c>
      <c r="P138" s="599"/>
      <c r="Q138" s="586"/>
      <c r="R138" s="877"/>
      <c r="S138" s="877"/>
      <c r="T138" s="877"/>
      <c r="U138" s="877"/>
      <c r="V138" s="877"/>
      <c r="W138" s="877"/>
      <c r="X138" s="877"/>
      <c r="Y138" s="877"/>
      <c r="Z138" s="877"/>
      <c r="AA138" s="550"/>
      <c r="AB138" s="444"/>
      <c r="AC138" s="444"/>
      <c r="AD138" s="444"/>
      <c r="AE138" s="444"/>
      <c r="AF138" s="444"/>
      <c r="AG138" s="444"/>
      <c r="AH138" s="444"/>
      <c r="AI138" s="444"/>
      <c r="AJ138" s="444"/>
      <c r="AK138" s="444"/>
      <c r="AL138" s="444"/>
      <c r="AM138" s="444"/>
      <c r="AN138" s="444"/>
      <c r="AO138" s="187"/>
      <c r="AP138" s="188"/>
      <c r="AQ138" s="188"/>
      <c r="AR138" s="125"/>
    </row>
    <row r="139" spans="1:49" ht="17.25" customHeight="1">
      <c r="A139" s="877"/>
      <c r="B139" s="550"/>
      <c r="C139" s="557" t="s">
        <v>639</v>
      </c>
      <c r="D139" s="545"/>
      <c r="E139" s="545"/>
      <c r="F139" s="545"/>
      <c r="G139" s="545"/>
      <c r="H139" s="545"/>
      <c r="I139" s="545"/>
      <c r="J139" s="545"/>
      <c r="K139" s="545"/>
      <c r="L139" s="565">
        <f ca="1">'Summary 02'!V89</f>
        <v>-21616.593373115185</v>
      </c>
      <c r="M139" s="566"/>
      <c r="N139" s="566"/>
      <c r="O139" s="587">
        <f ca="1">'Summary 02'!AA89</f>
        <v>204937.71788136408</v>
      </c>
      <c r="P139" s="600"/>
      <c r="Q139" s="588"/>
      <c r="R139" s="877"/>
      <c r="S139" s="877"/>
      <c r="T139" s="877"/>
      <c r="U139" s="877"/>
      <c r="V139" s="877"/>
      <c r="W139" s="877"/>
      <c r="X139" s="877"/>
      <c r="Y139" s="877"/>
      <c r="Z139" s="877"/>
      <c r="AA139" s="550"/>
      <c r="AB139" s="444"/>
      <c r="AC139" s="444"/>
      <c r="AD139" s="444"/>
      <c r="AE139" s="444"/>
      <c r="AF139" s="444"/>
      <c r="AG139" s="444"/>
      <c r="AH139" s="444"/>
      <c r="AI139" s="444"/>
      <c r="AJ139" s="444"/>
      <c r="AK139" s="444"/>
      <c r="AL139" s="444"/>
      <c r="AM139" s="444"/>
      <c r="AN139" s="444"/>
      <c r="AO139" s="187"/>
      <c r="AP139" s="188"/>
      <c r="AQ139" s="188"/>
      <c r="AR139" s="125"/>
    </row>
    <row r="140" spans="1:49" ht="17.25" customHeight="1">
      <c r="A140" s="877"/>
      <c r="B140" s="550"/>
      <c r="C140" s="452" t="str">
        <f>CHOOSE(language,"Depreciation &amp; Amortisation","Depreciation &amp; Amortization")</f>
        <v>Depreciation &amp; Amortization</v>
      </c>
      <c r="D140" s="545"/>
      <c r="E140" s="545"/>
      <c r="F140" s="545"/>
      <c r="G140" s="545"/>
      <c r="H140" s="545"/>
      <c r="I140" s="560"/>
      <c r="J140" s="560"/>
      <c r="K140" s="545"/>
      <c r="L140" s="565">
        <f>'Summary 02'!V81</f>
        <v>8212.6587301587297</v>
      </c>
      <c r="M140" s="566"/>
      <c r="N140" s="566"/>
      <c r="O140" s="587">
        <f>'Summary 02'!AA81</f>
        <v>28799.761904761908</v>
      </c>
      <c r="P140" s="600"/>
      <c r="Q140" s="588"/>
      <c r="R140" s="877"/>
      <c r="S140" s="877"/>
      <c r="T140" s="877"/>
      <c r="U140" s="877"/>
      <c r="V140" s="877"/>
      <c r="W140" s="877"/>
      <c r="X140" s="877"/>
      <c r="Y140" s="877"/>
      <c r="Z140" s="877"/>
      <c r="AA140" s="550"/>
      <c r="AB140" s="444"/>
      <c r="AC140" s="444"/>
      <c r="AD140" s="444"/>
      <c r="AE140" s="444"/>
      <c r="AF140" s="444"/>
      <c r="AG140" s="444"/>
      <c r="AH140" s="444"/>
      <c r="AI140" s="444"/>
      <c r="AJ140" s="444"/>
      <c r="AK140" s="444"/>
      <c r="AL140" s="444"/>
      <c r="AM140" s="444"/>
      <c r="AN140" s="444"/>
      <c r="AO140" s="187"/>
      <c r="AP140" s="188"/>
      <c r="AQ140" s="188"/>
      <c r="AR140" s="125"/>
    </row>
    <row r="141" spans="1:49" ht="17.25" customHeight="1">
      <c r="A141" s="877"/>
      <c r="B141" s="550"/>
      <c r="C141" s="549" t="s">
        <v>609</v>
      </c>
      <c r="D141" s="549"/>
      <c r="E141" s="549"/>
      <c r="F141" s="549"/>
      <c r="G141" s="549"/>
      <c r="H141" s="549"/>
      <c r="I141" s="549"/>
      <c r="J141" s="549"/>
      <c r="K141" s="549"/>
      <c r="L141" s="610">
        <f ca="1">SUM(L142:L146)</f>
        <v>-77762.352339661797</v>
      </c>
      <c r="M141" s="611"/>
      <c r="N141" s="611"/>
      <c r="O141" s="612">
        <f ca="1">SUM(O142:O146)</f>
        <v>-95770.716954803676</v>
      </c>
      <c r="P141" s="613"/>
      <c r="Q141" s="614"/>
      <c r="R141" s="877"/>
      <c r="S141" s="877"/>
      <c r="T141" s="877"/>
      <c r="U141" s="877"/>
      <c r="V141" s="877"/>
      <c r="W141" s="877"/>
      <c r="X141" s="877"/>
      <c r="Y141" s="877"/>
      <c r="Z141" s="877"/>
      <c r="AA141" s="550"/>
      <c r="AB141" s="444"/>
      <c r="AC141" s="444"/>
      <c r="AD141" s="444"/>
      <c r="AE141" s="444"/>
      <c r="AF141" s="444"/>
      <c r="AG141" s="444"/>
      <c r="AH141" s="444"/>
      <c r="AI141" s="444"/>
      <c r="AJ141" s="444"/>
      <c r="AK141" s="444"/>
      <c r="AL141" s="444"/>
      <c r="AM141" s="444"/>
      <c r="AN141" s="444"/>
      <c r="AO141" s="187"/>
      <c r="AP141" s="188"/>
      <c r="AQ141" s="188"/>
      <c r="AR141" s="125"/>
    </row>
    <row r="142" spans="1:49" ht="17.25" customHeight="1" outlineLevel="1">
      <c r="A142" s="877"/>
      <c r="B142" s="550"/>
      <c r="C142" s="549" t="str">
        <f>CHOOSE(language,"    Change in trade debtors","   Change in accounts receivables")</f>
        <v xml:space="preserve">   Change in accounts receivables</v>
      </c>
      <c r="D142" s="549"/>
      <c r="E142" s="549"/>
      <c r="F142" s="549"/>
      <c r="G142" s="549"/>
      <c r="H142" s="549"/>
      <c r="I142" s="549"/>
      <c r="J142" s="549"/>
      <c r="K142" s="549"/>
      <c r="L142" s="593">
        <f ca="1">-(SUMIF(Timing!$J$15:$AG$15,L$138,'Debtors+Creditors'!$J16:$AG16)+SUMIF(Timing!$J$15:$AG$15,L$138,'Debtors+Creditors'!$J17:$AG17)+SUMIF(Timing!$J$15:$AG$15,L$138,'Debtors+Creditors'!$J18:$AG18)+SUMIF(Timing!$J$15:$AG$15,L$138,'Debtors+Creditors'!$J19:$AG19)+SUMIF(Timing!$J$15:$AG$15,L$138,'Debtors+Creditors'!$J20:$AG20))*L$135</f>
        <v>-62970.387531743501</v>
      </c>
      <c r="M142" s="594"/>
      <c r="N142" s="594"/>
      <c r="O142" s="595">
        <f ca="1">-(SUMIF(Timing!$J$15:$AG$15,O$138,'Debtors+Creditors'!$J16:$AG16)+SUMIF(Timing!$J$15:$AG$15,O$138,'Debtors+Creditors'!$J17:$AG17)+SUMIF(Timing!$J$15:$AG$15,O$138,'Debtors+Creditors'!$J18:$AG18)+SUMIF(Timing!$J$15:$AG$15,O$138,'Debtors+Creditors'!$J19:$AG19)+SUMIF(Timing!$J$15:$AG$15,O$138,'Debtors+Creditors'!$J20:$AG20))*O$135</f>
        <v>-73542.491298742621</v>
      </c>
      <c r="P142" s="1051"/>
      <c r="Q142" s="596"/>
      <c r="R142" s="877"/>
      <c r="S142" s="877"/>
      <c r="T142" s="877"/>
      <c r="U142" s="877"/>
      <c r="V142" s="877"/>
      <c r="W142" s="877"/>
      <c r="X142" s="877"/>
      <c r="Y142" s="877"/>
      <c r="Z142" s="877"/>
      <c r="AA142" s="550"/>
      <c r="AB142" s="557"/>
      <c r="AC142" s="557"/>
      <c r="AD142" s="557"/>
      <c r="AE142" s="557"/>
      <c r="AF142" s="557"/>
      <c r="AG142" s="557"/>
      <c r="AH142" s="557"/>
      <c r="AI142" s="557"/>
      <c r="AJ142" s="557"/>
      <c r="AK142" s="557"/>
      <c r="AL142" s="557"/>
      <c r="AM142" s="557"/>
      <c r="AN142" s="557"/>
      <c r="AO142" s="550"/>
      <c r="AP142" s="549"/>
      <c r="AQ142" s="549"/>
      <c r="AR142" s="125"/>
    </row>
    <row r="143" spans="1:49" ht="17.25" customHeight="1" outlineLevel="1">
      <c r="A143" s="877"/>
      <c r="B143" s="550"/>
      <c r="C143" s="549" t="str">
        <f>CHOOSE(language,"    Change in trade creditors","    Change in accounts payables")</f>
        <v xml:space="preserve">    Change in accounts payables</v>
      </c>
      <c r="D143" s="549"/>
      <c r="E143" s="549"/>
      <c r="F143" s="549"/>
      <c r="G143" s="549"/>
      <c r="H143" s="549"/>
      <c r="I143" s="549"/>
      <c r="J143" s="549"/>
      <c r="K143" s="549"/>
      <c r="L143" s="593">
        <f ca="1">(SUMIF(Timing!$J$15:$AG$15,L$138,'Debtors+Creditors'!$J93:$AG93)+SUMIF(Timing!$J$15:$AG$15,L$138,'Debtors+Creditors'!$J94:$AG94))*L$135</f>
        <v>4079.4396301472007</v>
      </c>
      <c r="M143" s="566"/>
      <c r="N143" s="566"/>
      <c r="O143" s="587">
        <f ca="1">(SUMIF(Timing!$J$15:$AG$15,O$138,'Debtors+Creditors'!$J93:$AG93)+SUMIF(Timing!$J$15:$AG$15,O$138,'Debtors+Creditors'!$J94:$AG94))*O$135</f>
        <v>1464.2962044891319</v>
      </c>
      <c r="P143" s="600"/>
      <c r="Q143" s="588"/>
      <c r="R143" s="877"/>
      <c r="S143" s="877"/>
      <c r="T143" s="877"/>
      <c r="U143" s="877"/>
      <c r="V143" s="877"/>
      <c r="W143" s="877"/>
      <c r="X143" s="877"/>
      <c r="Y143" s="877"/>
      <c r="Z143" s="877"/>
      <c r="AA143" s="550"/>
      <c r="AB143" s="557"/>
      <c r="AC143" s="557"/>
      <c r="AD143" s="557"/>
      <c r="AE143" s="557"/>
      <c r="AF143" s="557"/>
      <c r="AG143" s="557"/>
      <c r="AH143" s="557"/>
      <c r="AI143" s="557"/>
      <c r="AJ143" s="557"/>
      <c r="AK143" s="557"/>
      <c r="AL143" s="557"/>
      <c r="AM143" s="557"/>
      <c r="AN143" s="557"/>
      <c r="AO143" s="550"/>
      <c r="AP143" s="549"/>
      <c r="AQ143" s="549"/>
      <c r="AR143" s="125"/>
    </row>
    <row r="144" spans="1:49" ht="17.25" customHeight="1" outlineLevel="1">
      <c r="A144" s="877"/>
      <c r="B144" s="550"/>
      <c r="C144" s="549" t="s">
        <v>610</v>
      </c>
      <c r="D144" s="549"/>
      <c r="E144" s="549"/>
      <c r="F144" s="549"/>
      <c r="G144" s="549"/>
      <c r="H144" s="549"/>
      <c r="I144" s="549"/>
      <c r="J144" s="549"/>
      <c r="K144" s="549"/>
      <c r="L144" s="593">
        <f>(SUMIF(Timing!$J$15:$AG$15,L$138,Inputs!$J346:$AG346)+SUMIF(Timing!$J$15:$AG$15,L$138,Inputs!$J347:$AG347))*L$135</f>
        <v>1500</v>
      </c>
      <c r="M144" s="566"/>
      <c r="N144" s="566"/>
      <c r="O144" s="587">
        <f>(SUMIF(Timing!$J$15:$AG$15,O$138,Inputs!$J346:$AG346)+SUMIF(Timing!$J$15:$AG$15,O$138,Inputs!$J347:$AG347))*O$135</f>
        <v>2750</v>
      </c>
      <c r="P144" s="600"/>
      <c r="Q144" s="588"/>
      <c r="R144" s="877"/>
      <c r="S144" s="877"/>
      <c r="T144" s="877"/>
      <c r="U144" s="877"/>
      <c r="V144" s="877"/>
      <c r="W144" s="877"/>
      <c r="X144" s="877"/>
      <c r="Y144" s="877"/>
      <c r="Z144" s="877"/>
      <c r="AA144" s="550"/>
      <c r="AB144" s="557"/>
      <c r="AC144" s="557"/>
      <c r="AD144" s="557"/>
      <c r="AE144" s="557"/>
      <c r="AF144" s="557"/>
      <c r="AG144" s="557"/>
      <c r="AH144" s="557"/>
      <c r="AI144" s="557"/>
      <c r="AJ144" s="557"/>
      <c r="AK144" s="557"/>
      <c r="AL144" s="557"/>
      <c r="AM144" s="557"/>
      <c r="AN144" s="557"/>
      <c r="AO144" s="550"/>
      <c r="AP144" s="549"/>
      <c r="AQ144" s="549"/>
      <c r="AR144" s="125"/>
    </row>
    <row r="145" spans="1:44" ht="17.25" customHeight="1" outlineLevel="1">
      <c r="A145" s="877"/>
      <c r="B145" s="550"/>
      <c r="C145" s="549" t="s">
        <v>611</v>
      </c>
      <c r="D145" s="549"/>
      <c r="E145" s="549"/>
      <c r="F145" s="549"/>
      <c r="G145" s="549"/>
      <c r="H145" s="549"/>
      <c r="I145" s="549"/>
      <c r="J145" s="549"/>
      <c r="K145" s="549"/>
      <c r="L145" s="593">
        <f>-(SUMIF(Timing!$J$15:$AG$15,L$138,Inputs!$J352:$AG352)+SUMIF(Timing!$J$15:$AG$15,L$138,Inputs!$J353:$AG353))*L$135</f>
        <v>0</v>
      </c>
      <c r="M145" s="566"/>
      <c r="N145" s="566"/>
      <c r="O145" s="587">
        <f>-(SUMIF(Timing!$J$15:$AG$15,O$138,Inputs!$J352:$AG352)+SUMIF(Timing!$J$15:$AG$15,O$138,Inputs!$J353:$AG353))*O$135</f>
        <v>-2250</v>
      </c>
      <c r="P145" s="600"/>
      <c r="Q145" s="588"/>
      <c r="R145" s="877"/>
      <c r="S145" s="877"/>
      <c r="T145" s="877"/>
      <c r="U145" s="877"/>
      <c r="V145" s="877"/>
      <c r="W145" s="877"/>
      <c r="X145" s="877"/>
      <c r="Y145" s="877"/>
      <c r="Z145" s="877"/>
      <c r="AA145" s="550"/>
      <c r="AB145" s="557"/>
      <c r="AC145" s="557"/>
      <c r="AD145" s="557"/>
      <c r="AE145" s="557"/>
      <c r="AF145" s="557"/>
      <c r="AG145" s="557"/>
      <c r="AH145" s="557"/>
      <c r="AI145" s="557"/>
      <c r="AJ145" s="557"/>
      <c r="AK145" s="557"/>
      <c r="AL145" s="557"/>
      <c r="AM145" s="557"/>
      <c r="AN145" s="557"/>
      <c r="AO145" s="550"/>
      <c r="AP145" s="549"/>
      <c r="AQ145" s="549"/>
      <c r="AR145" s="125"/>
    </row>
    <row r="146" spans="1:44" ht="17.25" customHeight="1" outlineLevel="1">
      <c r="A146" s="877"/>
      <c r="B146" s="877"/>
      <c r="C146" s="549" t="s">
        <v>983</v>
      </c>
      <c r="D146" s="549"/>
      <c r="E146" s="549"/>
      <c r="F146" s="549"/>
      <c r="G146" s="549"/>
      <c r="H146" s="549"/>
      <c r="I146" s="549"/>
      <c r="J146" s="549"/>
      <c r="K146" s="549"/>
      <c r="L146" s="593">
        <f ca="1">-SUMIF(Timing!$J$15:$AG$15,L$138,IFS!$J206:$AG206)</f>
        <v>-20371.404438065496</v>
      </c>
      <c r="M146" s="566"/>
      <c r="N146" s="566"/>
      <c r="O146" s="587">
        <f ca="1">-SUMIF(Timing!$J$15:$AG$15,O$138,IFS!$J206:$AG206)</f>
        <v>-24192.521860550187</v>
      </c>
      <c r="P146" s="600"/>
      <c r="Q146" s="588"/>
      <c r="R146" s="877"/>
      <c r="S146" s="877"/>
      <c r="T146" s="877"/>
      <c r="U146" s="877"/>
      <c r="V146" s="877"/>
      <c r="W146" s="877"/>
      <c r="X146" s="877"/>
      <c r="Y146" s="877"/>
      <c r="Z146" s="877"/>
      <c r="AA146" s="550"/>
      <c r="AB146" s="444"/>
      <c r="AC146" s="444"/>
      <c r="AD146" s="444"/>
      <c r="AE146" s="444"/>
      <c r="AF146" s="444"/>
      <c r="AG146" s="444"/>
      <c r="AH146" s="444"/>
      <c r="AI146" s="444"/>
      <c r="AJ146" s="444"/>
      <c r="AK146" s="444"/>
      <c r="AL146" s="444"/>
      <c r="AM146" s="444"/>
      <c r="AN146" s="444"/>
      <c r="AO146" s="187"/>
      <c r="AP146" s="188"/>
      <c r="AQ146" s="188"/>
      <c r="AR146" s="125"/>
    </row>
    <row r="147" spans="1:44" ht="17.25" customHeight="1">
      <c r="A147" s="877"/>
      <c r="B147" s="550"/>
      <c r="C147" s="452" t="s">
        <v>404</v>
      </c>
      <c r="D147" s="549"/>
      <c r="E147" s="549"/>
      <c r="F147" s="549"/>
      <c r="G147" s="549"/>
      <c r="H147" s="549"/>
      <c r="I147" s="549"/>
      <c r="J147" s="549"/>
      <c r="K147" s="549"/>
      <c r="L147" s="593">
        <f>-SUMIF(Timing!$J$15:$AG$15,L$138,Capex!$J166:$AG166)</f>
        <v>0</v>
      </c>
      <c r="M147" s="566"/>
      <c r="N147" s="566"/>
      <c r="O147" s="587">
        <f>-SUMIF(Timing!$J$15:$AG$15,O$138,Capex!$J166:$AG166)</f>
        <v>0</v>
      </c>
      <c r="P147" s="600"/>
      <c r="Q147" s="588"/>
      <c r="R147" s="877"/>
      <c r="S147" s="877"/>
      <c r="T147" s="877"/>
      <c r="U147" s="877"/>
      <c r="V147" s="877"/>
      <c r="W147" s="877"/>
      <c r="X147" s="877"/>
      <c r="Y147" s="877"/>
      <c r="Z147" s="877"/>
      <c r="AA147" s="550"/>
      <c r="AB147" s="557"/>
      <c r="AC147" s="557"/>
      <c r="AD147" s="557"/>
      <c r="AE147" s="557"/>
      <c r="AF147" s="557"/>
      <c r="AG147" s="557"/>
      <c r="AH147" s="557"/>
      <c r="AI147" s="557"/>
      <c r="AJ147" s="557"/>
      <c r="AK147" s="557"/>
      <c r="AL147" s="557"/>
      <c r="AM147" s="557"/>
      <c r="AN147" s="557"/>
      <c r="AO147" s="550"/>
      <c r="AP147" s="549"/>
      <c r="AQ147" s="549"/>
      <c r="AR147" s="125"/>
    </row>
    <row r="148" spans="1:44" s="878" customFormat="1" ht="17.25" customHeight="1">
      <c r="A148" s="877"/>
      <c r="B148" s="877"/>
      <c r="C148" s="1050" t="s">
        <v>959</v>
      </c>
      <c r="D148" s="549"/>
      <c r="E148" s="549"/>
      <c r="F148" s="549"/>
      <c r="G148" s="549"/>
      <c r="H148" s="549"/>
      <c r="I148" s="549"/>
      <c r="J148" s="549"/>
      <c r="K148" s="549"/>
      <c r="L148" s="593">
        <f>(SUMIF(Timing!$J$15:$AG$15,L$138,'Debtors+Creditors'!$J39:$AG39)+SUMIF(Timing!$J$15:$AG$15,L$138,'Debtors+Creditors'!$J40:$AG40)+SUMIF(Timing!$J$15:$AG$15,L$138,'Debtors+Creditors'!$J41:$AG41)+SUMIF(Timing!$J$15:$AG$15,L$138,'Debtors+Creditors'!$J42:$AG42))*L$135</f>
        <v>0</v>
      </c>
      <c r="M148" s="594"/>
      <c r="N148" s="594"/>
      <c r="O148" s="595">
        <f>(SUMIF(Timing!$J$15:$AG$15,O$138,'Debtors+Creditors'!$J39:$AG39)+SUMIF(Timing!$J$15:$AG$15,O$138,'Debtors+Creditors'!$J40:$AG40)+SUMIF(Timing!$J$15:$AG$15,O$138,'Debtors+Creditors'!$J41:$AG41)+SUMIF(Timing!$J$15:$AG$15,O$138,'Debtors+Creditors'!$J42:$AG42))*O$135</f>
        <v>0</v>
      </c>
      <c r="P148" s="1051"/>
      <c r="Q148" s="596"/>
      <c r="R148" s="877"/>
      <c r="S148" s="877"/>
      <c r="T148" s="877"/>
      <c r="U148" s="877"/>
      <c r="V148" s="877"/>
      <c r="W148" s="877"/>
      <c r="X148" s="877"/>
      <c r="Y148" s="877"/>
      <c r="Z148" s="877"/>
      <c r="AA148" s="877"/>
      <c r="AB148" s="737"/>
      <c r="AC148" s="737"/>
      <c r="AD148" s="737"/>
      <c r="AE148" s="737"/>
      <c r="AF148" s="737"/>
      <c r="AG148" s="737"/>
      <c r="AH148" s="737"/>
      <c r="AI148" s="737"/>
      <c r="AJ148" s="737"/>
      <c r="AK148" s="737"/>
      <c r="AL148" s="737"/>
      <c r="AM148" s="737"/>
      <c r="AN148" s="737"/>
      <c r="AO148" s="877"/>
      <c r="AP148" s="549"/>
      <c r="AQ148" s="549"/>
      <c r="AR148" s="800"/>
    </row>
    <row r="149" spans="1:44" s="878" customFormat="1" ht="17.25" customHeight="1">
      <c r="A149" s="877"/>
      <c r="B149" s="877"/>
      <c r="C149" s="1050" t="s">
        <v>332</v>
      </c>
      <c r="D149" s="549"/>
      <c r="E149" s="549"/>
      <c r="F149" s="549"/>
      <c r="G149" s="549"/>
      <c r="H149" s="549"/>
      <c r="I149" s="549"/>
      <c r="J149" s="549"/>
      <c r="K149" s="549"/>
      <c r="L149" s="593">
        <f ca="1">(SUMIF(Timing!$J$15:$AG$15,L$138,'Debtors+Creditors'!$J107:$AG107)+SUMIF(Timing!$J$15:$AG$15,L$138,'Debtors+Creditors'!$J108:$AG108))*L$135</f>
        <v>0</v>
      </c>
      <c r="M149" s="594"/>
      <c r="N149" s="594"/>
      <c r="O149" s="595">
        <f ca="1">(SUMIF(Timing!$J$15:$AG$15,O$138,'Debtors+Creditors'!$J107:$AG107)+SUMIF(Timing!$J$15:$AG$15,O$138,'Debtors+Creditors'!$J108:$AG108))*O$135</f>
        <v>0</v>
      </c>
      <c r="P149" s="1051"/>
      <c r="Q149" s="596"/>
      <c r="R149" s="877"/>
      <c r="S149" s="877"/>
      <c r="T149" s="877"/>
      <c r="U149" s="877"/>
      <c r="V149" s="877"/>
      <c r="W149" s="877"/>
      <c r="X149" s="877"/>
      <c r="Y149" s="877"/>
      <c r="Z149" s="877"/>
      <c r="AA149" s="877"/>
      <c r="AB149" s="737"/>
      <c r="AC149" s="737"/>
      <c r="AD149" s="737"/>
      <c r="AE149" s="737"/>
      <c r="AF149" s="737"/>
      <c r="AG149" s="737"/>
      <c r="AH149" s="737"/>
      <c r="AI149" s="737"/>
      <c r="AJ149" s="737"/>
      <c r="AK149" s="737"/>
      <c r="AL149" s="737"/>
      <c r="AM149" s="737"/>
      <c r="AN149" s="737"/>
      <c r="AO149" s="877"/>
      <c r="AP149" s="549"/>
      <c r="AQ149" s="549"/>
      <c r="AR149" s="800"/>
    </row>
    <row r="150" spans="1:44" ht="17.25" customHeight="1">
      <c r="A150" s="877"/>
      <c r="B150" s="550"/>
      <c r="C150" s="557" t="s">
        <v>612</v>
      </c>
      <c r="D150" s="557"/>
      <c r="E150" s="557"/>
      <c r="F150" s="557"/>
      <c r="G150" s="557"/>
      <c r="H150" s="557"/>
      <c r="I150" s="557"/>
      <c r="J150" s="557"/>
      <c r="K150" s="557"/>
      <c r="L150" s="593">
        <f>(SUMIF(Timing!$J$15:$AG$15,L$138,Inputs!$J340:$AG340)+SUMIF(Timing!$J$15:$AG$15,L$138,Inputs!$J341:$AG341))*L$135</f>
        <v>6750</v>
      </c>
      <c r="M150" s="566"/>
      <c r="N150" s="566"/>
      <c r="O150" s="587">
        <f>(SUMIF(Timing!$J$15:$AG$15,O$138,Inputs!$J340:$AG340)+SUMIF(Timing!$J$15:$AG$15,O$138,Inputs!$J341:$AG341))*O$135</f>
        <v>-1000</v>
      </c>
      <c r="P150" s="600"/>
      <c r="Q150" s="588"/>
      <c r="R150" s="877"/>
      <c r="S150" s="877"/>
      <c r="T150" s="877"/>
      <c r="U150" s="877"/>
      <c r="V150" s="877"/>
      <c r="W150" s="877"/>
      <c r="X150" s="877"/>
      <c r="Y150" s="877"/>
      <c r="Z150" s="877"/>
      <c r="AA150" s="550"/>
      <c r="AB150" s="557"/>
      <c r="AC150" s="557"/>
      <c r="AD150" s="557"/>
      <c r="AE150" s="557"/>
      <c r="AF150" s="557"/>
      <c r="AG150" s="557"/>
      <c r="AH150" s="557"/>
      <c r="AI150" s="557"/>
      <c r="AJ150" s="557"/>
      <c r="AK150" s="557"/>
      <c r="AL150" s="557"/>
      <c r="AM150" s="557"/>
      <c r="AN150" s="557"/>
      <c r="AO150" s="550"/>
      <c r="AP150" s="549"/>
      <c r="AQ150" s="549"/>
      <c r="AR150" s="125"/>
    </row>
    <row r="151" spans="1:44" s="799" customFormat="1" ht="17.25" customHeight="1">
      <c r="A151" s="877"/>
      <c r="B151" s="550"/>
      <c r="C151" s="737" t="str">
        <f>CHOOSE(language,"Change in PAYE owed","Change in payroll withholdings owed")</f>
        <v>Change in payroll withholdings owed</v>
      </c>
      <c r="D151" s="737"/>
      <c r="E151" s="737"/>
      <c r="F151" s="737"/>
      <c r="G151" s="737"/>
      <c r="H151" s="737"/>
      <c r="I151" s="737"/>
      <c r="J151" s="737"/>
      <c r="K151" s="737"/>
      <c r="L151" s="593">
        <f ca="1">(SUMIF(Timing!$J$15:$AG$15,L$138,'Debtors+Creditors'!$J121:$AG121)+SUMIF(Timing!$J$15:$AG$15,L$138,'Debtors+Creditors'!$J122:$AG122))*L$135</f>
        <v>6337.5372774497991</v>
      </c>
      <c r="M151" s="566"/>
      <c r="N151" s="566"/>
      <c r="O151" s="595">
        <f ca="1">(SUMIF(Timing!$J$15:$AG$15,O$138,'Debtors+Creditors'!$J121:$AG121)+SUMIF(Timing!$J$15:$AG$15,O$138,'Debtors+Creditors'!$J122:$AG122))*O$135</f>
        <v>5677.4459439324273</v>
      </c>
      <c r="P151" s="600"/>
      <c r="Q151" s="588"/>
      <c r="R151" s="877"/>
      <c r="S151" s="877"/>
      <c r="T151" s="877"/>
      <c r="U151" s="877"/>
      <c r="V151" s="877"/>
      <c r="W151" s="877"/>
      <c r="X151" s="877"/>
      <c r="Y151" s="877"/>
      <c r="Z151" s="877"/>
      <c r="AA151" s="550"/>
      <c r="AB151" s="737"/>
      <c r="AC151" s="737"/>
      <c r="AD151" s="737"/>
      <c r="AE151" s="737"/>
      <c r="AF151" s="737"/>
      <c r="AG151" s="737"/>
      <c r="AH151" s="737"/>
      <c r="AI151" s="737"/>
      <c r="AJ151" s="737"/>
      <c r="AK151" s="737"/>
      <c r="AL151" s="737"/>
      <c r="AM151" s="737"/>
      <c r="AN151" s="737"/>
      <c r="AO151" s="550"/>
      <c r="AP151" s="549"/>
      <c r="AQ151" s="549"/>
      <c r="AR151" s="800"/>
    </row>
    <row r="152" spans="1:44" ht="17.25" customHeight="1">
      <c r="A152" s="877"/>
      <c r="B152" s="550"/>
      <c r="C152" s="557" t="s">
        <v>613</v>
      </c>
      <c r="D152" s="557"/>
      <c r="E152" s="557"/>
      <c r="F152" s="557"/>
      <c r="G152" s="557"/>
      <c r="H152" s="557"/>
      <c r="I152" s="557"/>
      <c r="J152" s="557"/>
      <c r="K152" s="557"/>
      <c r="L152" s="593">
        <f ca="1">('Summary 02'!V88+SUMIF(Timing!$J$15:$AG$15,L$138,IFS!$J125:$AG125))*L$135</f>
        <v>-5000</v>
      </c>
      <c r="M152" s="566"/>
      <c r="N152" s="566"/>
      <c r="O152" s="595">
        <f ca="1">('Summary 02'!AA88+SUMIF(Timing!$J$15:$AG$15,O$138,IFS!$J125:$AG125))*O$135</f>
        <v>27080.281127062197</v>
      </c>
      <c r="P152" s="600"/>
      <c r="Q152" s="588"/>
      <c r="R152" s="877"/>
      <c r="S152" s="877"/>
      <c r="T152" s="877"/>
      <c r="U152" s="877"/>
      <c r="V152" s="877"/>
      <c r="W152" s="877"/>
      <c r="X152" s="877"/>
      <c r="Y152" s="877"/>
      <c r="Z152" s="877"/>
      <c r="AA152" s="550"/>
      <c r="AB152" s="557"/>
      <c r="AC152" s="557"/>
      <c r="AD152" s="557"/>
      <c r="AE152" s="557"/>
      <c r="AF152" s="557"/>
      <c r="AG152" s="557"/>
      <c r="AH152" s="557"/>
      <c r="AI152" s="557"/>
      <c r="AJ152" s="557"/>
      <c r="AK152" s="557"/>
      <c r="AL152" s="557"/>
      <c r="AM152" s="557"/>
      <c r="AN152" s="557"/>
      <c r="AO152" s="550"/>
      <c r="AP152" s="549"/>
      <c r="AQ152" s="549"/>
      <c r="AR152" s="125"/>
    </row>
    <row r="153" spans="1:44" ht="17.25" customHeight="1">
      <c r="A153" s="877"/>
      <c r="B153" s="550"/>
      <c r="C153" s="557" t="str">
        <f>"Change in " &amp;Name_VAT &amp;" liabilities"</f>
        <v>Change in VAT liabilities</v>
      </c>
      <c r="D153" s="545"/>
      <c r="E153" s="545"/>
      <c r="F153" s="545"/>
      <c r="G153" s="545"/>
      <c r="H153" s="545"/>
      <c r="I153" s="545"/>
      <c r="J153" s="545"/>
      <c r="K153" s="545"/>
      <c r="L153" s="593">
        <f ca="1">(SUMIF(Timing!$J$15:$AG$15,L$138,Taxes!$J22:$AG22)-SUMIF(Timing!$J$15:$AG$15,L$138,Taxes!$J21:$AG21)+SUMIF(Timing!$J$15:$AG$15,L$138,Taxes!$J29:$AG29))*L$135</f>
        <v>-5155.8444926326119</v>
      </c>
      <c r="M153" s="594"/>
      <c r="N153" s="594"/>
      <c r="O153" s="595">
        <f ca="1">(SUMIF(Timing!$J$15:$AG$15,O$138,Taxes!$J22:$AG22)-SUMIF(Timing!$J$15:$AG$15,O$138,Taxes!$J21:$AG21)+SUMIF(Timing!$J$15:$AG$15,O$138,Taxes!$J29:$AG29))*O$135</f>
        <v>36305.304262010162</v>
      </c>
      <c r="P153" s="600"/>
      <c r="Q153" s="588"/>
      <c r="R153" s="877"/>
      <c r="S153" s="877"/>
      <c r="T153" s="877"/>
      <c r="U153" s="877"/>
      <c r="V153" s="877"/>
      <c r="W153" s="877"/>
      <c r="X153" s="877"/>
      <c r="Y153" s="877"/>
      <c r="Z153" s="877"/>
      <c r="AA153" s="550"/>
      <c r="AB153" s="444"/>
      <c r="AC153" s="444"/>
      <c r="AD153" s="444"/>
      <c r="AE153" s="444"/>
      <c r="AF153" s="444"/>
      <c r="AG153" s="444"/>
      <c r="AH153" s="444"/>
      <c r="AI153" s="444"/>
      <c r="AJ153" s="444"/>
      <c r="AK153" s="444"/>
      <c r="AL153" s="444"/>
      <c r="AM153" s="444"/>
      <c r="AN153" s="444"/>
      <c r="AO153" s="187"/>
      <c r="AP153" s="188"/>
      <c r="AQ153" s="188"/>
      <c r="AR153" s="125"/>
    </row>
    <row r="154" spans="1:44" ht="17.25" customHeight="1">
      <c r="A154" s="877"/>
      <c r="B154" s="550"/>
      <c r="C154" s="604" t="s">
        <v>615</v>
      </c>
      <c r="D154" s="605"/>
      <c r="E154" s="605"/>
      <c r="F154" s="605"/>
      <c r="G154" s="605"/>
      <c r="H154" s="605"/>
      <c r="I154" s="605"/>
      <c r="J154" s="605"/>
      <c r="K154" s="605"/>
      <c r="L154" s="606">
        <f ca="1">SUM(L139:L153)-L141</f>
        <v>-88234.594197801081</v>
      </c>
      <c r="M154" s="607"/>
      <c r="N154" s="607"/>
      <c r="O154" s="608">
        <f ca="1">SUM(O139:O153)-O141</f>
        <v>206029.79416432709</v>
      </c>
      <c r="P154" s="607"/>
      <c r="Q154" s="609"/>
      <c r="R154" s="877"/>
      <c r="S154" s="877"/>
      <c r="T154" s="877"/>
      <c r="U154" s="877"/>
      <c r="V154" s="877"/>
      <c r="W154" s="877"/>
      <c r="X154" s="877"/>
      <c r="Y154" s="877"/>
      <c r="Z154" s="877"/>
      <c r="AA154" s="550"/>
      <c r="AB154" s="557"/>
      <c r="AC154" s="557"/>
      <c r="AD154" s="557"/>
      <c r="AE154" s="557"/>
      <c r="AF154" s="557"/>
      <c r="AG154" s="557"/>
      <c r="AH154" s="557"/>
      <c r="AI154" s="557"/>
      <c r="AJ154" s="557"/>
      <c r="AK154" s="557"/>
      <c r="AL154" s="557"/>
      <c r="AM154" s="557"/>
      <c r="AN154" s="557"/>
      <c r="AO154" s="550"/>
      <c r="AP154" s="549"/>
      <c r="AQ154" s="549"/>
      <c r="AR154" s="125"/>
    </row>
    <row r="155" spans="1:44" ht="9.75" customHeight="1">
      <c r="A155" s="877"/>
      <c r="B155" s="550"/>
      <c r="C155" s="545"/>
      <c r="D155" s="545"/>
      <c r="E155" s="545"/>
      <c r="F155" s="545"/>
      <c r="G155" s="545"/>
      <c r="H155" s="545"/>
      <c r="I155" s="545"/>
      <c r="J155" s="545"/>
      <c r="K155" s="545"/>
      <c r="L155" s="544"/>
      <c r="M155" s="545"/>
      <c r="N155" s="545"/>
      <c r="O155" s="541"/>
      <c r="P155" s="542"/>
      <c r="Q155" s="543"/>
      <c r="R155" s="877"/>
      <c r="S155" s="877"/>
      <c r="T155" s="877"/>
      <c r="U155" s="877"/>
      <c r="V155" s="877"/>
      <c r="W155" s="877"/>
      <c r="X155" s="877"/>
      <c r="Y155" s="877"/>
      <c r="Z155" s="877"/>
      <c r="AA155" s="550"/>
      <c r="AB155" s="444"/>
      <c r="AC155" s="444"/>
      <c r="AD155" s="444"/>
      <c r="AE155" s="444"/>
      <c r="AF155" s="444"/>
      <c r="AG155" s="444"/>
      <c r="AH155" s="444"/>
      <c r="AI155" s="444"/>
      <c r="AJ155" s="444"/>
      <c r="AK155" s="444"/>
      <c r="AL155" s="444"/>
      <c r="AM155" s="444"/>
      <c r="AN155" s="444"/>
      <c r="AO155" s="187"/>
      <c r="AP155" s="188"/>
      <c r="AQ155" s="188"/>
      <c r="AR155" s="125"/>
    </row>
    <row r="156" spans="1:44" ht="17.25" customHeight="1">
      <c r="A156" s="877"/>
      <c r="B156" s="550"/>
      <c r="C156" s="195" t="s">
        <v>616</v>
      </c>
      <c r="D156" s="550"/>
      <c r="E156" s="550"/>
      <c r="F156" s="550"/>
      <c r="G156" s="550"/>
      <c r="H156" s="550"/>
      <c r="I156" s="550"/>
      <c r="J156" s="550"/>
      <c r="K156" s="550"/>
      <c r="L156" s="583"/>
      <c r="M156" s="584"/>
      <c r="N156" s="584"/>
      <c r="O156" s="585"/>
      <c r="P156" s="599"/>
      <c r="Q156" s="586"/>
      <c r="R156" s="877"/>
      <c r="S156" s="877"/>
      <c r="T156" s="877"/>
      <c r="U156" s="877"/>
      <c r="V156" s="877"/>
      <c r="W156" s="877"/>
      <c r="X156" s="877"/>
      <c r="Y156" s="877"/>
      <c r="Z156" s="877"/>
      <c r="AA156" s="550"/>
      <c r="AB156" s="444"/>
      <c r="AC156" s="444"/>
      <c r="AD156" s="444"/>
      <c r="AE156" s="444"/>
      <c r="AF156" s="444"/>
      <c r="AG156" s="444"/>
      <c r="AH156" s="444"/>
      <c r="AI156" s="444"/>
      <c r="AJ156" s="444"/>
      <c r="AK156" s="444"/>
      <c r="AL156" s="444"/>
      <c r="AM156" s="444"/>
      <c r="AN156" s="444"/>
      <c r="AO156" s="187"/>
      <c r="AP156" s="188"/>
      <c r="AQ156" s="188"/>
      <c r="AR156" s="125"/>
    </row>
    <row r="157" spans="1:44" ht="17.25" customHeight="1">
      <c r="A157" s="877"/>
      <c r="B157" s="550"/>
      <c r="C157" s="557" t="s">
        <v>623</v>
      </c>
      <c r="D157" s="545"/>
      <c r="E157" s="545"/>
      <c r="F157" s="545"/>
      <c r="G157" s="545"/>
      <c r="H157" s="545"/>
      <c r="I157" s="545"/>
      <c r="J157" s="545"/>
      <c r="K157" s="545"/>
      <c r="L157" s="565">
        <f>-SUMIF(Timing!$J$15:$AG$15,L$138,Capex!$J161:$AG161)</f>
        <v>-118950</v>
      </c>
      <c r="M157" s="566"/>
      <c r="N157" s="566"/>
      <c r="O157" s="587">
        <f>-SUMIF(Timing!$J$15:$AG$15,O$138,Capex!$J161:$AG161)</f>
        <v>0</v>
      </c>
      <c r="P157" s="600"/>
      <c r="Q157" s="588"/>
      <c r="R157" s="877"/>
      <c r="S157" s="877"/>
      <c r="T157" s="877"/>
      <c r="U157" s="877"/>
      <c r="V157" s="877"/>
      <c r="W157" s="877"/>
      <c r="X157" s="877"/>
      <c r="Y157" s="877"/>
      <c r="Z157" s="877"/>
      <c r="AA157" s="550"/>
      <c r="AB157" s="444"/>
      <c r="AC157" s="444"/>
      <c r="AD157" s="444"/>
      <c r="AE157" s="444"/>
      <c r="AF157" s="444"/>
      <c r="AG157" s="444"/>
      <c r="AH157" s="444"/>
      <c r="AI157" s="444"/>
      <c r="AJ157" s="444"/>
      <c r="AK157" s="444"/>
      <c r="AL157" s="444"/>
      <c r="AM157" s="444"/>
      <c r="AN157" s="444"/>
      <c r="AO157" s="187"/>
      <c r="AP157" s="188"/>
      <c r="AQ157" s="188"/>
      <c r="AR157" s="125"/>
    </row>
    <row r="158" spans="1:44" ht="17.25" customHeight="1">
      <c r="A158" s="877"/>
      <c r="B158" s="550"/>
      <c r="C158" s="557" t="s">
        <v>624</v>
      </c>
      <c r="D158" s="545"/>
      <c r="E158" s="545"/>
      <c r="F158" s="545"/>
      <c r="G158" s="545"/>
      <c r="H158" s="545"/>
      <c r="I158" s="545"/>
      <c r="J158" s="545"/>
      <c r="K158" s="545"/>
      <c r="L158" s="565">
        <f>-SUMIF(Timing!$J$15:$AG$15,L$138,Capex!$J162:$AG162)</f>
        <v>-45000</v>
      </c>
      <c r="M158" s="566"/>
      <c r="N158" s="566"/>
      <c r="O158" s="587">
        <f>-SUMIF(Timing!$J$15:$AG$15,O$138,Capex!$J162:$AG162)</f>
        <v>-50000</v>
      </c>
      <c r="P158" s="600"/>
      <c r="Q158" s="588"/>
      <c r="R158" s="877"/>
      <c r="S158" s="877"/>
      <c r="T158" s="877"/>
      <c r="U158" s="877"/>
      <c r="V158" s="877"/>
      <c r="W158" s="877"/>
      <c r="X158" s="877"/>
      <c r="Y158" s="877"/>
      <c r="Z158" s="877"/>
      <c r="AA158" s="550"/>
      <c r="AB158" s="444"/>
      <c r="AC158" s="444"/>
      <c r="AD158" s="444"/>
      <c r="AE158" s="444"/>
      <c r="AF158" s="444"/>
      <c r="AG158" s="444"/>
      <c r="AH158" s="444"/>
      <c r="AI158" s="444"/>
      <c r="AJ158" s="444"/>
      <c r="AK158" s="444"/>
      <c r="AL158" s="444"/>
      <c r="AM158" s="444"/>
      <c r="AN158" s="444"/>
      <c r="AO158" s="187"/>
      <c r="AP158" s="188"/>
      <c r="AQ158" s="188"/>
      <c r="AR158" s="125"/>
    </row>
    <row r="159" spans="1:44" ht="17.25" customHeight="1">
      <c r="A159" s="877"/>
      <c r="B159" s="550"/>
      <c r="C159" s="557" t="s">
        <v>625</v>
      </c>
      <c r="D159" s="545"/>
      <c r="E159" s="545"/>
      <c r="F159" s="545"/>
      <c r="G159" s="545"/>
      <c r="H159" s="545"/>
      <c r="I159" s="545"/>
      <c r="J159" s="545"/>
      <c r="K159" s="545"/>
      <c r="L159" s="565">
        <f>-SUMIF(Timing!$J$15:$AG$15,L$138,Capex!$J163:$AG163)</f>
        <v>-7500</v>
      </c>
      <c r="M159" s="566"/>
      <c r="N159" s="566"/>
      <c r="O159" s="587">
        <f>-SUMIF(Timing!$J$15:$AG$15,O$138,Capex!$J163:$AG163)</f>
        <v>-12000</v>
      </c>
      <c r="P159" s="600"/>
      <c r="Q159" s="588"/>
      <c r="R159" s="877"/>
      <c r="S159" s="877"/>
      <c r="T159" s="877"/>
      <c r="U159" s="877"/>
      <c r="V159" s="877"/>
      <c r="W159" s="877"/>
      <c r="X159" s="877"/>
      <c r="Y159" s="877"/>
      <c r="Z159" s="877"/>
      <c r="AA159" s="550"/>
      <c r="AB159" s="444"/>
      <c r="AC159" s="444"/>
      <c r="AD159" s="444"/>
      <c r="AE159" s="444"/>
      <c r="AF159" s="444"/>
      <c r="AG159" s="444"/>
      <c r="AH159" s="444"/>
      <c r="AI159" s="444"/>
      <c r="AJ159" s="444"/>
      <c r="AK159" s="444"/>
      <c r="AL159" s="444"/>
      <c r="AM159" s="444"/>
      <c r="AN159" s="444"/>
      <c r="AO159" s="187"/>
      <c r="AP159" s="188"/>
      <c r="AQ159" s="188"/>
      <c r="AR159" s="125"/>
    </row>
    <row r="160" spans="1:44" ht="17.25" customHeight="1">
      <c r="A160" s="877"/>
      <c r="B160" s="550"/>
      <c r="C160" s="557" t="s">
        <v>626</v>
      </c>
      <c r="D160" s="549"/>
      <c r="E160" s="549"/>
      <c r="F160" s="549"/>
      <c r="G160" s="549"/>
      <c r="H160" s="549"/>
      <c r="I160" s="737"/>
      <c r="J160" s="737"/>
      <c r="K160" s="549"/>
      <c r="L160" s="565">
        <f>SUMIF(Timing!$J$15:$AG$15,L$138,IFS!$J104:$AG104)-SUMIF(Timing!$J$15:$AG$15,L$138,Capex!$J180:$AG180)</f>
        <v>0</v>
      </c>
      <c r="M160" s="566"/>
      <c r="N160" s="566"/>
      <c r="O160" s="587">
        <f>SUMIF(Timing!$J$15:$AG$15,O$138,IFS!$J104:$AG104)-SUMIF(Timing!$J$15:$AG$15,O$138,Capex!$J180:$AG180)</f>
        <v>3000</v>
      </c>
      <c r="P160" s="600"/>
      <c r="Q160" s="588"/>
      <c r="R160" s="877"/>
      <c r="S160" s="877"/>
      <c r="T160" s="877"/>
      <c r="U160" s="877"/>
      <c r="V160" s="877"/>
      <c r="W160" s="877"/>
      <c r="X160" s="877"/>
      <c r="Y160" s="877"/>
      <c r="Z160" s="877"/>
      <c r="AA160" s="550"/>
      <c r="AB160" s="444"/>
      <c r="AC160" s="444"/>
      <c r="AD160" s="444"/>
      <c r="AE160" s="444"/>
      <c r="AF160" s="444"/>
      <c r="AG160" s="444"/>
      <c r="AH160" s="444"/>
      <c r="AI160" s="444"/>
      <c r="AJ160" s="444"/>
      <c r="AK160" s="444"/>
      <c r="AL160" s="444"/>
      <c r="AM160" s="444"/>
      <c r="AN160" s="444"/>
      <c r="AO160" s="187"/>
      <c r="AP160" s="188"/>
      <c r="AQ160" s="188"/>
      <c r="AR160" s="125"/>
    </row>
    <row r="161" spans="1:46" ht="17.25" customHeight="1">
      <c r="A161" s="877"/>
      <c r="B161" s="550"/>
      <c r="C161" s="604" t="s">
        <v>617</v>
      </c>
      <c r="D161" s="605"/>
      <c r="E161" s="605"/>
      <c r="F161" s="605"/>
      <c r="G161" s="605"/>
      <c r="H161" s="605"/>
      <c r="I161" s="605"/>
      <c r="J161" s="605"/>
      <c r="K161" s="605"/>
      <c r="L161" s="606">
        <f>SUM(L157:L160)</f>
        <v>-171450</v>
      </c>
      <c r="M161" s="607"/>
      <c r="N161" s="607"/>
      <c r="O161" s="608">
        <f>SUM(O157:O160)</f>
        <v>-59000</v>
      </c>
      <c r="P161" s="607"/>
      <c r="Q161" s="609"/>
      <c r="R161" s="877"/>
      <c r="S161" s="877"/>
      <c r="T161" s="877"/>
      <c r="U161" s="877"/>
      <c r="V161" s="877"/>
      <c r="W161" s="877"/>
      <c r="X161" s="877"/>
      <c r="Y161" s="877"/>
      <c r="Z161" s="877"/>
      <c r="AA161" s="550"/>
      <c r="AB161" s="444"/>
      <c r="AC161" s="444"/>
      <c r="AD161" s="444"/>
      <c r="AE161" s="444"/>
      <c r="AF161" s="444"/>
      <c r="AG161" s="444"/>
      <c r="AH161" s="444"/>
      <c r="AI161" s="444"/>
      <c r="AJ161" s="444"/>
      <c r="AK161" s="444"/>
      <c r="AL161" s="444"/>
      <c r="AM161" s="444"/>
      <c r="AN161" s="444"/>
      <c r="AO161" s="187"/>
      <c r="AP161" s="188"/>
      <c r="AQ161" s="188"/>
      <c r="AR161" s="125"/>
    </row>
    <row r="162" spans="1:46" ht="9.75" customHeight="1">
      <c r="A162" s="877"/>
      <c r="B162" s="550"/>
      <c r="C162" s="545"/>
      <c r="D162" s="545"/>
      <c r="E162" s="545"/>
      <c r="F162" s="545"/>
      <c r="G162" s="545"/>
      <c r="H162" s="545"/>
      <c r="I162" s="545"/>
      <c r="J162" s="545"/>
      <c r="K162" s="545"/>
      <c r="L162" s="544"/>
      <c r="M162" s="545"/>
      <c r="N162" s="545"/>
      <c r="O162" s="541"/>
      <c r="P162" s="542"/>
      <c r="Q162" s="543"/>
      <c r="R162" s="877"/>
      <c r="S162" s="877"/>
      <c r="T162" s="877"/>
      <c r="U162" s="877"/>
      <c r="V162" s="877"/>
      <c r="W162" s="877"/>
      <c r="X162" s="877"/>
      <c r="Y162" s="877"/>
      <c r="Z162" s="877"/>
      <c r="AA162" s="550"/>
      <c r="AB162" s="444"/>
      <c r="AC162" s="444"/>
      <c r="AD162" s="444"/>
      <c r="AE162" s="444"/>
      <c r="AF162" s="444"/>
      <c r="AG162" s="444"/>
      <c r="AH162" s="444"/>
      <c r="AI162" s="444"/>
      <c r="AJ162" s="444"/>
      <c r="AK162" s="444"/>
      <c r="AL162" s="444"/>
      <c r="AM162" s="444"/>
      <c r="AN162" s="444"/>
      <c r="AO162" s="187"/>
      <c r="AP162" s="188"/>
      <c r="AQ162" s="188"/>
      <c r="AR162" s="125"/>
      <c r="AT162" s="48"/>
    </row>
    <row r="163" spans="1:46" ht="17.25" customHeight="1">
      <c r="A163" s="877"/>
      <c r="B163" s="550"/>
      <c r="C163" s="195" t="s">
        <v>618</v>
      </c>
      <c r="D163" s="550"/>
      <c r="E163" s="550"/>
      <c r="F163" s="550"/>
      <c r="G163" s="550"/>
      <c r="H163" s="550"/>
      <c r="I163" s="550"/>
      <c r="J163" s="550"/>
      <c r="K163" s="550"/>
      <c r="L163" s="583"/>
      <c r="M163" s="584"/>
      <c r="N163" s="584"/>
      <c r="O163" s="585"/>
      <c r="P163" s="599"/>
      <c r="Q163" s="586"/>
      <c r="R163" s="877"/>
      <c r="S163" s="877"/>
      <c r="T163" s="877"/>
      <c r="U163" s="877"/>
      <c r="V163" s="877"/>
      <c r="W163" s="877"/>
      <c r="X163" s="877"/>
      <c r="Y163" s="877"/>
      <c r="Z163" s="877"/>
      <c r="AA163" s="550"/>
      <c r="AB163" s="444"/>
      <c r="AC163" s="444"/>
      <c r="AD163" s="444"/>
      <c r="AE163" s="444"/>
      <c r="AF163" s="444"/>
      <c r="AG163" s="444"/>
      <c r="AH163" s="444"/>
      <c r="AI163" s="444"/>
      <c r="AJ163" s="444"/>
      <c r="AK163" s="444"/>
      <c r="AL163" s="444"/>
      <c r="AM163" s="444"/>
      <c r="AN163" s="444"/>
      <c r="AO163" s="187"/>
      <c r="AP163" s="188"/>
      <c r="AQ163" s="188"/>
      <c r="AR163" s="125"/>
    </row>
    <row r="164" spans="1:46" ht="17.25" customHeight="1">
      <c r="A164" s="877"/>
      <c r="B164" s="550"/>
      <c r="C164" s="557" t="s">
        <v>630</v>
      </c>
      <c r="D164" s="545"/>
      <c r="E164" s="545"/>
      <c r="F164" s="545"/>
      <c r="G164" s="545"/>
      <c r="H164" s="545"/>
      <c r="I164" s="545"/>
      <c r="J164" s="545"/>
      <c r="K164" s="545"/>
      <c r="L164" s="565">
        <f ca="1">'Summary 03'!V39</f>
        <v>230000</v>
      </c>
      <c r="M164" s="566"/>
      <c r="N164" s="566"/>
      <c r="O164" s="587">
        <f ca="1">'Summary 03'!AA39</f>
        <v>0</v>
      </c>
      <c r="P164" s="600"/>
      <c r="Q164" s="588"/>
      <c r="R164" s="877"/>
      <c r="S164" s="877"/>
      <c r="T164" s="877"/>
      <c r="U164" s="877"/>
      <c r="V164" s="877"/>
      <c r="W164" s="877"/>
      <c r="X164" s="877"/>
      <c r="Y164" s="877"/>
      <c r="Z164" s="877"/>
      <c r="AA164" s="550"/>
      <c r="AB164" s="444"/>
      <c r="AC164" s="444"/>
      <c r="AD164" s="444"/>
      <c r="AE164" s="444"/>
      <c r="AF164" s="444"/>
      <c r="AG164" s="444"/>
      <c r="AH164" s="444"/>
      <c r="AI164" s="444"/>
      <c r="AJ164" s="444"/>
      <c r="AK164" s="444"/>
      <c r="AL164" s="444"/>
      <c r="AM164" s="444"/>
      <c r="AN164" s="444"/>
      <c r="AO164" s="187"/>
      <c r="AP164" s="188"/>
      <c r="AQ164" s="188"/>
      <c r="AR164" s="125"/>
    </row>
    <row r="165" spans="1:46" ht="17.25" customHeight="1">
      <c r="A165" s="877"/>
      <c r="B165" s="550"/>
      <c r="C165" s="549" t="s">
        <v>631</v>
      </c>
      <c r="D165" s="549"/>
      <c r="E165" s="549"/>
      <c r="F165" s="549"/>
      <c r="G165" s="549"/>
      <c r="H165" s="549"/>
      <c r="I165" s="549"/>
      <c r="J165" s="549"/>
      <c r="K165" s="549"/>
      <c r="L165" s="565">
        <f ca="1">MAX(0,SUM('Summary 03'!V41:V46))</f>
        <v>180000</v>
      </c>
      <c r="M165" s="566"/>
      <c r="N165" s="566"/>
      <c r="O165" s="587">
        <f ca="1">MAX(0,SUM('Summary 03'!AA41:AA46))</f>
        <v>25000</v>
      </c>
      <c r="P165" s="600"/>
      <c r="Q165" s="588"/>
      <c r="R165" s="877"/>
      <c r="S165" s="877"/>
      <c r="T165" s="877"/>
      <c r="U165" s="877"/>
      <c r="V165" s="877"/>
      <c r="W165" s="877"/>
      <c r="X165" s="877"/>
      <c r="Y165" s="877"/>
      <c r="Z165" s="877"/>
      <c r="AA165" s="550"/>
      <c r="AB165" s="557"/>
      <c r="AC165" s="557"/>
      <c r="AD165" s="557"/>
      <c r="AE165" s="557"/>
      <c r="AF165" s="557"/>
      <c r="AG165" s="557"/>
      <c r="AH165" s="557"/>
      <c r="AI165" s="557"/>
      <c r="AJ165" s="557"/>
      <c r="AK165" s="557"/>
      <c r="AL165" s="557"/>
      <c r="AM165" s="557"/>
      <c r="AN165" s="557"/>
      <c r="AO165" s="550"/>
      <c r="AP165" s="549"/>
      <c r="AQ165" s="549"/>
      <c r="AR165" s="125"/>
    </row>
    <row r="166" spans="1:46" ht="17.25" customHeight="1">
      <c r="A166" s="877"/>
      <c r="B166" s="550"/>
      <c r="C166" s="549" t="s">
        <v>632</v>
      </c>
      <c r="D166" s="549"/>
      <c r="E166" s="549"/>
      <c r="F166" s="549"/>
      <c r="G166" s="549"/>
      <c r="H166" s="549"/>
      <c r="I166" s="549"/>
      <c r="J166" s="549"/>
      <c r="K166" s="549"/>
      <c r="L166" s="565">
        <f ca="1">MIN(0,SUM('Summary 03'!V41:V46))</f>
        <v>0</v>
      </c>
      <c r="M166" s="566"/>
      <c r="N166" s="566"/>
      <c r="O166" s="587">
        <f ca="1">MIN(0,SUM('Summary 03'!AA41:AA46))</f>
        <v>0</v>
      </c>
      <c r="P166" s="600"/>
      <c r="Q166" s="588"/>
      <c r="R166" s="877"/>
      <c r="S166" s="877"/>
      <c r="T166" s="877"/>
      <c r="U166" s="877"/>
      <c r="V166" s="877"/>
      <c r="W166" s="877"/>
      <c r="X166" s="877"/>
      <c r="Y166" s="877"/>
      <c r="Z166" s="877"/>
      <c r="AA166" s="550"/>
      <c r="AB166" s="557"/>
      <c r="AC166" s="557"/>
      <c r="AD166" s="557"/>
      <c r="AE166" s="557"/>
      <c r="AF166" s="557"/>
      <c r="AG166" s="557"/>
      <c r="AH166" s="557"/>
      <c r="AI166" s="557"/>
      <c r="AJ166" s="557"/>
      <c r="AK166" s="557"/>
      <c r="AL166" s="557"/>
      <c r="AM166" s="557"/>
      <c r="AN166" s="557"/>
      <c r="AO166" s="550"/>
      <c r="AP166" s="549"/>
      <c r="AQ166" s="549"/>
      <c r="AR166" s="125"/>
    </row>
    <row r="167" spans="1:46" s="799" customFormat="1" ht="17.25" customHeight="1">
      <c r="A167" s="877"/>
      <c r="B167" s="550"/>
      <c r="C167" s="549" t="s">
        <v>633</v>
      </c>
      <c r="D167" s="549"/>
      <c r="E167" s="549"/>
      <c r="F167" s="549"/>
      <c r="G167" s="549"/>
      <c r="H167" s="549"/>
      <c r="I167" s="549"/>
      <c r="J167" s="549"/>
      <c r="K167" s="549"/>
      <c r="L167" s="593">
        <f>-SUMIF(Timing!$J$15:$AG$15,L$138,Capex!$J170:$AG170)</f>
        <v>-3000</v>
      </c>
      <c r="M167" s="594"/>
      <c r="N167" s="594"/>
      <c r="O167" s="587">
        <f>-SUMIF(Timing!$J$15:$AG$15,O$138,Capex!$J170:$AG170)</f>
        <v>-12000</v>
      </c>
      <c r="P167" s="600"/>
      <c r="Q167" s="588"/>
      <c r="R167" s="877"/>
      <c r="S167" s="877"/>
      <c r="T167" s="877"/>
      <c r="U167" s="877"/>
      <c r="V167" s="877"/>
      <c r="W167" s="877"/>
      <c r="X167" s="877"/>
      <c r="Y167" s="877"/>
      <c r="Z167" s="877"/>
      <c r="AA167" s="550"/>
      <c r="AB167" s="737"/>
      <c r="AC167" s="737"/>
      <c r="AD167" s="737"/>
      <c r="AE167" s="737"/>
      <c r="AF167" s="737"/>
      <c r="AG167" s="737"/>
      <c r="AH167" s="737"/>
      <c r="AI167" s="737"/>
      <c r="AJ167" s="737"/>
      <c r="AK167" s="737"/>
      <c r="AL167" s="737"/>
      <c r="AM167" s="737"/>
      <c r="AN167" s="737"/>
      <c r="AO167" s="550"/>
      <c r="AP167" s="549"/>
      <c r="AQ167" s="549"/>
      <c r="AR167" s="800"/>
    </row>
    <row r="168" spans="1:46" ht="17.25" customHeight="1">
      <c r="A168" s="877"/>
      <c r="B168" s="550"/>
      <c r="C168" s="557" t="s">
        <v>305</v>
      </c>
      <c r="D168" s="545"/>
      <c r="E168" s="545"/>
      <c r="F168" s="545"/>
      <c r="G168" s="545"/>
      <c r="H168" s="545"/>
      <c r="I168" s="545"/>
      <c r="J168" s="545"/>
      <c r="K168" s="545"/>
      <c r="L168" s="565">
        <f>'Summary 03'!V51</f>
        <v>0</v>
      </c>
      <c r="M168" s="566"/>
      <c r="N168" s="566"/>
      <c r="O168" s="587">
        <f>'Summary 03'!AA51</f>
        <v>0</v>
      </c>
      <c r="P168" s="600"/>
      <c r="Q168" s="588"/>
      <c r="R168" s="877"/>
      <c r="S168" s="877"/>
      <c r="T168" s="877"/>
      <c r="U168" s="877"/>
      <c r="V168" s="877"/>
      <c r="W168" s="877"/>
      <c r="X168" s="877"/>
      <c r="Y168" s="877"/>
      <c r="Z168" s="877"/>
      <c r="AA168" s="550"/>
      <c r="AB168" s="557"/>
      <c r="AC168" s="557"/>
      <c r="AD168" s="557"/>
      <c r="AE168" s="557"/>
      <c r="AF168" s="557"/>
      <c r="AG168" s="557"/>
      <c r="AH168" s="557"/>
      <c r="AI168" s="557"/>
      <c r="AJ168" s="557"/>
      <c r="AK168" s="557"/>
      <c r="AL168" s="557"/>
      <c r="AM168" s="557"/>
      <c r="AN168" s="557"/>
      <c r="AO168" s="550"/>
      <c r="AP168" s="549"/>
      <c r="AQ168" s="549"/>
      <c r="AR168" s="125"/>
    </row>
    <row r="169" spans="1:46" ht="17.25" customHeight="1">
      <c r="A169" s="877"/>
      <c r="B169" s="550"/>
      <c r="C169" s="604" t="s">
        <v>619</v>
      </c>
      <c r="D169" s="605"/>
      <c r="E169" s="605"/>
      <c r="F169" s="605"/>
      <c r="G169" s="605"/>
      <c r="H169" s="605"/>
      <c r="I169" s="605"/>
      <c r="J169" s="605"/>
      <c r="K169" s="605"/>
      <c r="L169" s="606">
        <f ca="1">SUM(L164:L168)</f>
        <v>407000</v>
      </c>
      <c r="M169" s="607"/>
      <c r="N169" s="607"/>
      <c r="O169" s="608">
        <f ca="1">SUM(O164:O168)</f>
        <v>13000</v>
      </c>
      <c r="P169" s="607"/>
      <c r="Q169" s="609"/>
      <c r="R169" s="877"/>
      <c r="S169" s="877"/>
      <c r="T169" s="877"/>
      <c r="U169" s="877"/>
      <c r="V169" s="877"/>
      <c r="W169" s="877"/>
      <c r="X169" s="877"/>
      <c r="Y169" s="877"/>
      <c r="Z169" s="877"/>
      <c r="AA169" s="550"/>
      <c r="AB169" s="444"/>
      <c r="AC169" s="444"/>
      <c r="AD169" s="444"/>
      <c r="AE169" s="444"/>
      <c r="AF169" s="444"/>
      <c r="AG169" s="444"/>
      <c r="AH169" s="444"/>
      <c r="AI169" s="444"/>
      <c r="AJ169" s="444"/>
      <c r="AK169" s="444"/>
      <c r="AL169" s="444"/>
      <c r="AM169" s="444"/>
      <c r="AN169" s="444"/>
      <c r="AO169" s="187"/>
      <c r="AP169" s="188"/>
      <c r="AQ169" s="188"/>
      <c r="AR169" s="125"/>
    </row>
    <row r="170" spans="1:46" ht="9.75" customHeight="1">
      <c r="A170" s="877"/>
      <c r="B170" s="550"/>
      <c r="C170" s="545"/>
      <c r="D170" s="545"/>
      <c r="E170" s="545"/>
      <c r="F170" s="545"/>
      <c r="G170" s="545"/>
      <c r="H170" s="545"/>
      <c r="I170" s="545"/>
      <c r="J170" s="545"/>
      <c r="K170" s="545"/>
      <c r="L170" s="544"/>
      <c r="M170" s="545"/>
      <c r="N170" s="545"/>
      <c r="O170" s="541"/>
      <c r="P170" s="542"/>
      <c r="Q170" s="543"/>
      <c r="R170" s="877"/>
      <c r="S170" s="877"/>
      <c r="T170" s="877"/>
      <c r="U170" s="877"/>
      <c r="V170" s="877"/>
      <c r="W170" s="877"/>
      <c r="X170" s="877"/>
      <c r="Y170" s="877"/>
      <c r="Z170" s="877"/>
      <c r="AA170" s="550"/>
      <c r="AB170" s="444"/>
      <c r="AC170" s="444"/>
      <c r="AD170" s="444"/>
      <c r="AE170" s="444"/>
      <c r="AF170" s="444"/>
      <c r="AG170" s="444"/>
      <c r="AH170" s="444"/>
      <c r="AI170" s="444"/>
      <c r="AJ170" s="444"/>
      <c r="AK170" s="444"/>
      <c r="AL170" s="444"/>
      <c r="AM170" s="444"/>
      <c r="AN170" s="444"/>
      <c r="AO170" s="187"/>
      <c r="AP170" s="188"/>
      <c r="AQ170" s="188"/>
      <c r="AR170" s="125"/>
    </row>
    <row r="171" spans="1:46" ht="17.25" customHeight="1" thickBot="1">
      <c r="A171" s="877"/>
      <c r="B171" s="550"/>
      <c r="C171" s="866" t="s">
        <v>620</v>
      </c>
      <c r="D171" s="867"/>
      <c r="E171" s="867"/>
      <c r="F171" s="867"/>
      <c r="G171" s="867"/>
      <c r="H171" s="867"/>
      <c r="I171" s="867"/>
      <c r="J171" s="867"/>
      <c r="K171" s="867"/>
      <c r="L171" s="868">
        <f ca="1">ROUND(L154+L161+L169,3)</f>
        <v>147315.40599999999</v>
      </c>
      <c r="M171" s="869"/>
      <c r="N171" s="869"/>
      <c r="O171" s="870">
        <f ca="1">ROUND(O154+O161+O169,3)</f>
        <v>160029.79399999999</v>
      </c>
      <c r="P171" s="869"/>
      <c r="Q171" s="871"/>
      <c r="R171" s="877"/>
      <c r="S171" s="877"/>
      <c r="T171" s="877"/>
      <c r="U171" s="877"/>
      <c r="V171" s="877"/>
      <c r="W171" s="877"/>
      <c r="X171" s="877"/>
      <c r="Y171" s="877"/>
      <c r="Z171" s="877"/>
      <c r="AA171" s="550"/>
      <c r="AB171" s="444"/>
      <c r="AC171" s="444"/>
      <c r="AD171" s="444"/>
      <c r="AE171" s="444"/>
      <c r="AF171" s="444"/>
      <c r="AG171" s="444"/>
      <c r="AH171" s="444"/>
      <c r="AI171" s="444"/>
      <c r="AJ171" s="444"/>
      <c r="AK171" s="444"/>
      <c r="AL171" s="444"/>
      <c r="AM171" s="444"/>
      <c r="AN171" s="444"/>
      <c r="AO171" s="187"/>
      <c r="AP171" s="188"/>
      <c r="AQ171" s="188"/>
      <c r="AR171" s="125"/>
    </row>
    <row r="172" spans="1:46" ht="17.25" customHeight="1" thickTop="1">
      <c r="A172" s="877"/>
      <c r="B172" s="550"/>
      <c r="C172" s="545" t="s">
        <v>621</v>
      </c>
      <c r="D172" s="545"/>
      <c r="E172" s="545"/>
      <c r="F172" s="545"/>
      <c r="G172" s="545"/>
      <c r="H172" s="545"/>
      <c r="I172" s="547"/>
      <c r="J172" s="547"/>
      <c r="K172" s="547"/>
      <c r="L172" s="565">
        <f>Inputs!$F$269</f>
        <v>0</v>
      </c>
      <c r="M172" s="566"/>
      <c r="N172" s="566"/>
      <c r="O172" s="587">
        <f ca="1">L173</f>
        <v>147315.40599999999</v>
      </c>
      <c r="P172" s="600"/>
      <c r="Q172" s="588"/>
      <c r="R172" s="877"/>
      <c r="S172" s="877"/>
      <c r="T172" s="877"/>
      <c r="U172" s="877"/>
      <c r="V172" s="877"/>
      <c r="W172" s="877"/>
      <c r="X172" s="877"/>
      <c r="Y172" s="877"/>
      <c r="Z172" s="877"/>
      <c r="AA172" s="550"/>
      <c r="AB172" s="444"/>
      <c r="AC172" s="444"/>
      <c r="AD172" s="444"/>
      <c r="AE172" s="444"/>
      <c r="AF172" s="444"/>
      <c r="AG172" s="444"/>
      <c r="AH172" s="444"/>
      <c r="AI172" s="444"/>
      <c r="AJ172" s="444"/>
      <c r="AK172" s="444"/>
      <c r="AL172" s="444"/>
      <c r="AM172" s="444"/>
      <c r="AN172" s="444"/>
      <c r="AO172" s="187"/>
      <c r="AP172" s="188"/>
      <c r="AQ172" s="188"/>
      <c r="AR172" s="125"/>
    </row>
    <row r="173" spans="1:46" ht="17.25" customHeight="1">
      <c r="A173" s="877"/>
      <c r="B173" s="550"/>
      <c r="C173" s="545" t="s">
        <v>622</v>
      </c>
      <c r="D173" s="545"/>
      <c r="E173" s="545"/>
      <c r="F173" s="545"/>
      <c r="G173" s="545"/>
      <c r="H173" s="545"/>
      <c r="I173" s="542"/>
      <c r="J173" s="548"/>
      <c r="K173" s="548"/>
      <c r="L173" s="565">
        <f ca="1">ROUND(L171+L172,4)</f>
        <v>147315.40599999999</v>
      </c>
      <c r="M173" s="566"/>
      <c r="N173" s="566"/>
      <c r="O173" s="587">
        <f ca="1">ROUND(O171+O172,4)</f>
        <v>307345.2</v>
      </c>
      <c r="P173" s="600"/>
      <c r="Q173" s="588"/>
      <c r="R173" s="877"/>
      <c r="S173" s="877"/>
      <c r="T173" s="877"/>
      <c r="U173" s="877"/>
      <c r="V173" s="877"/>
      <c r="W173" s="877"/>
      <c r="X173" s="877"/>
      <c r="Y173" s="877"/>
      <c r="Z173" s="877"/>
      <c r="AA173" s="550"/>
      <c r="AB173" s="444"/>
      <c r="AC173" s="444"/>
      <c r="AD173" s="444"/>
      <c r="AE173" s="444"/>
      <c r="AF173" s="444"/>
      <c r="AG173" s="444"/>
      <c r="AH173" s="444"/>
      <c r="AI173" s="444"/>
      <c r="AJ173" s="444"/>
      <c r="AK173" s="444"/>
      <c r="AL173" s="444"/>
      <c r="AM173" s="444"/>
      <c r="AN173" s="444"/>
      <c r="AO173" s="187"/>
      <c r="AP173" s="188"/>
      <c r="AQ173" s="188"/>
      <c r="AR173" s="125"/>
    </row>
    <row r="174" spans="1:46" ht="18" customHeight="1">
      <c r="A174" s="877"/>
      <c r="B174" s="187"/>
      <c r="C174" s="487" t="s">
        <v>640</v>
      </c>
      <c r="D174" s="255"/>
      <c r="E174" s="255"/>
      <c r="F174" s="255"/>
      <c r="G174" s="255"/>
      <c r="H174" s="255"/>
      <c r="I174" s="631">
        <f ca="1">ROUND(L172+L171+O171-LOOKUP(Enddatum,'Summary 03'!$J$8:$AA$8,'Summary 03'!$J$56:$AA$56),1)</f>
        <v>0</v>
      </c>
      <c r="J174" s="631"/>
      <c r="K174" s="558"/>
      <c r="L174" s="556"/>
      <c r="M174" s="557"/>
      <c r="N174" s="557"/>
      <c r="O174" s="556"/>
      <c r="P174" s="557"/>
      <c r="Q174" s="557"/>
      <c r="R174" s="877"/>
      <c r="S174" s="877"/>
      <c r="T174" s="877"/>
      <c r="U174" s="877"/>
      <c r="V174" s="877"/>
      <c r="W174" s="877"/>
      <c r="X174" s="877"/>
      <c r="Y174" s="877"/>
      <c r="Z174" s="877"/>
      <c r="AA174" s="550"/>
      <c r="AB174" s="557"/>
      <c r="AC174" s="557"/>
      <c r="AD174" s="557"/>
      <c r="AE174" s="444"/>
      <c r="AF174" s="444"/>
      <c r="AG174" s="444"/>
      <c r="AH174" s="444"/>
      <c r="AI174" s="444"/>
      <c r="AJ174" s="444"/>
      <c r="AK174" s="444"/>
      <c r="AL174" s="444"/>
      <c r="AM174" s="444"/>
      <c r="AN174" s="444"/>
      <c r="AO174" s="187"/>
      <c r="AP174" s="188"/>
      <c r="AQ174" s="188"/>
      <c r="AR174" s="125"/>
    </row>
    <row r="175" spans="1:46" s="799" customFormat="1" ht="17.25" customHeight="1">
      <c r="A175" s="877"/>
      <c r="B175" s="550"/>
      <c r="C175" s="877"/>
      <c r="D175" s="877"/>
      <c r="E175" s="877"/>
      <c r="F175" s="877"/>
      <c r="G175" s="877"/>
      <c r="H175" s="877"/>
      <c r="I175" s="877"/>
      <c r="J175" s="877"/>
      <c r="K175" s="877"/>
      <c r="L175" s="877"/>
      <c r="M175" s="877"/>
      <c r="N175" s="877"/>
      <c r="O175" s="877"/>
      <c r="P175" s="877"/>
      <c r="Q175" s="877"/>
      <c r="R175" s="877"/>
      <c r="S175" s="877"/>
      <c r="T175" s="877"/>
      <c r="U175" s="877"/>
      <c r="V175" s="877"/>
      <c r="W175" s="877"/>
      <c r="X175" s="877"/>
      <c r="Y175" s="877"/>
      <c r="Z175" s="877"/>
      <c r="AA175" s="877"/>
      <c r="AB175" s="877"/>
      <c r="AC175" s="877"/>
      <c r="AD175" s="550"/>
      <c r="AE175" s="550"/>
      <c r="AF175" s="550"/>
      <c r="AG175" s="550"/>
      <c r="AH175" s="550"/>
      <c r="AI175" s="550"/>
      <c r="AJ175" s="550"/>
      <c r="AK175" s="550"/>
      <c r="AL175" s="550"/>
      <c r="AM175" s="550"/>
      <c r="AN175" s="550"/>
      <c r="AO175" s="550"/>
      <c r="AP175" s="549"/>
      <c r="AQ175" s="549"/>
      <c r="AR175" s="800"/>
    </row>
    <row r="176" spans="1:46" s="878" customFormat="1" ht="17.25" customHeight="1">
      <c r="A176" s="877"/>
      <c r="B176" s="877"/>
      <c r="C176" s="877"/>
      <c r="D176" s="877"/>
      <c r="E176" s="877"/>
      <c r="F176" s="877"/>
      <c r="G176" s="877"/>
      <c r="H176" s="877"/>
      <c r="I176" s="877"/>
      <c r="J176" s="877"/>
      <c r="K176" s="877"/>
      <c r="L176" s="877"/>
      <c r="M176" s="877"/>
      <c r="N176" s="877"/>
      <c r="O176" s="877"/>
      <c r="P176" s="877"/>
      <c r="Q176" s="877"/>
      <c r="R176" s="877"/>
      <c r="S176" s="877"/>
      <c r="T176" s="877"/>
      <c r="U176" s="877"/>
      <c r="V176" s="877"/>
      <c r="W176" s="877"/>
      <c r="X176" s="877"/>
      <c r="Y176" s="877"/>
      <c r="Z176" s="877"/>
      <c r="AA176" s="877"/>
      <c r="AB176" s="877"/>
      <c r="AC176" s="877"/>
      <c r="AD176" s="877"/>
      <c r="AE176" s="877"/>
      <c r="AF176" s="877"/>
      <c r="AG176" s="877"/>
      <c r="AH176" s="877"/>
      <c r="AI176" s="877"/>
      <c r="AJ176" s="877"/>
      <c r="AK176" s="877"/>
      <c r="AL176" s="877"/>
      <c r="AM176" s="877"/>
      <c r="AN176" s="877"/>
      <c r="AO176" s="877"/>
      <c r="AP176" s="549"/>
      <c r="AQ176" s="549"/>
      <c r="AR176" s="800"/>
    </row>
    <row r="177" spans="1:49" ht="17.25" customHeight="1">
      <c r="A177" s="877"/>
      <c r="B177" s="550"/>
      <c r="C177" s="550"/>
      <c r="D177" s="550"/>
      <c r="E177" s="550"/>
      <c r="F177" s="550"/>
      <c r="G177" s="550"/>
      <c r="H177" s="550"/>
      <c r="I177" s="550"/>
      <c r="J177" s="550"/>
      <c r="K177" s="550"/>
      <c r="L177" s="550"/>
      <c r="M177" s="550"/>
      <c r="N177" s="550"/>
      <c r="O177" s="550"/>
      <c r="P177" s="550"/>
      <c r="Q177" s="550"/>
      <c r="R177" s="550"/>
      <c r="S177" s="550"/>
      <c r="T177" s="550"/>
      <c r="U177" s="550"/>
      <c r="V177" s="550"/>
      <c r="W177" s="550"/>
      <c r="X177" s="550"/>
      <c r="Y177" s="550"/>
      <c r="Z177" s="550"/>
      <c r="AA177" s="550"/>
      <c r="AB177" s="550"/>
      <c r="AC177" s="550"/>
      <c r="AD177" s="187"/>
      <c r="AE177" s="187"/>
      <c r="AF177" s="187"/>
      <c r="AG177" s="187"/>
      <c r="AH177" s="187"/>
      <c r="AI177" s="187"/>
      <c r="AJ177" s="187"/>
      <c r="AK177" s="187"/>
      <c r="AL177" s="187"/>
      <c r="AM177" s="187"/>
      <c r="AN177" s="187"/>
      <c r="AO177" s="187"/>
      <c r="AP177" s="188"/>
      <c r="AQ177" s="188"/>
      <c r="AR177" s="125"/>
    </row>
    <row r="178" spans="1:49" ht="22.5" customHeight="1">
      <c r="A178" s="877"/>
      <c r="B178" s="187"/>
      <c r="C178" s="190" t="s">
        <v>314</v>
      </c>
      <c r="D178" s="737"/>
      <c r="E178" s="737"/>
      <c r="F178" s="737"/>
      <c r="G178" s="737"/>
      <c r="H178" s="737"/>
      <c r="I178" s="737"/>
      <c r="J178" s="493"/>
      <c r="K178" s="737"/>
      <c r="L178" s="737"/>
      <c r="M178" s="737"/>
      <c r="N178" s="737"/>
      <c r="O178" s="737"/>
      <c r="P178" s="737"/>
      <c r="Q178" s="737"/>
      <c r="R178" s="737"/>
      <c r="S178" s="737"/>
      <c r="T178" s="737"/>
      <c r="U178" s="737"/>
      <c r="V178" s="737"/>
      <c r="W178" s="737"/>
      <c r="X178" s="737"/>
      <c r="Y178" s="737"/>
      <c r="Z178" s="737"/>
      <c r="AA178" s="737"/>
      <c r="AB178" s="737"/>
      <c r="AC178" s="737"/>
      <c r="AD178" s="737"/>
      <c r="AE178" s="737"/>
      <c r="AF178" s="737"/>
      <c r="AG178" s="737"/>
      <c r="AH178" s="737"/>
      <c r="AI178" s="737"/>
      <c r="AJ178" s="737"/>
      <c r="AK178" s="737"/>
      <c r="AL178" s="737"/>
      <c r="AM178" s="737"/>
      <c r="AN178" s="737"/>
      <c r="AO178" s="550"/>
      <c r="AP178" s="188"/>
      <c r="AQ178" s="188"/>
      <c r="AR178" s="125"/>
      <c r="AW178" s="371"/>
    </row>
    <row r="179" spans="1:49" ht="15" customHeight="1">
      <c r="A179" s="877"/>
      <c r="B179" s="187"/>
      <c r="C179" s="191" t="str">
        <f>"  all currency in " &amp;Currency_Label</f>
        <v xml:space="preserve">  all currency in USD</v>
      </c>
      <c r="D179" s="737"/>
      <c r="E179" s="737"/>
      <c r="F179" s="191" t="str">
        <f>"as per end of " &amp;Inputs!$I$20</f>
        <v>as per end of Nov</v>
      </c>
      <c r="G179" s="737"/>
      <c r="H179" s="191"/>
      <c r="I179" s="737"/>
      <c r="J179" s="737"/>
      <c r="K179" s="737"/>
      <c r="L179" s="737"/>
      <c r="M179" s="737"/>
      <c r="N179" s="737"/>
      <c r="O179" s="737"/>
      <c r="P179" s="737"/>
      <c r="Q179" s="737"/>
      <c r="R179" s="737"/>
      <c r="S179" s="737"/>
      <c r="T179" s="737"/>
      <c r="U179" s="737"/>
      <c r="V179" s="737"/>
      <c r="W179" s="737"/>
      <c r="X179" s="737"/>
      <c r="Y179" s="737"/>
      <c r="Z179" s="737"/>
      <c r="AA179" s="737"/>
      <c r="AB179" s="737"/>
      <c r="AC179" s="737"/>
      <c r="AD179" s="737"/>
      <c r="AE179" s="737"/>
      <c r="AF179" s="737"/>
      <c r="AG179" s="737"/>
      <c r="AH179" s="737"/>
      <c r="AI179" s="737"/>
      <c r="AJ179" s="737"/>
      <c r="AK179" s="737"/>
      <c r="AL179" s="737"/>
      <c r="AM179" s="737"/>
      <c r="AN179" s="737"/>
      <c r="AO179" s="550"/>
      <c r="AP179" s="188"/>
      <c r="AQ179" s="188"/>
      <c r="AR179" s="40"/>
    </row>
    <row r="180" spans="1:49" ht="17.25" customHeight="1">
      <c r="A180" s="877"/>
      <c r="B180" s="187"/>
      <c r="C180" s="190" t="s">
        <v>646</v>
      </c>
      <c r="D180" s="737"/>
      <c r="E180" s="342"/>
      <c r="F180" s="342"/>
      <c r="G180" s="342"/>
      <c r="H180" s="737"/>
      <c r="I180" s="737"/>
      <c r="J180" s="579" t="str">
        <f>'Summary 02'!$V$5</f>
        <v>FY 2017</v>
      </c>
      <c r="K180" s="393"/>
      <c r="L180" s="579" t="str">
        <f>'Summary 02'!$AA$5</f>
        <v>FY 2018</v>
      </c>
      <c r="M180" s="393"/>
      <c r="N180" s="352" t="s">
        <v>1072</v>
      </c>
      <c r="O180" s="393"/>
      <c r="P180" s="579"/>
      <c r="Q180" s="393"/>
      <c r="R180" s="579"/>
      <c r="S180" s="393"/>
      <c r="T180" s="737"/>
      <c r="U180" s="737"/>
      <c r="V180" s="190" t="s">
        <v>647</v>
      </c>
      <c r="W180" s="737"/>
      <c r="X180" s="737"/>
      <c r="Y180" s="342"/>
      <c r="AA180" s="737"/>
      <c r="AB180" s="737"/>
      <c r="AC180" s="737"/>
      <c r="AD180" s="737"/>
      <c r="AE180" s="579" t="str">
        <f>'Summary 02'!$V$5</f>
        <v>FY 2017</v>
      </c>
      <c r="AF180" s="393"/>
      <c r="AG180" s="579" t="str">
        <f>'Summary 02'!$AA$5</f>
        <v>FY 2018</v>
      </c>
      <c r="AH180" s="393"/>
      <c r="AI180" s="352" t="s">
        <v>1072</v>
      </c>
      <c r="AJ180" s="393"/>
      <c r="AK180" s="579"/>
      <c r="AL180" s="393"/>
      <c r="AM180" s="579"/>
      <c r="AN180" s="393"/>
      <c r="AO180" s="550"/>
      <c r="AP180" s="188"/>
      <c r="AQ180" s="188"/>
      <c r="AR180" s="40"/>
    </row>
    <row r="181" spans="1:49" ht="9.75" customHeight="1">
      <c r="A181" s="877"/>
      <c r="B181" s="187"/>
      <c r="C181" s="191"/>
      <c r="D181" s="191"/>
      <c r="E181" s="737"/>
      <c r="F181" s="737"/>
      <c r="G181" s="737"/>
      <c r="H181" s="737"/>
      <c r="I181" s="737"/>
      <c r="J181" s="737"/>
      <c r="K181" s="580"/>
      <c r="L181" s="581"/>
      <c r="M181" s="582"/>
      <c r="N181" s="737"/>
      <c r="O181" s="737"/>
      <c r="P181" s="737"/>
      <c r="Q181" s="737"/>
      <c r="R181" s="737"/>
      <c r="S181" s="737"/>
      <c r="T181" s="737"/>
      <c r="U181" s="737"/>
      <c r="V181" s="737"/>
      <c r="W181" s="737"/>
      <c r="X181" s="737"/>
      <c r="Y181" s="737"/>
      <c r="AA181" s="737"/>
      <c r="AB181" s="737"/>
      <c r="AC181" s="737"/>
      <c r="AD181" s="737"/>
      <c r="AE181" s="737"/>
      <c r="AF181" s="580"/>
      <c r="AG181" s="581"/>
      <c r="AH181" s="582"/>
      <c r="AI181" s="737"/>
      <c r="AJ181" s="737"/>
      <c r="AK181" s="737"/>
      <c r="AL181" s="737"/>
      <c r="AM181" s="737"/>
      <c r="AN181" s="737"/>
      <c r="AO181" s="550"/>
      <c r="AP181" s="188"/>
      <c r="AQ181" s="188"/>
      <c r="AR181" s="40"/>
    </row>
    <row r="182" spans="1:49" ht="17.25" customHeight="1">
      <c r="A182" s="877"/>
      <c r="B182" s="187"/>
      <c r="C182" s="195" t="s">
        <v>1024</v>
      </c>
      <c r="D182" s="550"/>
      <c r="E182" s="550"/>
      <c r="F182" s="550"/>
      <c r="G182" s="550"/>
      <c r="H182" s="550"/>
      <c r="I182" s="550"/>
      <c r="J182" s="583">
        <f>SUM(J183:K186)</f>
        <v>188237.34126984127</v>
      </c>
      <c r="K182" s="584"/>
      <c r="L182" s="585">
        <f>SUM(L183:M186)</f>
        <v>218437.57936507935</v>
      </c>
      <c r="M182" s="586"/>
      <c r="N182" s="737"/>
      <c r="O182" s="737"/>
      <c r="P182" s="737"/>
      <c r="Q182" s="737"/>
      <c r="R182" s="737"/>
      <c r="S182" s="737"/>
      <c r="T182" s="545"/>
      <c r="U182" s="737"/>
      <c r="V182" s="195" t="s">
        <v>396</v>
      </c>
      <c r="W182" s="550"/>
      <c r="X182" s="550"/>
      <c r="Y182" s="550"/>
      <c r="Z182" s="550"/>
      <c r="AA182" s="550"/>
      <c r="AB182" s="550"/>
      <c r="AC182" s="550"/>
      <c r="AD182" s="550"/>
      <c r="AE182" s="583">
        <f ca="1">SUM(AE183:AF189)</f>
        <v>42386.394420043347</v>
      </c>
      <c r="AF182" s="584"/>
      <c r="AG182" s="585">
        <f ca="1">SUM(AG183:AH189)</f>
        <v>114430.52056533605</v>
      </c>
      <c r="AH182" s="586"/>
      <c r="AI182" s="737"/>
      <c r="AJ182" s="737"/>
      <c r="AK182" s="737"/>
      <c r="AL182" s="737"/>
      <c r="AM182" s="737"/>
      <c r="AN182" s="737"/>
      <c r="AO182" s="550"/>
      <c r="AP182" s="188"/>
      <c r="AQ182" s="188"/>
      <c r="AR182" s="40"/>
    </row>
    <row r="183" spans="1:49" ht="17.25" customHeight="1">
      <c r="A183" s="877"/>
      <c r="B183" s="187"/>
      <c r="C183" s="181"/>
      <c r="D183" s="737"/>
      <c r="E183" s="737"/>
      <c r="F183" s="737"/>
      <c r="G183" s="737"/>
      <c r="H183" s="737"/>
      <c r="I183" s="737"/>
      <c r="J183" s="565"/>
      <c r="K183" s="566"/>
      <c r="L183" s="587"/>
      <c r="M183" s="588"/>
      <c r="N183" s="878"/>
      <c r="O183" s="878"/>
      <c r="P183" s="878"/>
      <c r="Q183" s="878"/>
      <c r="R183" s="878"/>
      <c r="S183" s="878"/>
      <c r="U183" s="737"/>
      <c r="V183" s="549" t="str">
        <f>IFS!C165</f>
        <v>Overdraft Facility</v>
      </c>
      <c r="W183" s="545"/>
      <c r="X183" s="545"/>
      <c r="Y183" s="545"/>
      <c r="Z183" s="737"/>
      <c r="AA183" s="545"/>
      <c r="AB183" s="545"/>
      <c r="AC183" s="545"/>
      <c r="AD183" s="545"/>
      <c r="AE183" s="565">
        <f ca="1">'Summary 04'!V22</f>
        <v>0</v>
      </c>
      <c r="AF183" s="566"/>
      <c r="AG183" s="587">
        <f ca="1">'Summary 04'!AA22</f>
        <v>0</v>
      </c>
      <c r="AH183" s="588"/>
      <c r="AI183" s="878"/>
      <c r="AJ183" s="878"/>
      <c r="AK183" s="878"/>
      <c r="AL183" s="878"/>
      <c r="AM183" s="878"/>
      <c r="AN183" s="878"/>
      <c r="AO183" s="550"/>
      <c r="AP183" s="188"/>
      <c r="AQ183" s="188"/>
      <c r="AR183" s="40"/>
    </row>
    <row r="184" spans="1:49" ht="17.25" customHeight="1">
      <c r="A184" s="877"/>
      <c r="B184" s="187"/>
      <c r="C184" s="181" t="str">
        <f>IFS!C153</f>
        <v>Intangible Assets</v>
      </c>
      <c r="D184" s="545"/>
      <c r="E184" s="545"/>
      <c r="F184" s="545"/>
      <c r="G184" s="545"/>
      <c r="H184" s="545"/>
      <c r="I184" s="545"/>
      <c r="J184" s="565">
        <f>'Summary 04'!V10</f>
        <v>115717.5</v>
      </c>
      <c r="K184" s="566"/>
      <c r="L184" s="587">
        <f>'Summary 04'!AA10</f>
        <v>103822.5</v>
      </c>
      <c r="M184" s="588"/>
      <c r="N184" s="737"/>
      <c r="O184" s="737"/>
      <c r="P184" s="737"/>
      <c r="Q184" s="737"/>
      <c r="R184" s="737"/>
      <c r="S184" s="737"/>
      <c r="T184" s="545"/>
      <c r="U184" s="737"/>
      <c r="V184" s="549" t="str">
        <f>IFS!C170</f>
        <v>Accruals</v>
      </c>
      <c r="W184" s="545"/>
      <c r="X184" s="545"/>
      <c r="Y184" s="545"/>
      <c r="Z184" s="737"/>
      <c r="AA184" s="545"/>
      <c r="AB184" s="545"/>
      <c r="AC184" s="545"/>
      <c r="AD184" s="545"/>
      <c r="AE184" s="565">
        <f>'Summary 04'!V27</f>
        <v>6750</v>
      </c>
      <c r="AF184" s="566"/>
      <c r="AG184" s="587">
        <f>'Summary 04'!AA27</f>
        <v>5750</v>
      </c>
      <c r="AH184" s="588"/>
      <c r="AI184" s="737"/>
      <c r="AJ184" s="737"/>
      <c r="AK184" s="737"/>
      <c r="AL184" s="737"/>
      <c r="AM184" s="737"/>
      <c r="AN184" s="737"/>
      <c r="AO184" s="550"/>
      <c r="AP184" s="188"/>
      <c r="AQ184" s="188"/>
      <c r="AR184" s="40"/>
    </row>
    <row r="185" spans="1:49" ht="17.25" customHeight="1">
      <c r="A185" s="877"/>
      <c r="B185" s="187"/>
      <c r="C185" s="181" t="str">
        <f>IFS!C154</f>
        <v>Tangible Assets</v>
      </c>
      <c r="D185" s="545"/>
      <c r="E185" s="545"/>
      <c r="F185" s="545"/>
      <c r="G185" s="545"/>
      <c r="H185" s="545"/>
      <c r="I185" s="545"/>
      <c r="J185" s="565">
        <f>'Summary 04'!V11</f>
        <v>65019.841269841265</v>
      </c>
      <c r="K185" s="566"/>
      <c r="L185" s="587">
        <f>'Summary 04'!AA11</f>
        <v>95115.079365079335</v>
      </c>
      <c r="M185" s="588"/>
      <c r="N185" s="737"/>
      <c r="O185" s="737"/>
      <c r="P185" s="737"/>
      <c r="Q185" s="737"/>
      <c r="R185" s="737"/>
      <c r="S185" s="737"/>
      <c r="T185" s="545"/>
      <c r="U185" s="737"/>
      <c r="V185" s="199" t="str">
        <f>IFS!C167</f>
        <v>Accounts Payables</v>
      </c>
      <c r="AE185" s="565">
        <f ca="1">'Summary 04'!V24</f>
        <v>10079.439630147192</v>
      </c>
      <c r="AF185" s="566"/>
      <c r="AG185" s="587">
        <f ca="1">'Summary 04'!AA24</f>
        <v>11543.73583463632</v>
      </c>
      <c r="AH185" s="588"/>
      <c r="AI185" s="737"/>
      <c r="AJ185" s="737"/>
      <c r="AK185" s="737"/>
      <c r="AL185" s="737"/>
      <c r="AM185" s="737"/>
      <c r="AN185" s="737"/>
      <c r="AO185" s="877"/>
      <c r="AP185" s="188"/>
      <c r="AQ185" s="188"/>
      <c r="AR185" s="40"/>
    </row>
    <row r="186" spans="1:49" s="799" customFormat="1" ht="17.25" customHeight="1">
      <c r="A186" s="877"/>
      <c r="B186" s="550"/>
      <c r="C186" s="181" t="str">
        <f>IFS!C155</f>
        <v>Financial Assets</v>
      </c>
      <c r="D186" s="545"/>
      <c r="E186" s="545"/>
      <c r="F186" s="545"/>
      <c r="G186" s="545"/>
      <c r="H186" s="545"/>
      <c r="I186" s="545"/>
      <c r="J186" s="565">
        <f>'Summary 04'!V12</f>
        <v>7500</v>
      </c>
      <c r="K186" s="566"/>
      <c r="L186" s="587">
        <f>'Summary 04'!AA12</f>
        <v>19500</v>
      </c>
      <c r="M186" s="588"/>
      <c r="N186" s="737"/>
      <c r="O186" s="737"/>
      <c r="P186" s="737"/>
      <c r="Q186" s="737"/>
      <c r="R186" s="737"/>
      <c r="S186" s="737"/>
      <c r="T186" s="545"/>
      <c r="U186" s="737"/>
      <c r="V186" s="181" t="str">
        <f>IFS!C168</f>
        <v>Deferred Revenue</v>
      </c>
      <c r="W186" s="737"/>
      <c r="X186" s="545"/>
      <c r="Y186" s="545"/>
      <c r="Z186" s="737"/>
      <c r="AA186" s="545"/>
      <c r="AB186" s="545"/>
      <c r="AC186" s="545"/>
      <c r="AD186" s="545"/>
      <c r="AE186" s="565">
        <f>'Summary 04'!V25</f>
        <v>0</v>
      </c>
      <c r="AF186" s="566"/>
      <c r="AG186" s="587">
        <f>'Summary 04'!AA25</f>
        <v>0</v>
      </c>
      <c r="AH186" s="588"/>
      <c r="AI186" s="737"/>
      <c r="AJ186" s="737"/>
      <c r="AK186" s="737"/>
      <c r="AL186" s="737"/>
      <c r="AM186" s="737"/>
      <c r="AN186" s="737"/>
      <c r="AO186" s="550"/>
      <c r="AP186" s="549"/>
      <c r="AQ186" s="549"/>
      <c r="AR186" s="40"/>
    </row>
    <row r="187" spans="1:49" s="799" customFormat="1" ht="17.25" customHeight="1">
      <c r="A187" s="877"/>
      <c r="B187" s="550"/>
      <c r="C187" s="181"/>
      <c r="D187" s="737"/>
      <c r="E187" s="737"/>
      <c r="F187" s="737"/>
      <c r="G187" s="737"/>
      <c r="H187" s="737"/>
      <c r="I187" s="737"/>
      <c r="J187" s="565"/>
      <c r="K187" s="566"/>
      <c r="L187" s="587"/>
      <c r="M187" s="588"/>
      <c r="N187" s="737"/>
      <c r="O187" s="737"/>
      <c r="P187" s="737"/>
      <c r="Q187" s="737"/>
      <c r="R187" s="737"/>
      <c r="S187" s="737"/>
      <c r="T187" s="737"/>
      <c r="U187" s="737"/>
      <c r="V187" s="181" t="str">
        <f>Name_VAT &amp;" liabilities"</f>
        <v>VAT liabilities</v>
      </c>
      <c r="W187" s="737"/>
      <c r="X187" s="737"/>
      <c r="Y187" s="737"/>
      <c r="Z187" s="737"/>
      <c r="AA187" s="737"/>
      <c r="AB187" s="737"/>
      <c r="AC187" s="737"/>
      <c r="AD187" s="737"/>
      <c r="AE187" s="565">
        <f ca="1">'Summary 04'!V30+'Summary 04'!V32</f>
        <v>5719.41751244635</v>
      </c>
      <c r="AF187" s="566"/>
      <c r="AG187" s="587">
        <f ca="1">'Summary 04'!AA30+'Summary 04'!AA32</f>
        <v>53791.520382255309</v>
      </c>
      <c r="AH187" s="588"/>
      <c r="AI187" s="737"/>
      <c r="AJ187" s="737"/>
      <c r="AK187" s="737"/>
      <c r="AL187" s="737"/>
      <c r="AM187" s="737"/>
      <c r="AN187" s="737"/>
      <c r="AO187" s="550"/>
      <c r="AP187" s="549"/>
      <c r="AQ187" s="549"/>
      <c r="AR187" s="40"/>
    </row>
    <row r="188" spans="1:49" s="799" customFormat="1" ht="17.25" customHeight="1">
      <c r="A188" s="877"/>
      <c r="B188" s="550"/>
      <c r="C188" s="195" t="s">
        <v>392</v>
      </c>
      <c r="D188" s="550"/>
      <c r="E188" s="550"/>
      <c r="F188" s="550"/>
      <c r="G188" s="550"/>
      <c r="H188" s="550"/>
      <c r="I188" s="550"/>
      <c r="J188" s="583">
        <f ca="1">SUM(J189:K194)</f>
        <v>249032.45977488795</v>
      </c>
      <c r="K188" s="584"/>
      <c r="L188" s="585">
        <f ca="1">SUM(L189:M194)</f>
        <v>520814.06571197964</v>
      </c>
      <c r="M188" s="586"/>
      <c r="N188" s="737"/>
      <c r="O188" s="737"/>
      <c r="P188" s="737"/>
      <c r="Q188" s="737"/>
      <c r="R188" s="737"/>
      <c r="S188" s="737"/>
      <c r="T188" s="737"/>
      <c r="U188" s="737"/>
      <c r="V188" s="549" t="str">
        <f>CHOOSE(language,"Taxes on Profit","Taxes on Income")</f>
        <v>Taxes on Income</v>
      </c>
      <c r="W188" s="737"/>
      <c r="X188" s="737"/>
      <c r="Y188" s="737"/>
      <c r="Z188" s="737"/>
      <c r="AA188" s="737"/>
      <c r="AB188" s="737"/>
      <c r="AC188" s="737"/>
      <c r="AD188" s="737"/>
      <c r="AE188" s="565">
        <f ca="1">'Summary 04'!V31</f>
        <v>-5000</v>
      </c>
      <c r="AF188" s="566"/>
      <c r="AG188" s="587">
        <f ca="1">'Summary 04'!AA31</f>
        <v>22080.281127062201</v>
      </c>
      <c r="AH188" s="588"/>
      <c r="AI188" s="737"/>
      <c r="AJ188" s="737"/>
      <c r="AK188" s="737"/>
      <c r="AL188" s="737"/>
      <c r="AM188" s="737"/>
      <c r="AN188" s="737"/>
      <c r="AO188" s="550"/>
      <c r="AP188" s="549"/>
      <c r="AQ188" s="549"/>
      <c r="AR188" s="40"/>
    </row>
    <row r="189" spans="1:49" ht="17.25" customHeight="1">
      <c r="A189" s="877"/>
      <c r="B189" s="187"/>
      <c r="C189" s="181"/>
      <c r="D189" s="737"/>
      <c r="E189" s="737"/>
      <c r="F189" s="737"/>
      <c r="G189" s="737"/>
      <c r="H189" s="737"/>
      <c r="I189" s="737"/>
      <c r="J189" s="565"/>
      <c r="K189" s="566"/>
      <c r="L189" s="587"/>
      <c r="M189" s="588"/>
      <c r="N189" s="737"/>
      <c r="O189" s="737"/>
      <c r="P189" s="737"/>
      <c r="Q189" s="737"/>
      <c r="R189" s="737"/>
      <c r="S189" s="737"/>
      <c r="T189" s="545"/>
      <c r="U189" s="737"/>
      <c r="V189" s="181" t="s">
        <v>649</v>
      </c>
      <c r="W189" s="737"/>
      <c r="X189" s="737"/>
      <c r="Y189" s="737"/>
      <c r="Z189" s="737"/>
      <c r="AA189" s="737"/>
      <c r="AB189" s="737"/>
      <c r="AC189" s="737"/>
      <c r="AD189" s="737"/>
      <c r="AE189" s="565">
        <f ca="1">'Summary 04'!V23+'Summary 04'!V26+'Summary 04'!V28+'Summary 04'!V29</f>
        <v>24837.537277449799</v>
      </c>
      <c r="AF189" s="566"/>
      <c r="AG189" s="587">
        <f ca="1">'Summary 04'!AA23+'Summary 04'!AA26+'Summary 04'!AA28+'Summary 04'!AA29</f>
        <v>21264.983221382212</v>
      </c>
      <c r="AH189" s="588"/>
      <c r="AI189" s="737"/>
      <c r="AJ189" s="737"/>
      <c r="AK189" s="737"/>
      <c r="AL189" s="737"/>
      <c r="AM189" s="737"/>
      <c r="AN189" s="737"/>
      <c r="AO189" s="550"/>
      <c r="AP189" s="188"/>
      <c r="AQ189" s="188"/>
      <c r="AR189" s="40"/>
    </row>
    <row r="190" spans="1:49" ht="17.25" customHeight="1">
      <c r="A190" s="877"/>
      <c r="B190" s="187"/>
      <c r="C190" s="181" t="str">
        <f>IFS!C158</f>
        <v>Inventory</v>
      </c>
      <c r="D190" s="545"/>
      <c r="E190" s="545"/>
      <c r="F190" s="545"/>
      <c r="G190" s="545"/>
      <c r="H190" s="545"/>
      <c r="I190" s="545"/>
      <c r="J190" s="565">
        <f ca="1">'Summary 04'!V15</f>
        <v>22871.404438065496</v>
      </c>
      <c r="K190" s="566"/>
      <c r="L190" s="587">
        <f ca="1">'Summary 04'!AA15</f>
        <v>47063.926298615683</v>
      </c>
      <c r="M190" s="588"/>
      <c r="N190" s="737"/>
      <c r="O190" s="737"/>
      <c r="P190" s="737"/>
      <c r="Q190" s="737"/>
      <c r="R190" s="737"/>
      <c r="S190" s="737"/>
      <c r="T190" s="545"/>
      <c r="U190" s="737"/>
      <c r="V190" s="195" t="s">
        <v>321</v>
      </c>
      <c r="W190" s="550"/>
      <c r="X190" s="550"/>
      <c r="Y190" s="550"/>
      <c r="Z190" s="550"/>
      <c r="AA190" s="550"/>
      <c r="AB190" s="550"/>
      <c r="AC190" s="550"/>
      <c r="AD190" s="550"/>
      <c r="AE190" s="583">
        <f ca="1">'Summary 04'!V43</f>
        <v>190000</v>
      </c>
      <c r="AF190" s="584"/>
      <c r="AG190" s="585">
        <f ca="1">'Summary 04'!AA43</f>
        <v>215000</v>
      </c>
      <c r="AH190" s="586"/>
      <c r="AI190" s="737"/>
      <c r="AJ190" s="737"/>
      <c r="AK190" s="737"/>
      <c r="AL190" s="737"/>
      <c r="AM190" s="737"/>
      <c r="AN190" s="737"/>
      <c r="AO190" s="550"/>
      <c r="AP190" s="188"/>
      <c r="AQ190" s="188"/>
      <c r="AR190" s="40"/>
    </row>
    <row r="191" spans="1:49" ht="17.25" customHeight="1">
      <c r="A191" s="877"/>
      <c r="B191" s="187"/>
      <c r="C191" s="181" t="str">
        <f>IFS!C159</f>
        <v>Advance Payments</v>
      </c>
      <c r="D191" s="545"/>
      <c r="E191" s="545"/>
      <c r="F191" s="545"/>
      <c r="G191" s="545"/>
      <c r="H191" s="545"/>
      <c r="I191" s="545"/>
      <c r="J191" s="565">
        <f>'Summary 04'!V16</f>
        <v>0</v>
      </c>
      <c r="K191" s="566"/>
      <c r="L191" s="587">
        <f>'Summary 04'!AA16</f>
        <v>2250</v>
      </c>
      <c r="M191" s="588"/>
      <c r="N191" s="878"/>
      <c r="O191" s="878"/>
      <c r="P191" s="878"/>
      <c r="Q191" s="878"/>
      <c r="R191" s="878"/>
      <c r="S191" s="878"/>
      <c r="U191" s="737"/>
      <c r="V191" s="181"/>
      <c r="W191" s="545"/>
      <c r="X191" s="545"/>
      <c r="Y191" s="545"/>
      <c r="Z191" s="737"/>
      <c r="AA191" s="545"/>
      <c r="AB191" s="545"/>
      <c r="AC191" s="545"/>
      <c r="AD191" s="545"/>
      <c r="AE191" s="539"/>
      <c r="AF191" s="537"/>
      <c r="AG191" s="540"/>
      <c r="AH191" s="538"/>
      <c r="AI191" s="878"/>
      <c r="AJ191" s="878"/>
      <c r="AK191" s="878"/>
      <c r="AL191" s="878"/>
      <c r="AM191" s="878"/>
      <c r="AN191" s="878"/>
      <c r="AO191" s="550"/>
      <c r="AP191" s="188"/>
      <c r="AQ191" s="188"/>
      <c r="AR191" s="40"/>
    </row>
    <row r="192" spans="1:49" ht="17.25" customHeight="1">
      <c r="A192" s="877"/>
      <c r="B192" s="187"/>
      <c r="C192" s="181" t="str">
        <f>IFS!C160</f>
        <v>Accounts Receivables</v>
      </c>
      <c r="D192" s="545"/>
      <c r="E192" s="545"/>
      <c r="F192" s="545"/>
      <c r="G192" s="545"/>
      <c r="H192" s="545"/>
      <c r="I192" s="545"/>
      <c r="J192" s="565">
        <f ca="1">'Summary 04'!V17</f>
        <v>67970.387531743501</v>
      </c>
      <c r="K192" s="566"/>
      <c r="L192" s="587">
        <f ca="1">'Summary 04'!AA17</f>
        <v>141512.87883048612</v>
      </c>
      <c r="M192" s="588"/>
      <c r="N192" s="737"/>
      <c r="O192" s="737"/>
      <c r="P192" s="737"/>
      <c r="Q192" s="737"/>
      <c r="R192" s="737"/>
      <c r="S192" s="737"/>
      <c r="T192" s="545"/>
      <c r="U192" s="737"/>
      <c r="V192" s="195" t="s">
        <v>327</v>
      </c>
      <c r="W192" s="550"/>
      <c r="X192" s="550"/>
      <c r="Y192" s="550"/>
      <c r="Z192" s="550"/>
      <c r="AA192" s="550"/>
      <c r="AB192" s="550"/>
      <c r="AC192" s="550"/>
      <c r="AD192" s="550"/>
      <c r="AE192" s="583">
        <f ca="1">SUM(AE193:AF194)</f>
        <v>204883.4066268848</v>
      </c>
      <c r="AF192" s="584"/>
      <c r="AG192" s="585">
        <f ca="1">SUM(AG193:AH194)</f>
        <v>409821.12450824876</v>
      </c>
      <c r="AH192" s="586"/>
      <c r="AI192" s="737"/>
      <c r="AJ192" s="737"/>
      <c r="AK192" s="737"/>
      <c r="AL192" s="737"/>
      <c r="AM192" s="737"/>
      <c r="AN192" s="737"/>
      <c r="AO192" s="550"/>
      <c r="AP192" s="188"/>
      <c r="AQ192" s="188"/>
      <c r="AR192" s="40"/>
    </row>
    <row r="193" spans="1:44" ht="15" customHeight="1">
      <c r="A193" s="877"/>
      <c r="B193" s="187"/>
      <c r="C193" s="181" t="str">
        <f>IFS!C161</f>
        <v>VAT owed to company</v>
      </c>
      <c r="D193" s="545"/>
      <c r="E193" s="545"/>
      <c r="F193" s="545"/>
      <c r="G193" s="545"/>
      <c r="H193" s="545"/>
      <c r="I193" s="545"/>
      <c r="J193" s="565">
        <f ca="1">'Summary 04'!V18</f>
        <v>10875.262005078956</v>
      </c>
      <c r="K193" s="566"/>
      <c r="L193" s="587">
        <f ca="1">'Summary 04'!AA18</f>
        <v>22642.060612877809</v>
      </c>
      <c r="M193" s="588"/>
      <c r="N193" s="737"/>
      <c r="O193" s="737"/>
      <c r="P193" s="737"/>
      <c r="Q193" s="737"/>
      <c r="R193" s="737"/>
      <c r="S193" s="737"/>
      <c r="T193" s="545"/>
      <c r="U193" s="737"/>
      <c r="V193" s="549" t="s">
        <v>591</v>
      </c>
      <c r="W193" s="545"/>
      <c r="X193" s="545"/>
      <c r="Y193" s="545"/>
      <c r="Z193" s="737"/>
      <c r="AA193" s="545"/>
      <c r="AB193" s="545"/>
      <c r="AC193" s="545"/>
      <c r="AD193" s="545"/>
      <c r="AE193" s="565">
        <f ca="1">'Summary 04'!V47</f>
        <v>250000</v>
      </c>
      <c r="AF193" s="566"/>
      <c r="AG193" s="587">
        <f ca="1">'Summary 04'!AA47</f>
        <v>250000</v>
      </c>
      <c r="AH193" s="588"/>
      <c r="AI193" s="737"/>
      <c r="AJ193" s="737"/>
      <c r="AK193" s="737"/>
      <c r="AL193" s="737"/>
      <c r="AM193" s="737"/>
      <c r="AN193" s="737"/>
      <c r="AO193" s="550"/>
      <c r="AP193" s="188"/>
      <c r="AQ193" s="188"/>
      <c r="AR193" s="40"/>
    </row>
    <row r="194" spans="1:44" ht="17.25" customHeight="1">
      <c r="A194" s="877"/>
      <c r="B194" s="550"/>
      <c r="C194" s="181" t="str">
        <f>IFS!C162</f>
        <v>Cash at Bank</v>
      </c>
      <c r="D194" s="557"/>
      <c r="E194" s="557"/>
      <c r="F194" s="557"/>
      <c r="G194" s="557"/>
      <c r="H194" s="557"/>
      <c r="I194" s="557"/>
      <c r="J194" s="565">
        <f ca="1">'Summary 04'!V19</f>
        <v>147315.40580000001</v>
      </c>
      <c r="K194" s="566"/>
      <c r="L194" s="587">
        <f ca="1">'Summary 04'!AA19</f>
        <v>307345.19997000002</v>
      </c>
      <c r="M194" s="588"/>
      <c r="N194" s="737"/>
      <c r="O194" s="737"/>
      <c r="P194" s="737"/>
      <c r="Q194" s="737"/>
      <c r="R194" s="737"/>
      <c r="S194" s="737"/>
      <c r="T194" s="557"/>
      <c r="U194" s="737"/>
      <c r="V194" s="549" t="s">
        <v>648</v>
      </c>
      <c r="W194" s="545"/>
      <c r="X194" s="545"/>
      <c r="Y194" s="545"/>
      <c r="Z194" s="737"/>
      <c r="AA194" s="545"/>
      <c r="AB194" s="545"/>
      <c r="AC194" s="545"/>
      <c r="AD194" s="737"/>
      <c r="AE194" s="565">
        <f ca="1">'Summary 04'!V48</f>
        <v>-45116.593373115204</v>
      </c>
      <c r="AF194" s="566"/>
      <c r="AG194" s="587">
        <f ca="1">'Summary 04'!AA48</f>
        <v>159821.12450824879</v>
      </c>
      <c r="AH194" s="588"/>
      <c r="AI194" s="737"/>
      <c r="AJ194" s="737"/>
      <c r="AK194" s="737"/>
      <c r="AL194" s="737"/>
      <c r="AM194" s="737"/>
      <c r="AN194" s="737"/>
      <c r="AO194" s="550"/>
      <c r="AP194" s="549"/>
      <c r="AQ194" s="549"/>
      <c r="AR194" s="40"/>
    </row>
    <row r="195" spans="1:44" ht="12.75" customHeight="1">
      <c r="A195" s="877"/>
      <c r="B195" s="550"/>
      <c r="C195" s="181"/>
      <c r="D195" s="557"/>
      <c r="E195" s="557"/>
      <c r="F195" s="557"/>
      <c r="G195" s="557"/>
      <c r="H195" s="557"/>
      <c r="I195" s="557"/>
      <c r="J195" s="565"/>
      <c r="K195" s="566"/>
      <c r="L195" s="587"/>
      <c r="M195" s="588"/>
      <c r="N195" s="737"/>
      <c r="O195" s="737"/>
      <c r="P195" s="737"/>
      <c r="Q195" s="737"/>
      <c r="R195" s="737"/>
      <c r="S195" s="737"/>
      <c r="T195" s="557"/>
      <c r="U195" s="737"/>
      <c r="V195" s="181"/>
      <c r="W195" s="557"/>
      <c r="X195" s="557"/>
      <c r="Y195" s="557"/>
      <c r="Z195" s="737"/>
      <c r="AA195" s="557"/>
      <c r="AB195" s="557"/>
      <c r="AC195" s="557"/>
      <c r="AD195" s="557"/>
      <c r="AE195" s="565"/>
      <c r="AF195" s="566"/>
      <c r="AG195" s="587"/>
      <c r="AH195" s="588"/>
      <c r="AI195" s="737"/>
      <c r="AJ195" s="737"/>
      <c r="AK195" s="737"/>
      <c r="AL195" s="737"/>
      <c r="AM195" s="737"/>
      <c r="AN195" s="737"/>
      <c r="AO195" s="550"/>
      <c r="AP195" s="549"/>
      <c r="AQ195" s="549"/>
      <c r="AR195" s="40"/>
    </row>
    <row r="196" spans="1:44" ht="17.25" customHeight="1" thickBot="1">
      <c r="A196" s="877"/>
      <c r="B196" s="187"/>
      <c r="C196" s="197" t="s">
        <v>644</v>
      </c>
      <c r="D196" s="546"/>
      <c r="E196" s="546"/>
      <c r="F196" s="546"/>
      <c r="G196" s="546"/>
      <c r="H196" s="546"/>
      <c r="I196" s="546"/>
      <c r="J196" s="589">
        <f ca="1">J182+J188</f>
        <v>437269.80104472919</v>
      </c>
      <c r="K196" s="590"/>
      <c r="L196" s="591">
        <f ca="1">L182+L188</f>
        <v>739251.64507705905</v>
      </c>
      <c r="M196" s="592"/>
      <c r="N196" s="737"/>
      <c r="O196" s="737"/>
      <c r="P196" s="737"/>
      <c r="Q196" s="737"/>
      <c r="R196" s="737"/>
      <c r="S196" s="737"/>
      <c r="T196" s="545"/>
      <c r="U196" s="737"/>
      <c r="V196" s="197" t="s">
        <v>663</v>
      </c>
      <c r="W196" s="546"/>
      <c r="X196" s="546"/>
      <c r="Y196" s="546"/>
      <c r="Z196" s="546"/>
      <c r="AA196" s="546"/>
      <c r="AB196" s="546"/>
      <c r="AC196" s="546"/>
      <c r="AD196" s="546"/>
      <c r="AE196" s="589">
        <f ca="1">AE182+AE190+AE192</f>
        <v>437269.80104692816</v>
      </c>
      <c r="AF196" s="590"/>
      <c r="AG196" s="591">
        <f ca="1">AG182+AG190+AG192</f>
        <v>739251.64507358475</v>
      </c>
      <c r="AH196" s="592"/>
      <c r="AI196" s="737"/>
      <c r="AJ196" s="737"/>
      <c r="AK196" s="737"/>
      <c r="AL196" s="737"/>
      <c r="AM196" s="737"/>
      <c r="AN196" s="737"/>
      <c r="AO196" s="550"/>
      <c r="AP196" s="188"/>
      <c r="AQ196" s="188"/>
      <c r="AR196" s="125"/>
    </row>
    <row r="197" spans="1:44" ht="17.25" customHeight="1" thickTop="1">
      <c r="A197" s="877"/>
      <c r="B197" s="187"/>
      <c r="C197" s="545"/>
      <c r="D197" s="545"/>
      <c r="E197" s="545"/>
      <c r="F197" s="545"/>
      <c r="G197" s="545"/>
      <c r="H197" s="545"/>
      <c r="I197" s="545"/>
      <c r="J197" s="545"/>
      <c r="K197" s="545"/>
      <c r="L197" s="545"/>
      <c r="M197" s="545"/>
      <c r="N197" s="737"/>
      <c r="O197" s="737"/>
      <c r="P197" s="737"/>
      <c r="Q197" s="737"/>
      <c r="R197" s="737"/>
      <c r="S197" s="737"/>
      <c r="T197" s="545"/>
      <c r="U197" s="737"/>
      <c r="V197" s="545"/>
      <c r="W197" s="553"/>
      <c r="X197" s="545"/>
      <c r="Y197" s="545"/>
      <c r="Z197" s="545"/>
      <c r="AA197" s="545"/>
      <c r="AB197" s="545"/>
      <c r="AC197" s="545"/>
      <c r="AD197" s="545"/>
      <c r="AE197" s="545"/>
      <c r="AF197" s="545"/>
      <c r="AG197" s="545"/>
      <c r="AH197" s="545"/>
      <c r="AI197" s="737"/>
      <c r="AJ197" s="737"/>
      <c r="AK197" s="737"/>
      <c r="AL197" s="737"/>
      <c r="AM197" s="737"/>
      <c r="AN197" s="737"/>
      <c r="AO197" s="550"/>
      <c r="AP197" s="188"/>
      <c r="AQ197" s="188"/>
      <c r="AR197" s="125"/>
    </row>
    <row r="198" spans="1:44" ht="17.25" customHeight="1">
      <c r="A198" s="877"/>
      <c r="B198" s="187"/>
      <c r="C198" s="254" t="s">
        <v>645</v>
      </c>
      <c r="D198" s="255"/>
      <c r="E198" s="255"/>
      <c r="F198" s="255"/>
      <c r="G198" s="255"/>
      <c r="H198" s="255"/>
      <c r="I198" s="255"/>
      <c r="J198" s="631">
        <f ca="1">ROUND(J196-AE196,1)</f>
        <v>0</v>
      </c>
      <c r="K198" s="631"/>
      <c r="L198" s="631">
        <f ca="1">ROUND(L196-AG196,1)</f>
        <v>0</v>
      </c>
      <c r="M198" s="631"/>
      <c r="N198" s="737"/>
      <c r="O198" s="737"/>
      <c r="P198" s="737"/>
      <c r="Q198" s="737"/>
      <c r="R198" s="737"/>
      <c r="S198" s="737"/>
      <c r="T198" s="444"/>
      <c r="U198" s="444"/>
      <c r="V198" s="444"/>
      <c r="W198" s="248"/>
      <c r="X198" s="444"/>
      <c r="Y198" s="444"/>
      <c r="Z198" s="444"/>
      <c r="AA198" s="444"/>
      <c r="AB198" s="248"/>
      <c r="AD198" s="444"/>
      <c r="AE198" s="444"/>
      <c r="AF198" s="444"/>
      <c r="AG198" s="444"/>
      <c r="AH198" s="444"/>
      <c r="AI198" s="737"/>
      <c r="AJ198" s="737"/>
      <c r="AK198" s="737"/>
      <c r="AL198" s="737"/>
      <c r="AM198" s="737"/>
      <c r="AN198" s="737"/>
      <c r="AO198" s="187"/>
      <c r="AP198" s="188"/>
      <c r="AQ198" s="521"/>
      <c r="AR198" s="125"/>
    </row>
    <row r="199" spans="1:44" ht="17.25" customHeight="1">
      <c r="A199" s="877"/>
      <c r="B199" s="187"/>
      <c r="C199" s="444"/>
      <c r="D199" s="444"/>
      <c r="E199" s="444"/>
      <c r="F199" s="444"/>
      <c r="G199" s="444"/>
      <c r="H199" s="444"/>
      <c r="I199" s="444"/>
      <c r="J199" s="444"/>
      <c r="K199" s="444"/>
      <c r="L199" s="444"/>
      <c r="M199" s="444"/>
      <c r="N199" s="444"/>
      <c r="O199" s="444"/>
      <c r="P199" s="444"/>
      <c r="Q199" s="444"/>
      <c r="R199" s="444"/>
      <c r="S199" s="444"/>
      <c r="T199" s="444"/>
      <c r="U199" s="444"/>
      <c r="V199" s="444"/>
      <c r="W199" s="444"/>
      <c r="X199" s="444"/>
      <c r="Y199" s="444"/>
      <c r="Z199" s="444"/>
      <c r="AA199" s="444"/>
      <c r="AB199" s="444"/>
      <c r="AC199" s="444"/>
      <c r="AD199" s="444"/>
      <c r="AE199" s="444"/>
      <c r="AF199" s="444"/>
      <c r="AG199" s="444"/>
      <c r="AH199" s="444"/>
      <c r="AI199" s="444"/>
      <c r="AJ199" s="444"/>
      <c r="AK199" s="444"/>
      <c r="AL199" s="444"/>
      <c r="AM199" s="444"/>
      <c r="AN199" s="444"/>
      <c r="AO199" s="187"/>
      <c r="AP199" s="188"/>
      <c r="AQ199" s="188"/>
      <c r="AR199" s="125"/>
    </row>
    <row r="200" spans="1:44" ht="17.25" customHeight="1">
      <c r="A200" s="877"/>
      <c r="B200" s="187"/>
      <c r="C200" s="187"/>
      <c r="D200" s="187"/>
      <c r="E200" s="187"/>
      <c r="F200" s="187"/>
      <c r="G200" s="187"/>
      <c r="H200" s="187"/>
      <c r="I200" s="187"/>
      <c r="J200" s="872"/>
      <c r="K200" s="872"/>
      <c r="L200" s="872"/>
      <c r="M200" s="872"/>
      <c r="N200" s="872"/>
      <c r="O200" s="872"/>
      <c r="P200" s="872"/>
      <c r="Q200" s="872"/>
      <c r="R200" s="872"/>
      <c r="S200" s="872"/>
      <c r="T200" s="187"/>
      <c r="U200" s="187"/>
      <c r="V200" s="533"/>
      <c r="W200" s="533"/>
      <c r="X200" s="533"/>
      <c r="Y200" s="533"/>
      <c r="Z200" s="533"/>
      <c r="AA200" s="533"/>
      <c r="AB200" s="533"/>
      <c r="AC200" s="533"/>
      <c r="AD200" s="187"/>
      <c r="AE200" s="187"/>
      <c r="AF200" s="187"/>
      <c r="AG200" s="187"/>
      <c r="AH200" s="187"/>
      <c r="AI200" s="187"/>
      <c r="AJ200" s="187"/>
      <c r="AK200" s="187"/>
      <c r="AL200" s="187"/>
      <c r="AM200" s="187"/>
      <c r="AN200" s="187"/>
      <c r="AO200" s="187"/>
      <c r="AP200" s="188"/>
      <c r="AQ200" s="188"/>
      <c r="AR200" s="125"/>
    </row>
    <row r="201" spans="1:44" ht="17.25" customHeight="1">
      <c r="A201" s="877"/>
      <c r="B201" s="550"/>
      <c r="C201" s="550"/>
      <c r="D201" s="550"/>
      <c r="E201" s="550"/>
      <c r="F201" s="550"/>
      <c r="G201" s="877"/>
      <c r="H201" s="877"/>
      <c r="I201" s="877"/>
      <c r="J201" s="877"/>
      <c r="K201" s="877"/>
      <c r="L201" s="877"/>
      <c r="M201" s="877"/>
      <c r="N201" s="877"/>
      <c r="O201" s="877"/>
      <c r="P201" s="877"/>
      <c r="Q201" s="877"/>
      <c r="R201" s="877"/>
      <c r="S201" s="877"/>
      <c r="T201" s="877"/>
      <c r="U201" s="877"/>
      <c r="V201" s="550"/>
      <c r="W201" s="550"/>
      <c r="X201" s="550"/>
      <c r="Y201" s="550"/>
      <c r="Z201" s="550"/>
      <c r="AA201" s="550"/>
      <c r="AB201" s="550"/>
      <c r="AC201" s="550"/>
      <c r="AD201" s="550"/>
      <c r="AE201" s="550"/>
      <c r="AF201" s="550"/>
      <c r="AG201" s="550"/>
      <c r="AH201" s="550"/>
      <c r="AI201" s="550"/>
      <c r="AJ201" s="550"/>
      <c r="AK201" s="550"/>
      <c r="AL201" s="550"/>
      <c r="AM201" s="550"/>
      <c r="AN201" s="550"/>
      <c r="AO201" s="550"/>
      <c r="AP201" s="549"/>
      <c r="AQ201" s="549"/>
      <c r="AR201" s="125"/>
    </row>
    <row r="202" spans="1:44" ht="24.75" customHeight="1">
      <c r="A202" s="877"/>
      <c r="B202" s="877"/>
      <c r="C202" s="877"/>
      <c r="D202" s="877"/>
      <c r="E202" s="877"/>
      <c r="F202" s="877"/>
      <c r="G202" s="877"/>
      <c r="H202" s="877"/>
      <c r="I202" s="877"/>
      <c r="J202" s="877"/>
      <c r="K202" s="877"/>
      <c r="L202" s="877"/>
      <c r="M202" s="877"/>
      <c r="N202" s="877"/>
      <c r="O202" s="877"/>
      <c r="P202" s="877"/>
      <c r="Q202" s="877"/>
      <c r="R202" s="877"/>
      <c r="S202" s="877"/>
      <c r="T202" s="877"/>
      <c r="U202" s="877"/>
      <c r="V202" s="877"/>
      <c r="W202" s="877"/>
      <c r="X202" s="877"/>
      <c r="Y202" s="877"/>
      <c r="Z202" s="877"/>
      <c r="AA202" s="877"/>
      <c r="AB202" s="877"/>
      <c r="AC202" s="877"/>
      <c r="AD202" s="877"/>
      <c r="AE202" s="877"/>
      <c r="AF202" s="877"/>
      <c r="AG202" s="877"/>
      <c r="AH202" s="877"/>
      <c r="AI202" s="877"/>
      <c r="AJ202" s="877"/>
      <c r="AK202" s="877"/>
      <c r="AL202" s="877"/>
      <c r="AM202" s="877"/>
      <c r="AN202" s="877"/>
      <c r="AO202" s="877"/>
      <c r="AP202" s="526"/>
      <c r="AQ202" s="523"/>
      <c r="AR202" s="125"/>
    </row>
    <row r="203" spans="1:44" ht="21.75" customHeight="1">
      <c r="A203" s="877"/>
      <c r="B203" s="877"/>
      <c r="C203" s="877"/>
      <c r="D203" s="877"/>
      <c r="E203" s="877"/>
      <c r="F203" s="877"/>
      <c r="G203" s="877"/>
      <c r="H203" s="877"/>
      <c r="I203" s="877"/>
      <c r="J203" s="877"/>
      <c r="K203" s="877"/>
      <c r="L203" s="877"/>
      <c r="M203" s="877"/>
      <c r="N203" s="877"/>
      <c r="O203" s="877"/>
      <c r="P203" s="877"/>
      <c r="Q203" s="877"/>
      <c r="R203" s="877"/>
      <c r="S203" s="877"/>
      <c r="T203" s="877"/>
      <c r="U203" s="877"/>
      <c r="V203" s="877"/>
      <c r="W203" s="877"/>
      <c r="X203" s="877"/>
      <c r="Y203" s="877"/>
      <c r="Z203" s="877"/>
      <c r="AA203" s="877"/>
      <c r="AB203" s="877"/>
      <c r="AC203" s="877"/>
      <c r="AD203" s="877"/>
      <c r="AE203" s="877"/>
      <c r="AF203" s="877"/>
      <c r="AG203" s="877"/>
      <c r="AH203" s="877"/>
      <c r="AI203" s="877"/>
      <c r="AJ203" s="877"/>
      <c r="AK203" s="877"/>
      <c r="AL203" s="877"/>
      <c r="AM203" s="877"/>
      <c r="AN203" s="877"/>
      <c r="AO203" s="877"/>
      <c r="AP203" s="526"/>
      <c r="AQ203" s="523"/>
      <c r="AR203" s="125"/>
    </row>
    <row r="204" spans="1:44" ht="17.25" customHeight="1">
      <c r="A204" s="877"/>
      <c r="B204" s="877"/>
      <c r="C204" s="877"/>
      <c r="D204" s="877"/>
      <c r="E204" s="877"/>
      <c r="F204" s="877"/>
      <c r="G204" s="877"/>
      <c r="H204" s="877"/>
      <c r="I204" s="877"/>
      <c r="J204" s="877"/>
      <c r="K204" s="877"/>
      <c r="L204" s="877"/>
      <c r="M204" s="877"/>
      <c r="N204" s="877"/>
      <c r="O204" s="877"/>
      <c r="P204" s="877"/>
      <c r="Q204" s="877"/>
      <c r="R204" s="877"/>
      <c r="S204" s="877"/>
      <c r="T204" s="877"/>
      <c r="U204" s="877"/>
      <c r="V204" s="877"/>
      <c r="W204" s="877"/>
      <c r="X204" s="877"/>
      <c r="Y204" s="877"/>
      <c r="Z204" s="877"/>
      <c r="AA204" s="877"/>
      <c r="AB204" s="877"/>
      <c r="AC204" s="877"/>
      <c r="AD204" s="877"/>
      <c r="AE204" s="877"/>
      <c r="AF204" s="877"/>
      <c r="AG204" s="877"/>
      <c r="AH204" s="877"/>
      <c r="AI204" s="877"/>
      <c r="AJ204" s="877"/>
      <c r="AK204" s="877"/>
      <c r="AL204" s="877"/>
      <c r="AM204" s="877"/>
      <c r="AN204" s="877"/>
      <c r="AO204" s="877"/>
      <c r="AP204" s="526"/>
      <c r="AQ204" s="523"/>
      <c r="AR204" s="125"/>
    </row>
    <row r="205" spans="1:44" ht="17.25" customHeight="1">
      <c r="A205" s="877"/>
      <c r="B205" s="877"/>
      <c r="C205" s="877"/>
      <c r="D205" s="877"/>
      <c r="E205" s="877"/>
      <c r="F205" s="877"/>
      <c r="G205" s="877"/>
      <c r="H205" s="877"/>
      <c r="I205" s="877"/>
      <c r="J205" s="877"/>
      <c r="K205" s="877"/>
      <c r="L205" s="877"/>
      <c r="M205" s="877"/>
      <c r="N205" s="877"/>
      <c r="O205" s="877"/>
      <c r="P205" s="877"/>
      <c r="Q205" s="877"/>
      <c r="R205" s="877"/>
      <c r="S205" s="877"/>
      <c r="T205" s="877"/>
      <c r="U205" s="877"/>
      <c r="V205" s="877"/>
      <c r="W205" s="877"/>
      <c r="X205" s="877"/>
      <c r="Y205" s="877"/>
      <c r="Z205" s="877"/>
      <c r="AA205" s="877"/>
      <c r="AB205" s="877"/>
      <c r="AC205" s="877"/>
      <c r="AD205" s="877"/>
      <c r="AE205" s="877"/>
      <c r="AF205" s="877"/>
      <c r="AG205" s="877"/>
      <c r="AH205" s="877"/>
      <c r="AI205" s="877"/>
      <c r="AJ205" s="877"/>
      <c r="AK205" s="877"/>
      <c r="AL205" s="877"/>
      <c r="AM205" s="877"/>
      <c r="AN205" s="877"/>
      <c r="AO205" s="877"/>
      <c r="AP205" s="526"/>
      <c r="AQ205" s="523"/>
      <c r="AR205" s="125"/>
    </row>
    <row r="206" spans="1:44" ht="17.25" customHeight="1">
      <c r="A206" s="877"/>
      <c r="B206" s="877"/>
      <c r="C206" s="877"/>
      <c r="D206" s="877"/>
      <c r="E206" s="877"/>
      <c r="F206" s="877"/>
      <c r="G206" s="877"/>
      <c r="H206" s="877"/>
      <c r="I206" s="877"/>
      <c r="J206" s="877"/>
      <c r="K206" s="877"/>
      <c r="L206" s="877"/>
      <c r="M206" s="877"/>
      <c r="N206" s="877"/>
      <c r="O206" s="877"/>
      <c r="P206" s="877"/>
      <c r="Q206" s="877"/>
      <c r="R206" s="877"/>
      <c r="S206" s="877"/>
      <c r="T206" s="877"/>
      <c r="U206" s="877"/>
      <c r="V206" s="877"/>
      <c r="W206" s="877"/>
      <c r="X206" s="877"/>
      <c r="Y206" s="877"/>
      <c r="Z206" s="877"/>
      <c r="AA206" s="877"/>
      <c r="AB206" s="877"/>
      <c r="AC206" s="877"/>
      <c r="AD206" s="877"/>
      <c r="AE206" s="877"/>
      <c r="AF206" s="877"/>
      <c r="AG206" s="877"/>
      <c r="AH206" s="877"/>
      <c r="AI206" s="877"/>
      <c r="AJ206" s="877"/>
      <c r="AK206" s="877"/>
      <c r="AL206" s="877"/>
      <c r="AM206" s="877"/>
      <c r="AN206" s="877"/>
      <c r="AO206" s="877"/>
      <c r="AP206" s="526"/>
      <c r="AQ206" s="523"/>
      <c r="AR206" s="125"/>
    </row>
    <row r="207" spans="1:44" ht="17.25" customHeight="1">
      <c r="A207" s="877"/>
      <c r="B207" s="877"/>
      <c r="C207" s="877"/>
      <c r="D207" s="877"/>
      <c r="E207" s="877"/>
      <c r="F207" s="877"/>
      <c r="G207" s="877"/>
      <c r="H207" s="877"/>
      <c r="I207" s="877"/>
      <c r="J207" s="877"/>
      <c r="K207" s="877"/>
      <c r="L207" s="877"/>
      <c r="M207" s="877"/>
      <c r="N207" s="877"/>
      <c r="O207" s="877"/>
      <c r="P207" s="877"/>
      <c r="Q207" s="877"/>
      <c r="R207" s="877"/>
      <c r="S207" s="877"/>
      <c r="T207" s="877"/>
      <c r="U207" s="877"/>
      <c r="V207" s="877"/>
      <c r="W207" s="877"/>
      <c r="X207" s="877"/>
      <c r="Y207" s="877"/>
      <c r="Z207" s="877"/>
      <c r="AA207" s="877"/>
      <c r="AB207" s="877"/>
      <c r="AC207" s="877"/>
      <c r="AD207" s="877"/>
      <c r="AE207" s="877"/>
      <c r="AF207" s="877"/>
      <c r="AG207" s="877"/>
      <c r="AH207" s="877"/>
      <c r="AI207" s="877"/>
      <c r="AJ207" s="877"/>
      <c r="AK207" s="877"/>
      <c r="AL207" s="877"/>
      <c r="AM207" s="877"/>
      <c r="AN207" s="877"/>
      <c r="AO207" s="877"/>
      <c r="AP207" s="526"/>
      <c r="AQ207" s="523"/>
      <c r="AR207" s="125"/>
    </row>
    <row r="208" spans="1:44" ht="17.25" customHeight="1">
      <c r="A208" s="877"/>
      <c r="B208" s="877"/>
      <c r="C208" s="877"/>
      <c r="D208" s="877"/>
      <c r="E208" s="877"/>
      <c r="F208" s="877"/>
      <c r="G208" s="877"/>
      <c r="H208" s="877"/>
      <c r="I208" s="877"/>
      <c r="J208" s="877"/>
      <c r="K208" s="877"/>
      <c r="L208" s="877"/>
      <c r="M208" s="877"/>
      <c r="N208" s="877"/>
      <c r="O208" s="877"/>
      <c r="P208" s="877"/>
      <c r="Q208" s="877"/>
      <c r="R208" s="877"/>
      <c r="S208" s="877"/>
      <c r="T208" s="877"/>
      <c r="U208" s="877"/>
      <c r="V208" s="877"/>
      <c r="W208" s="877"/>
      <c r="X208" s="877"/>
      <c r="Y208" s="877"/>
      <c r="Z208" s="877"/>
      <c r="AA208" s="877"/>
      <c r="AB208" s="877"/>
      <c r="AC208" s="877"/>
      <c r="AD208" s="877"/>
      <c r="AE208" s="877"/>
      <c r="AF208" s="877"/>
      <c r="AG208" s="877"/>
      <c r="AH208" s="877"/>
      <c r="AI208" s="877"/>
      <c r="AJ208" s="877"/>
      <c r="AK208" s="877"/>
      <c r="AL208" s="877"/>
      <c r="AM208" s="877"/>
      <c r="AN208" s="877"/>
      <c r="AO208" s="877"/>
      <c r="AP208" s="526"/>
      <c r="AQ208" s="523"/>
      <c r="AR208" s="125"/>
    </row>
    <row r="209" spans="1:44" ht="17.25" customHeight="1">
      <c r="A209" s="877"/>
      <c r="B209" s="877"/>
      <c r="C209" s="877"/>
      <c r="D209" s="877"/>
      <c r="E209" s="877"/>
      <c r="F209" s="877"/>
      <c r="G209" s="877"/>
      <c r="H209" s="877"/>
      <c r="I209" s="877"/>
      <c r="J209" s="877"/>
      <c r="K209" s="877"/>
      <c r="L209" s="877"/>
      <c r="M209" s="877"/>
      <c r="N209" s="877"/>
      <c r="O209" s="877"/>
      <c r="P209" s="877"/>
      <c r="Q209" s="877"/>
      <c r="R209" s="877"/>
      <c r="S209" s="877"/>
      <c r="T209" s="877"/>
      <c r="U209" s="877"/>
      <c r="V209" s="877"/>
      <c r="W209" s="877"/>
      <c r="X209" s="877"/>
      <c r="Y209" s="877"/>
      <c r="Z209" s="877"/>
      <c r="AA209" s="877"/>
      <c r="AB209" s="877"/>
      <c r="AC209" s="877"/>
      <c r="AD209" s="877"/>
      <c r="AE209" s="877"/>
      <c r="AF209" s="877"/>
      <c r="AG209" s="877"/>
      <c r="AH209" s="877"/>
      <c r="AI209" s="877"/>
      <c r="AJ209" s="877"/>
      <c r="AK209" s="877"/>
      <c r="AL209" s="877"/>
      <c r="AM209" s="877"/>
      <c r="AN209" s="877"/>
      <c r="AO209" s="877"/>
      <c r="AP209" s="526"/>
      <c r="AQ209" s="523"/>
      <c r="AR209" s="125"/>
    </row>
    <row r="210" spans="1:44" ht="17.25" customHeight="1">
      <c r="A210" s="877"/>
      <c r="B210" s="877"/>
      <c r="C210" s="877"/>
      <c r="D210" s="877"/>
      <c r="E210" s="877"/>
      <c r="F210" s="877"/>
      <c r="G210" s="877"/>
      <c r="H210" s="877"/>
      <c r="I210" s="877"/>
      <c r="J210" s="877"/>
      <c r="K210" s="877"/>
      <c r="L210" s="877"/>
      <c r="M210" s="877"/>
      <c r="N210" s="877"/>
      <c r="O210" s="877"/>
      <c r="P210" s="877"/>
      <c r="Q210" s="877"/>
      <c r="R210" s="877"/>
      <c r="S210" s="877"/>
      <c r="T210" s="877"/>
      <c r="U210" s="877"/>
      <c r="V210" s="877"/>
      <c r="W210" s="877"/>
      <c r="X210" s="877"/>
      <c r="Y210" s="877"/>
      <c r="Z210" s="877"/>
      <c r="AA210" s="877"/>
      <c r="AB210" s="877"/>
      <c r="AC210" s="877"/>
      <c r="AD210" s="877"/>
      <c r="AE210" s="877"/>
      <c r="AF210" s="877"/>
      <c r="AG210" s="877"/>
      <c r="AH210" s="877"/>
      <c r="AI210" s="877"/>
      <c r="AJ210" s="877"/>
      <c r="AK210" s="877"/>
      <c r="AL210" s="877"/>
      <c r="AM210" s="877"/>
      <c r="AN210" s="877"/>
      <c r="AO210" s="877"/>
      <c r="AP210" s="526"/>
      <c r="AQ210" s="523"/>
      <c r="AR210" s="125"/>
    </row>
    <row r="211" spans="1:44" ht="17.25" customHeight="1">
      <c r="A211" s="877"/>
      <c r="B211" s="877"/>
      <c r="C211" s="877"/>
      <c r="D211" s="877"/>
      <c r="E211" s="877"/>
      <c r="F211" s="877"/>
      <c r="G211" s="877"/>
      <c r="H211" s="877"/>
      <c r="I211" s="877"/>
      <c r="J211" s="877"/>
      <c r="K211" s="877"/>
      <c r="L211" s="877"/>
      <c r="M211" s="877"/>
      <c r="N211" s="877"/>
      <c r="O211" s="877"/>
      <c r="P211" s="877"/>
      <c r="Q211" s="877"/>
      <c r="R211" s="877"/>
      <c r="S211" s="877"/>
      <c r="T211" s="877"/>
      <c r="U211" s="877"/>
      <c r="V211" s="877"/>
      <c r="W211" s="877"/>
      <c r="X211" s="877"/>
      <c r="Y211" s="877"/>
      <c r="Z211" s="877"/>
      <c r="AA211" s="877"/>
      <c r="AB211" s="877"/>
      <c r="AC211" s="877"/>
      <c r="AD211" s="877"/>
      <c r="AE211" s="877"/>
      <c r="AF211" s="877"/>
      <c r="AG211" s="877"/>
      <c r="AH211" s="877"/>
      <c r="AI211" s="877"/>
      <c r="AJ211" s="877"/>
      <c r="AK211" s="877"/>
      <c r="AL211" s="877"/>
      <c r="AM211" s="877"/>
      <c r="AN211" s="877"/>
      <c r="AO211" s="877"/>
      <c r="AP211" s="526"/>
      <c r="AQ211" s="523"/>
      <c r="AR211" s="125"/>
    </row>
    <row r="212" spans="1:44" ht="17.25" customHeight="1">
      <c r="A212" s="877"/>
      <c r="B212" s="877"/>
      <c r="C212" s="877"/>
      <c r="D212" s="877"/>
      <c r="E212" s="877"/>
      <c r="F212" s="877"/>
      <c r="G212" s="877"/>
      <c r="H212" s="877"/>
      <c r="I212" s="877"/>
      <c r="J212" s="877"/>
      <c r="K212" s="877"/>
      <c r="L212" s="877"/>
      <c r="M212" s="877"/>
      <c r="N212" s="877"/>
      <c r="O212" s="877"/>
      <c r="P212" s="877"/>
      <c r="Q212" s="877"/>
      <c r="R212" s="877"/>
      <c r="S212" s="877"/>
      <c r="T212" s="877"/>
      <c r="U212" s="877"/>
      <c r="V212" s="877"/>
      <c r="W212" s="877"/>
      <c r="X212" s="877"/>
      <c r="Y212" s="877"/>
      <c r="Z212" s="877"/>
      <c r="AA212" s="877"/>
      <c r="AB212" s="877"/>
      <c r="AC212" s="877"/>
      <c r="AD212" s="877"/>
      <c r="AE212" s="877"/>
      <c r="AF212" s="877"/>
      <c r="AG212" s="877"/>
      <c r="AH212" s="877"/>
      <c r="AI212" s="877"/>
      <c r="AJ212" s="877"/>
      <c r="AK212" s="877"/>
      <c r="AL212" s="877"/>
      <c r="AM212" s="877"/>
      <c r="AN212" s="877"/>
      <c r="AO212" s="877"/>
      <c r="AP212" s="526"/>
      <c r="AQ212" s="523"/>
      <c r="AR212" s="125"/>
    </row>
    <row r="213" spans="1:44" ht="12" customHeight="1">
      <c r="A213" s="877"/>
      <c r="B213" s="877"/>
      <c r="C213" s="877"/>
      <c r="D213" s="877"/>
      <c r="E213" s="877"/>
      <c r="F213" s="877"/>
      <c r="G213" s="877"/>
      <c r="H213" s="877"/>
      <c r="I213" s="877"/>
      <c r="J213" s="877"/>
      <c r="K213" s="877"/>
      <c r="L213" s="877"/>
      <c r="M213" s="877"/>
      <c r="N213" s="877"/>
      <c r="O213" s="877"/>
      <c r="P213" s="877"/>
      <c r="Q213" s="877"/>
      <c r="R213" s="877"/>
      <c r="S213" s="877"/>
      <c r="T213" s="877"/>
      <c r="U213" s="877"/>
      <c r="V213" s="877"/>
      <c r="W213" s="877"/>
      <c r="X213" s="877"/>
      <c r="Y213" s="877"/>
      <c r="Z213" s="877"/>
      <c r="AA213" s="877"/>
      <c r="AB213" s="877"/>
      <c r="AC213" s="877"/>
      <c r="AD213" s="877"/>
      <c r="AE213" s="877"/>
      <c r="AF213" s="877"/>
      <c r="AG213" s="877"/>
      <c r="AH213" s="877"/>
      <c r="AI213" s="877"/>
      <c r="AJ213" s="877"/>
      <c r="AK213" s="877"/>
      <c r="AL213" s="877"/>
      <c r="AM213" s="877"/>
      <c r="AN213" s="877"/>
      <c r="AO213" s="877"/>
      <c r="AP213" s="526"/>
      <c r="AQ213" s="523"/>
      <c r="AR213" s="125"/>
    </row>
    <row r="214" spans="1:44" ht="17.25" customHeight="1">
      <c r="A214" s="877"/>
      <c r="B214" s="877"/>
      <c r="C214" s="877"/>
      <c r="D214" s="877"/>
      <c r="E214" s="877"/>
      <c r="F214" s="877"/>
      <c r="G214" s="877"/>
      <c r="H214" s="877"/>
      <c r="I214" s="877"/>
      <c r="J214" s="877"/>
      <c r="K214" s="877"/>
      <c r="L214" s="877"/>
      <c r="M214" s="877"/>
      <c r="N214" s="877"/>
      <c r="O214" s="877"/>
      <c r="P214" s="877"/>
      <c r="Q214" s="877"/>
      <c r="R214" s="877"/>
      <c r="S214" s="877"/>
      <c r="T214" s="877"/>
      <c r="U214" s="877"/>
      <c r="V214" s="877"/>
      <c r="W214" s="877"/>
      <c r="X214" s="877"/>
      <c r="Y214" s="877"/>
      <c r="Z214" s="877"/>
      <c r="AA214" s="877"/>
      <c r="AB214" s="877"/>
      <c r="AC214" s="877"/>
      <c r="AD214" s="877"/>
      <c r="AE214" s="877"/>
      <c r="AF214" s="877"/>
      <c r="AG214" s="877"/>
      <c r="AH214" s="877"/>
      <c r="AI214" s="877"/>
      <c r="AJ214" s="877"/>
      <c r="AK214" s="877"/>
      <c r="AL214" s="877"/>
      <c r="AM214" s="877"/>
      <c r="AN214" s="877"/>
      <c r="AO214" s="877"/>
      <c r="AP214" s="526"/>
      <c r="AQ214" s="523"/>
      <c r="AR214" s="125"/>
    </row>
    <row r="215" spans="1:44" ht="17.25" customHeight="1">
      <c r="A215" s="877"/>
      <c r="B215" s="877"/>
      <c r="C215" s="877"/>
      <c r="D215" s="877"/>
      <c r="E215" s="877"/>
      <c r="F215" s="877"/>
      <c r="G215" s="877"/>
      <c r="H215" s="877"/>
      <c r="I215" s="877"/>
      <c r="J215" s="877"/>
      <c r="K215" s="877"/>
      <c r="L215" s="877"/>
      <c r="M215" s="877"/>
      <c r="N215" s="877"/>
      <c r="O215" s="877"/>
      <c r="P215" s="877"/>
      <c r="Q215" s="877"/>
      <c r="R215" s="877"/>
      <c r="S215" s="877"/>
      <c r="T215" s="877"/>
      <c r="U215" s="877"/>
      <c r="V215" s="877"/>
      <c r="W215" s="877"/>
      <c r="X215" s="877"/>
      <c r="Y215" s="877"/>
      <c r="Z215" s="877"/>
      <c r="AA215" s="877"/>
      <c r="AB215" s="877"/>
      <c r="AC215" s="877"/>
      <c r="AD215" s="877"/>
      <c r="AE215" s="877"/>
      <c r="AF215" s="877"/>
      <c r="AG215" s="877"/>
      <c r="AH215" s="877"/>
      <c r="AI215" s="877"/>
      <c r="AJ215" s="877"/>
      <c r="AK215" s="877"/>
      <c r="AL215" s="877"/>
      <c r="AM215" s="877"/>
      <c r="AN215" s="877"/>
      <c r="AO215" s="877"/>
      <c r="AP215" s="526"/>
      <c r="AQ215" s="525"/>
      <c r="AR215" s="125"/>
    </row>
    <row r="216" spans="1:44" ht="17.25" customHeight="1">
      <c r="A216" s="877"/>
      <c r="B216" s="877"/>
      <c r="C216" s="877"/>
      <c r="D216" s="877"/>
      <c r="E216" s="877"/>
      <c r="F216" s="877"/>
      <c r="G216" s="877"/>
      <c r="H216" s="877"/>
      <c r="I216" s="877"/>
      <c r="J216" s="877"/>
      <c r="K216" s="877"/>
      <c r="L216" s="877"/>
      <c r="M216" s="877"/>
      <c r="N216" s="877"/>
      <c r="O216" s="877"/>
      <c r="P216" s="877"/>
      <c r="Q216" s="877"/>
      <c r="R216" s="877"/>
      <c r="S216" s="877"/>
      <c r="T216" s="877"/>
      <c r="U216" s="877"/>
      <c r="V216" s="877"/>
      <c r="W216" s="877"/>
      <c r="X216" s="877"/>
      <c r="Y216" s="877"/>
      <c r="Z216" s="877"/>
      <c r="AA216" s="877"/>
      <c r="AB216" s="877"/>
      <c r="AC216" s="877"/>
      <c r="AD216" s="877"/>
      <c r="AE216" s="877"/>
      <c r="AF216" s="877"/>
      <c r="AG216" s="877"/>
      <c r="AH216" s="877"/>
      <c r="AI216" s="877"/>
      <c r="AJ216" s="877"/>
      <c r="AK216" s="877"/>
      <c r="AL216" s="877"/>
      <c r="AM216" s="877"/>
      <c r="AN216" s="877"/>
      <c r="AO216" s="877"/>
      <c r="AP216" s="526"/>
      <c r="AQ216" s="525"/>
      <c r="AR216" s="125"/>
    </row>
    <row r="217" spans="1:44" ht="17.25" customHeight="1">
      <c r="A217" s="877"/>
      <c r="B217" s="877"/>
      <c r="C217" s="877"/>
      <c r="D217" s="877"/>
      <c r="E217" s="877"/>
      <c r="F217" s="877"/>
      <c r="G217" s="877"/>
      <c r="H217" s="877"/>
      <c r="I217" s="877"/>
      <c r="J217" s="877"/>
      <c r="K217" s="877"/>
      <c r="L217" s="877"/>
      <c r="M217" s="877"/>
      <c r="N217" s="877"/>
      <c r="O217" s="877"/>
      <c r="P217" s="877"/>
      <c r="Q217" s="877"/>
      <c r="R217" s="877"/>
      <c r="S217" s="877"/>
      <c r="T217" s="877"/>
      <c r="U217" s="877"/>
      <c r="V217" s="877"/>
      <c r="W217" s="877"/>
      <c r="X217" s="877"/>
      <c r="Y217" s="877"/>
      <c r="Z217" s="877"/>
      <c r="AA217" s="877"/>
      <c r="AB217" s="877"/>
      <c r="AC217" s="877"/>
      <c r="AD217" s="877"/>
      <c r="AE217" s="877"/>
      <c r="AF217" s="877"/>
      <c r="AG217" s="877"/>
      <c r="AH217" s="877"/>
      <c r="AI217" s="877"/>
      <c r="AJ217" s="877"/>
      <c r="AK217" s="877"/>
      <c r="AL217" s="877"/>
      <c r="AM217" s="877"/>
      <c r="AN217" s="877"/>
      <c r="AO217" s="877"/>
      <c r="AP217" s="526"/>
      <c r="AQ217" s="525"/>
      <c r="AR217" s="125"/>
    </row>
    <row r="218" spans="1:44" ht="17.25" customHeight="1">
      <c r="A218" s="877"/>
      <c r="B218" s="877"/>
      <c r="C218" s="877"/>
      <c r="D218" s="877"/>
      <c r="E218" s="877"/>
      <c r="F218" s="877"/>
      <c r="G218" s="877"/>
      <c r="H218" s="877"/>
      <c r="I218" s="877"/>
      <c r="J218" s="877"/>
      <c r="K218" s="877"/>
      <c r="L218" s="877"/>
      <c r="M218" s="877"/>
      <c r="N218" s="877"/>
      <c r="O218" s="877"/>
      <c r="P218" s="877"/>
      <c r="Q218" s="877"/>
      <c r="R218" s="877"/>
      <c r="S218" s="877"/>
      <c r="T218" s="877"/>
      <c r="U218" s="877"/>
      <c r="V218" s="877"/>
      <c r="W218" s="877"/>
      <c r="X218" s="877"/>
      <c r="Y218" s="877"/>
      <c r="Z218" s="877"/>
      <c r="AA218" s="877"/>
      <c r="AB218" s="877"/>
      <c r="AC218" s="877"/>
      <c r="AD218" s="877"/>
      <c r="AE218" s="877"/>
      <c r="AF218" s="877"/>
      <c r="AG218" s="877"/>
      <c r="AH218" s="877"/>
      <c r="AI218" s="877"/>
      <c r="AJ218" s="877"/>
      <c r="AK218" s="877"/>
      <c r="AL218" s="877"/>
      <c r="AM218" s="877"/>
      <c r="AN218" s="877"/>
      <c r="AO218" s="877"/>
      <c r="AP218" s="526"/>
      <c r="AQ218" s="525"/>
      <c r="AR218" s="125"/>
    </row>
    <row r="219" spans="1:44" ht="17.25" customHeight="1">
      <c r="A219" s="877"/>
      <c r="B219" s="877"/>
      <c r="C219" s="877"/>
      <c r="D219" s="877"/>
      <c r="E219" s="877"/>
      <c r="F219" s="877"/>
      <c r="G219" s="877"/>
      <c r="H219" s="877"/>
      <c r="I219" s="877"/>
      <c r="J219" s="877"/>
      <c r="K219" s="877"/>
      <c r="L219" s="877"/>
      <c r="M219" s="877"/>
      <c r="N219" s="877"/>
      <c r="O219" s="877"/>
      <c r="P219" s="877"/>
      <c r="Q219" s="877"/>
      <c r="R219" s="877"/>
      <c r="S219" s="877"/>
      <c r="T219" s="877"/>
      <c r="U219" s="877"/>
      <c r="V219" s="877"/>
      <c r="W219" s="877"/>
      <c r="X219" s="877"/>
      <c r="Y219" s="877"/>
      <c r="Z219" s="877"/>
      <c r="AA219" s="877"/>
      <c r="AB219" s="877"/>
      <c r="AC219" s="877"/>
      <c r="AD219" s="877"/>
      <c r="AE219" s="877"/>
      <c r="AF219" s="877"/>
      <c r="AG219" s="877"/>
      <c r="AH219" s="877"/>
      <c r="AI219" s="877"/>
      <c r="AJ219" s="877"/>
      <c r="AK219" s="877"/>
      <c r="AL219" s="877"/>
      <c r="AM219" s="877"/>
      <c r="AN219" s="877"/>
      <c r="AO219" s="877"/>
      <c r="AP219" s="526"/>
      <c r="AQ219" s="523"/>
      <c r="AR219" s="125"/>
    </row>
    <row r="220" spans="1:44" ht="17.25" customHeight="1">
      <c r="A220" s="877"/>
      <c r="B220" s="877"/>
      <c r="C220" s="877"/>
      <c r="D220" s="877"/>
      <c r="E220" s="877"/>
      <c r="F220" s="877"/>
      <c r="G220" s="877"/>
      <c r="H220" s="877"/>
      <c r="I220" s="877"/>
      <c r="J220" s="877"/>
      <c r="K220" s="877"/>
      <c r="L220" s="877"/>
      <c r="M220" s="877"/>
      <c r="N220" s="877"/>
      <c r="O220" s="877"/>
      <c r="P220" s="877"/>
      <c r="Q220" s="877"/>
      <c r="R220" s="877"/>
      <c r="S220" s="877"/>
      <c r="T220" s="877"/>
      <c r="U220" s="877"/>
      <c r="V220" s="877"/>
      <c r="W220" s="877"/>
      <c r="X220" s="877"/>
      <c r="Y220" s="877"/>
      <c r="Z220" s="877"/>
      <c r="AA220" s="877"/>
      <c r="AB220" s="877"/>
      <c r="AC220" s="877"/>
      <c r="AD220" s="877"/>
      <c r="AE220" s="877"/>
      <c r="AF220" s="877"/>
      <c r="AG220" s="877"/>
      <c r="AH220" s="877"/>
      <c r="AI220" s="877"/>
      <c r="AJ220" s="877"/>
      <c r="AK220" s="877"/>
      <c r="AL220" s="877"/>
      <c r="AM220" s="877"/>
      <c r="AN220" s="877"/>
      <c r="AO220" s="877"/>
      <c r="AP220" s="526"/>
      <c r="AQ220" s="523"/>
      <c r="AR220" s="125"/>
    </row>
    <row r="221" spans="1:44" ht="17.25" customHeight="1">
      <c r="A221" s="877"/>
      <c r="B221" s="877"/>
      <c r="C221" s="877"/>
      <c r="D221" s="877"/>
      <c r="E221" s="877"/>
      <c r="F221" s="877"/>
      <c r="G221" s="877"/>
      <c r="H221" s="877"/>
      <c r="I221" s="877"/>
      <c r="J221" s="877"/>
      <c r="K221" s="877"/>
      <c r="L221" s="877"/>
      <c r="M221" s="877"/>
      <c r="N221" s="877"/>
      <c r="O221" s="877"/>
      <c r="P221" s="877"/>
      <c r="Q221" s="877"/>
      <c r="R221" s="877"/>
      <c r="S221" s="877"/>
      <c r="T221" s="877"/>
      <c r="U221" s="550"/>
      <c r="V221" s="550"/>
      <c r="W221" s="550"/>
      <c r="X221" s="550"/>
      <c r="Y221" s="550"/>
      <c r="Z221" s="550"/>
      <c r="AA221" s="550"/>
      <c r="AB221" s="550"/>
      <c r="AC221" s="527"/>
      <c r="AD221" s="527"/>
      <c r="AE221" s="527"/>
      <c r="AF221" s="527"/>
      <c r="AG221" s="527"/>
      <c r="AH221" s="527"/>
      <c r="AI221" s="527"/>
      <c r="AJ221" s="527"/>
      <c r="AK221" s="527"/>
      <c r="AL221" s="527"/>
      <c r="AM221" s="527"/>
      <c r="AN221" s="527"/>
      <c r="AO221" s="527"/>
      <c r="AP221" s="528"/>
      <c r="AQ221" s="528"/>
      <c r="AR221" s="125"/>
    </row>
    <row r="222" spans="1:44" ht="22.5" customHeight="1">
      <c r="A222" s="877"/>
      <c r="B222" s="187"/>
      <c r="C222" s="877"/>
      <c r="D222" s="877"/>
      <c r="E222" s="877"/>
      <c r="F222" s="877"/>
      <c r="G222" s="877"/>
      <c r="H222" s="877"/>
      <c r="I222" s="877"/>
      <c r="J222" s="877"/>
      <c r="K222" s="877"/>
      <c r="L222" s="877"/>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877"/>
      <c r="AJ222" s="877"/>
      <c r="AK222" s="877"/>
      <c r="AL222" s="877"/>
      <c r="AM222" s="877"/>
      <c r="AN222" s="877"/>
      <c r="AO222" s="187"/>
      <c r="AP222" s="188"/>
      <c r="AQ222" s="444"/>
    </row>
    <row r="223" spans="1:44" ht="17.25" customHeight="1">
      <c r="A223" s="877"/>
      <c r="B223" s="187"/>
      <c r="C223" s="877"/>
      <c r="D223" s="877"/>
      <c r="E223" s="877"/>
      <c r="F223" s="877"/>
      <c r="G223" s="877"/>
      <c r="H223" s="877"/>
      <c r="I223" s="877"/>
      <c r="J223" s="877"/>
      <c r="K223" s="877"/>
      <c r="L223" s="877"/>
      <c r="M223" s="877"/>
      <c r="N223" s="877"/>
      <c r="O223" s="877"/>
      <c r="P223" s="877"/>
      <c r="Q223" s="877"/>
      <c r="R223" s="877"/>
      <c r="S223" s="877"/>
      <c r="T223" s="877"/>
      <c r="U223" s="877"/>
      <c r="V223" s="877"/>
      <c r="W223" s="877"/>
      <c r="X223" s="877"/>
      <c r="Y223" s="877"/>
      <c r="Z223" s="877"/>
      <c r="AA223" s="877"/>
      <c r="AB223" s="877"/>
      <c r="AC223" s="877"/>
      <c r="AD223" s="877"/>
      <c r="AE223" s="877"/>
      <c r="AF223" s="877"/>
      <c r="AG223" s="877"/>
      <c r="AH223" s="877"/>
      <c r="AI223" s="877"/>
      <c r="AJ223" s="877"/>
      <c r="AK223" s="877"/>
      <c r="AL223" s="877"/>
      <c r="AM223" s="877"/>
      <c r="AN223" s="877"/>
      <c r="AO223" s="187"/>
      <c r="AP223" s="188"/>
      <c r="AQ223" s="444"/>
    </row>
    <row r="224" spans="1:44" ht="17.25" customHeight="1">
      <c r="A224" s="877"/>
      <c r="B224" s="187"/>
      <c r="C224" s="877"/>
      <c r="D224" s="877"/>
      <c r="E224" s="877"/>
      <c r="F224" s="877"/>
      <c r="G224" s="877"/>
      <c r="H224" s="877"/>
      <c r="I224" s="877"/>
      <c r="J224" s="877"/>
      <c r="K224" s="877"/>
      <c r="L224" s="877"/>
      <c r="M224" s="877"/>
      <c r="N224" s="877"/>
      <c r="O224" s="877"/>
      <c r="P224" s="877"/>
      <c r="Q224" s="877"/>
      <c r="R224" s="877"/>
      <c r="S224" s="877"/>
      <c r="T224" s="877"/>
      <c r="U224" s="877"/>
      <c r="V224" s="877"/>
      <c r="W224" s="877"/>
      <c r="X224" s="877"/>
      <c r="Y224" s="877"/>
      <c r="Z224" s="877"/>
      <c r="AA224" s="877"/>
      <c r="AB224" s="877"/>
      <c r="AC224" s="877"/>
      <c r="AD224" s="877"/>
      <c r="AE224" s="877"/>
      <c r="AF224" s="877"/>
      <c r="AG224" s="877"/>
      <c r="AH224" s="877"/>
      <c r="AI224" s="877"/>
      <c r="AJ224" s="877"/>
      <c r="AK224" s="877"/>
      <c r="AL224" s="877"/>
      <c r="AM224" s="877"/>
      <c r="AN224" s="877"/>
      <c r="AO224" s="187"/>
      <c r="AP224" s="188"/>
      <c r="AQ224" s="444"/>
    </row>
    <row r="225" spans="1:43" ht="17.25" customHeight="1">
      <c r="A225" s="877"/>
      <c r="B225" s="187"/>
      <c r="C225" s="877"/>
      <c r="D225" s="877"/>
      <c r="E225" s="877"/>
      <c r="F225" s="877"/>
      <c r="G225" s="877"/>
      <c r="H225" s="877"/>
      <c r="I225" s="877"/>
      <c r="J225" s="877"/>
      <c r="K225" s="877"/>
      <c r="L225" s="877"/>
      <c r="M225" s="877"/>
      <c r="N225" s="877"/>
      <c r="O225" s="877"/>
      <c r="P225" s="877"/>
      <c r="Q225" s="877"/>
      <c r="R225" s="877"/>
      <c r="S225" s="877"/>
      <c r="T225" s="877"/>
      <c r="U225" s="877"/>
      <c r="V225" s="877"/>
      <c r="W225" s="877"/>
      <c r="X225" s="877"/>
      <c r="Y225" s="877"/>
      <c r="Z225" s="877"/>
      <c r="AA225" s="877"/>
      <c r="AB225" s="877"/>
      <c r="AC225" s="877"/>
      <c r="AD225" s="877"/>
      <c r="AE225" s="877"/>
      <c r="AF225" s="877"/>
      <c r="AG225" s="877"/>
      <c r="AH225" s="877"/>
      <c r="AI225" s="877"/>
      <c r="AJ225" s="877"/>
      <c r="AK225" s="877"/>
      <c r="AL225" s="877"/>
      <c r="AM225" s="877"/>
      <c r="AN225" s="877"/>
      <c r="AO225" s="187"/>
      <c r="AP225" s="188"/>
      <c r="AQ225" s="444"/>
    </row>
    <row r="226" spans="1:43" ht="17.25" customHeight="1">
      <c r="A226" s="877"/>
      <c r="B226" s="187"/>
      <c r="C226" s="877"/>
      <c r="D226" s="877"/>
      <c r="E226" s="877"/>
      <c r="F226" s="877"/>
      <c r="G226" s="877"/>
      <c r="H226" s="877"/>
      <c r="I226" s="877"/>
      <c r="J226" s="877"/>
      <c r="K226" s="877"/>
      <c r="L226" s="877"/>
      <c r="M226" s="877"/>
      <c r="N226" s="877"/>
      <c r="O226" s="877"/>
      <c r="P226" s="877"/>
      <c r="Q226" s="877"/>
      <c r="R226" s="877"/>
      <c r="S226" s="877"/>
      <c r="T226" s="877"/>
      <c r="U226" s="877"/>
      <c r="V226" s="877"/>
      <c r="W226" s="877"/>
      <c r="X226" s="877"/>
      <c r="Y226" s="877"/>
      <c r="Z226" s="877"/>
      <c r="AA226" s="877"/>
      <c r="AB226" s="877"/>
      <c r="AC226" s="877"/>
      <c r="AD226" s="877"/>
      <c r="AE226" s="877"/>
      <c r="AF226" s="877"/>
      <c r="AG226" s="877"/>
      <c r="AH226" s="877"/>
      <c r="AI226" s="877"/>
      <c r="AJ226" s="877"/>
      <c r="AK226" s="877"/>
      <c r="AL226" s="877"/>
      <c r="AM226" s="877"/>
      <c r="AN226" s="877"/>
      <c r="AO226" s="187"/>
      <c r="AP226" s="188"/>
      <c r="AQ226" s="444"/>
    </row>
    <row r="227" spans="1:43" ht="17.25" customHeight="1">
      <c r="A227" s="877"/>
      <c r="B227" s="187"/>
      <c r="C227" s="877"/>
      <c r="D227" s="877"/>
      <c r="E227" s="877"/>
      <c r="F227" s="877"/>
      <c r="G227" s="877"/>
      <c r="H227" s="877"/>
      <c r="I227" s="877"/>
      <c r="J227" s="877"/>
      <c r="K227" s="877"/>
      <c r="L227" s="877"/>
      <c r="M227" s="877"/>
      <c r="N227" s="877"/>
      <c r="O227" s="877"/>
      <c r="P227" s="877"/>
      <c r="Q227" s="877"/>
      <c r="R227" s="877"/>
      <c r="S227" s="877"/>
      <c r="T227" s="877"/>
      <c r="U227" s="877"/>
      <c r="V227" s="877"/>
      <c r="W227" s="877"/>
      <c r="X227" s="877"/>
      <c r="Y227" s="877"/>
      <c r="Z227" s="877"/>
      <c r="AA227" s="877"/>
      <c r="AB227" s="877"/>
      <c r="AC227" s="877"/>
      <c r="AD227" s="877"/>
      <c r="AE227" s="877"/>
      <c r="AF227" s="877"/>
      <c r="AG227" s="877"/>
      <c r="AH227" s="877"/>
      <c r="AI227" s="877"/>
      <c r="AJ227" s="877"/>
      <c r="AK227" s="877"/>
      <c r="AL227" s="877"/>
      <c r="AM227" s="877"/>
      <c r="AN227" s="877"/>
      <c r="AO227" s="187"/>
      <c r="AP227" s="188"/>
      <c r="AQ227" s="444"/>
    </row>
    <row r="228" spans="1:43" ht="17.25" customHeight="1">
      <c r="A228" s="877"/>
      <c r="B228" s="187"/>
      <c r="C228" s="877"/>
      <c r="D228" s="877"/>
      <c r="E228" s="877"/>
      <c r="F228" s="877"/>
      <c r="G228" s="877"/>
      <c r="H228" s="877"/>
      <c r="I228" s="877"/>
      <c r="J228" s="877"/>
      <c r="K228" s="877"/>
      <c r="L228" s="877"/>
      <c r="M228" s="877"/>
      <c r="N228" s="877"/>
      <c r="O228" s="877"/>
      <c r="P228" s="877"/>
      <c r="Q228" s="877"/>
      <c r="R228" s="877"/>
      <c r="S228" s="877"/>
      <c r="T228" s="877"/>
      <c r="U228" s="877"/>
      <c r="V228" s="877"/>
      <c r="W228" s="877"/>
      <c r="X228" s="877"/>
      <c r="Y228" s="877"/>
      <c r="Z228" s="877"/>
      <c r="AA228" s="877"/>
      <c r="AB228" s="877"/>
      <c r="AC228" s="877"/>
      <c r="AD228" s="877"/>
      <c r="AE228" s="877"/>
      <c r="AF228" s="877"/>
      <c r="AG228" s="877"/>
      <c r="AH228" s="877"/>
      <c r="AI228" s="877"/>
      <c r="AJ228" s="877"/>
      <c r="AK228" s="877"/>
      <c r="AL228" s="877"/>
      <c r="AM228" s="877"/>
      <c r="AN228" s="877"/>
      <c r="AO228" s="187"/>
      <c r="AP228" s="188"/>
      <c r="AQ228" s="444"/>
    </row>
    <row r="229" spans="1:43" ht="17.25" customHeight="1">
      <c r="A229" s="877"/>
      <c r="B229" s="187"/>
      <c r="C229" s="877"/>
      <c r="D229" s="877"/>
      <c r="E229" s="877"/>
      <c r="F229" s="877"/>
      <c r="G229" s="877"/>
      <c r="H229" s="877"/>
      <c r="I229" s="877"/>
      <c r="J229" s="877"/>
      <c r="K229" s="877"/>
      <c r="L229" s="877"/>
      <c r="M229" s="877"/>
      <c r="N229" s="877"/>
      <c r="O229" s="877"/>
      <c r="P229" s="877"/>
      <c r="Q229" s="877"/>
      <c r="R229" s="877"/>
      <c r="S229" s="877"/>
      <c r="T229" s="877"/>
      <c r="U229" s="877"/>
      <c r="V229" s="877"/>
      <c r="W229" s="877"/>
      <c r="X229" s="877"/>
      <c r="Y229" s="877"/>
      <c r="Z229" s="877"/>
      <c r="AA229" s="877"/>
      <c r="AB229" s="877"/>
      <c r="AC229" s="877"/>
      <c r="AD229" s="877"/>
      <c r="AE229" s="877"/>
      <c r="AF229" s="877"/>
      <c r="AG229" s="877"/>
      <c r="AH229" s="877"/>
      <c r="AI229" s="877"/>
      <c r="AJ229" s="877"/>
      <c r="AK229" s="877"/>
      <c r="AL229" s="877"/>
      <c r="AM229" s="877"/>
      <c r="AN229" s="877"/>
      <c r="AO229" s="187"/>
      <c r="AP229" s="188"/>
      <c r="AQ229" s="444"/>
    </row>
    <row r="230" spans="1:43" ht="17.25" customHeight="1">
      <c r="A230" s="877"/>
      <c r="B230" s="187"/>
      <c r="C230" s="877"/>
      <c r="D230" s="877"/>
      <c r="E230" s="877"/>
      <c r="F230" s="877"/>
      <c r="G230" s="877"/>
      <c r="H230" s="877"/>
      <c r="I230" s="877"/>
      <c r="J230" s="877"/>
      <c r="K230" s="877"/>
      <c r="L230" s="877"/>
      <c r="M230" s="877"/>
      <c r="N230" s="877"/>
      <c r="O230" s="877"/>
      <c r="P230" s="877"/>
      <c r="Q230" s="877"/>
      <c r="R230" s="877"/>
      <c r="S230" s="877"/>
      <c r="T230" s="877"/>
      <c r="U230" s="877"/>
      <c r="V230" s="877"/>
      <c r="W230" s="877"/>
      <c r="X230" s="877"/>
      <c r="Y230" s="877"/>
      <c r="Z230" s="877"/>
      <c r="AA230" s="877"/>
      <c r="AB230" s="877"/>
      <c r="AC230" s="877"/>
      <c r="AD230" s="877"/>
      <c r="AE230" s="877"/>
      <c r="AF230" s="877"/>
      <c r="AG230" s="877"/>
      <c r="AH230" s="877"/>
      <c r="AI230" s="877"/>
      <c r="AJ230" s="877"/>
      <c r="AK230" s="877"/>
      <c r="AL230" s="877"/>
      <c r="AM230" s="877"/>
      <c r="AN230" s="877"/>
      <c r="AO230" s="187"/>
      <c r="AP230" s="188"/>
      <c r="AQ230" s="444"/>
    </row>
    <row r="231" spans="1:43" ht="17.25" customHeight="1">
      <c r="A231" s="877"/>
      <c r="B231" s="187"/>
      <c r="C231" s="877"/>
      <c r="D231" s="877"/>
      <c r="E231" s="877"/>
      <c r="F231" s="877"/>
      <c r="G231" s="877"/>
      <c r="H231" s="877"/>
      <c r="I231" s="877"/>
      <c r="J231" s="877"/>
      <c r="K231" s="877"/>
      <c r="L231" s="877"/>
      <c r="M231" s="877"/>
      <c r="N231" s="877"/>
      <c r="O231" s="877"/>
      <c r="P231" s="877"/>
      <c r="Q231" s="877"/>
      <c r="R231" s="877"/>
      <c r="S231" s="877"/>
      <c r="T231" s="877"/>
      <c r="U231" s="877"/>
      <c r="V231" s="877"/>
      <c r="W231" s="877"/>
      <c r="X231" s="877"/>
      <c r="Y231" s="877"/>
      <c r="Z231" s="877"/>
      <c r="AA231" s="877"/>
      <c r="AB231" s="877"/>
      <c r="AC231" s="877"/>
      <c r="AD231" s="877"/>
      <c r="AE231" s="877"/>
      <c r="AF231" s="877"/>
      <c r="AG231" s="877"/>
      <c r="AH231" s="877"/>
      <c r="AI231" s="877"/>
      <c r="AJ231" s="877"/>
      <c r="AK231" s="877"/>
      <c r="AL231" s="877"/>
      <c r="AM231" s="877"/>
      <c r="AN231" s="877"/>
      <c r="AO231" s="187"/>
      <c r="AP231" s="188"/>
      <c r="AQ231" s="444"/>
    </row>
    <row r="232" spans="1:43" ht="17.25" customHeight="1">
      <c r="A232" s="877"/>
      <c r="B232" s="187"/>
      <c r="C232" s="877"/>
      <c r="D232" s="877"/>
      <c r="E232" s="877"/>
      <c r="F232" s="877"/>
      <c r="G232" s="877"/>
      <c r="H232" s="877"/>
      <c r="I232" s="877"/>
      <c r="J232" s="877"/>
      <c r="K232" s="877"/>
      <c r="L232" s="877"/>
      <c r="M232" s="877"/>
      <c r="N232" s="877"/>
      <c r="O232" s="877"/>
      <c r="P232" s="877"/>
      <c r="Q232" s="877"/>
      <c r="R232" s="877"/>
      <c r="S232" s="877"/>
      <c r="T232" s="877"/>
      <c r="U232" s="877"/>
      <c r="V232" s="877"/>
      <c r="W232" s="877"/>
      <c r="X232" s="877"/>
      <c r="Y232" s="877"/>
      <c r="Z232" s="877"/>
      <c r="AA232" s="877"/>
      <c r="AB232" s="877"/>
      <c r="AC232" s="877"/>
      <c r="AD232" s="877"/>
      <c r="AE232" s="877"/>
      <c r="AF232" s="877"/>
      <c r="AG232" s="877"/>
      <c r="AH232" s="877"/>
      <c r="AI232" s="877"/>
      <c r="AJ232" s="877"/>
      <c r="AK232" s="877"/>
      <c r="AL232" s="877"/>
      <c r="AM232" s="877"/>
      <c r="AN232" s="877"/>
      <c r="AO232" s="187"/>
      <c r="AP232" s="188"/>
      <c r="AQ232" s="444"/>
    </row>
    <row r="233" spans="1:43" ht="17.25" customHeight="1">
      <c r="A233" s="877"/>
      <c r="B233" s="187"/>
      <c r="C233" s="877"/>
      <c r="D233" s="877"/>
      <c r="E233" s="877"/>
      <c r="F233" s="877"/>
      <c r="G233" s="877"/>
      <c r="H233" s="877"/>
      <c r="I233" s="877"/>
      <c r="J233" s="877"/>
      <c r="K233" s="877"/>
      <c r="L233" s="877"/>
      <c r="M233" s="877"/>
      <c r="N233" s="877"/>
      <c r="O233" s="877"/>
      <c r="P233" s="877"/>
      <c r="Q233" s="877"/>
      <c r="R233" s="877"/>
      <c r="S233" s="877"/>
      <c r="T233" s="877"/>
      <c r="U233" s="877"/>
      <c r="V233" s="877"/>
      <c r="W233" s="877"/>
      <c r="X233" s="877"/>
      <c r="Y233" s="877"/>
      <c r="Z233" s="877"/>
      <c r="AA233" s="877"/>
      <c r="AB233" s="877"/>
      <c r="AC233" s="877"/>
      <c r="AD233" s="877"/>
      <c r="AE233" s="877"/>
      <c r="AF233" s="877"/>
      <c r="AG233" s="877"/>
      <c r="AH233" s="877"/>
      <c r="AI233" s="877"/>
      <c r="AJ233" s="877"/>
      <c r="AK233" s="877"/>
      <c r="AL233" s="877"/>
      <c r="AM233" s="877"/>
      <c r="AN233" s="877"/>
      <c r="AO233" s="187"/>
      <c r="AP233" s="188"/>
      <c r="AQ233" s="444"/>
    </row>
    <row r="234" spans="1:43" ht="17.25" customHeight="1">
      <c r="A234" s="877"/>
      <c r="B234" s="187"/>
      <c r="C234" s="877"/>
      <c r="D234" s="877"/>
      <c r="E234" s="877"/>
      <c r="F234" s="877"/>
      <c r="G234" s="877"/>
      <c r="H234" s="877"/>
      <c r="I234" s="877"/>
      <c r="J234" s="877"/>
      <c r="K234" s="877"/>
      <c r="L234" s="877"/>
      <c r="M234" s="877"/>
      <c r="N234" s="877"/>
      <c r="O234" s="877"/>
      <c r="P234" s="877"/>
      <c r="Q234" s="877"/>
      <c r="R234" s="877"/>
      <c r="S234" s="877"/>
      <c r="T234" s="877"/>
      <c r="U234" s="877"/>
      <c r="V234" s="877"/>
      <c r="W234" s="877"/>
      <c r="X234" s="877"/>
      <c r="Y234" s="877"/>
      <c r="Z234" s="877"/>
      <c r="AA234" s="877"/>
      <c r="AB234" s="877"/>
      <c r="AC234" s="877"/>
      <c r="AD234" s="877"/>
      <c r="AE234" s="877"/>
      <c r="AF234" s="877"/>
      <c r="AG234" s="877"/>
      <c r="AH234" s="877"/>
      <c r="AI234" s="877"/>
      <c r="AJ234" s="877"/>
      <c r="AK234" s="877"/>
      <c r="AL234" s="877"/>
      <c r="AM234" s="877"/>
      <c r="AN234" s="877"/>
      <c r="AO234" s="187"/>
      <c r="AP234" s="188"/>
      <c r="AQ234" s="444"/>
    </row>
    <row r="235" spans="1:43" ht="17.25" customHeight="1">
      <c r="A235" s="877"/>
      <c r="B235" s="187"/>
      <c r="C235" s="877"/>
      <c r="D235" s="877"/>
      <c r="E235" s="877"/>
      <c r="F235" s="877"/>
      <c r="G235" s="877"/>
      <c r="H235" s="877"/>
      <c r="I235" s="877"/>
      <c r="J235" s="877"/>
      <c r="K235" s="877"/>
      <c r="L235" s="877"/>
      <c r="M235" s="877"/>
      <c r="N235" s="877"/>
      <c r="O235" s="877"/>
      <c r="P235" s="877"/>
      <c r="Q235" s="877"/>
      <c r="R235" s="877"/>
      <c r="S235" s="877"/>
      <c r="T235" s="877"/>
      <c r="U235" s="877"/>
      <c r="V235" s="877"/>
      <c r="W235" s="877"/>
      <c r="X235" s="877"/>
      <c r="Y235" s="877"/>
      <c r="Z235" s="877"/>
      <c r="AA235" s="877"/>
      <c r="AB235" s="877"/>
      <c r="AC235" s="877"/>
      <c r="AD235" s="877"/>
      <c r="AE235" s="877"/>
      <c r="AF235" s="877"/>
      <c r="AG235" s="877"/>
      <c r="AH235" s="877"/>
      <c r="AI235" s="877"/>
      <c r="AJ235" s="877"/>
      <c r="AK235" s="877"/>
      <c r="AL235" s="877"/>
      <c r="AM235" s="877"/>
      <c r="AN235" s="877"/>
      <c r="AO235" s="187"/>
      <c r="AP235" s="188"/>
      <c r="AQ235" s="444"/>
    </row>
    <row r="236" spans="1:43" ht="17.25" customHeight="1">
      <c r="A236" s="877"/>
      <c r="B236" s="187"/>
      <c r="C236" s="877"/>
      <c r="D236" s="877"/>
      <c r="E236" s="877"/>
      <c r="F236" s="877"/>
      <c r="G236" s="877"/>
      <c r="H236" s="877"/>
      <c r="I236" s="877"/>
      <c r="J236" s="877"/>
      <c r="K236" s="877"/>
      <c r="L236" s="877"/>
      <c r="M236" s="877"/>
      <c r="N236" s="877"/>
      <c r="O236" s="877"/>
      <c r="P236" s="877"/>
      <c r="Q236" s="877"/>
      <c r="R236" s="877"/>
      <c r="S236" s="877"/>
      <c r="T236" s="877"/>
      <c r="U236" s="877"/>
      <c r="V236" s="877"/>
      <c r="W236" s="877"/>
      <c r="X236" s="877"/>
      <c r="Y236" s="877"/>
      <c r="Z236" s="877"/>
      <c r="AA236" s="877"/>
      <c r="AB236" s="877"/>
      <c r="AC236" s="877"/>
      <c r="AD236" s="877"/>
      <c r="AE236" s="877"/>
      <c r="AF236" s="877"/>
      <c r="AG236" s="877"/>
      <c r="AH236" s="877"/>
      <c r="AI236" s="877"/>
      <c r="AJ236" s="877"/>
      <c r="AK236" s="877"/>
      <c r="AL236" s="877"/>
      <c r="AM236" s="877"/>
      <c r="AN236" s="877"/>
      <c r="AO236" s="187"/>
      <c r="AP236" s="188"/>
      <c r="AQ236" s="444"/>
    </row>
    <row r="237" spans="1:43" ht="17.25" customHeight="1">
      <c r="A237" s="877"/>
      <c r="B237" s="187"/>
      <c r="C237" s="877"/>
      <c r="D237" s="877"/>
      <c r="E237" s="877"/>
      <c r="F237" s="877"/>
      <c r="G237" s="877"/>
      <c r="H237" s="877"/>
      <c r="I237" s="877"/>
      <c r="J237" s="877"/>
      <c r="K237" s="877"/>
      <c r="L237" s="877"/>
      <c r="M237" s="877"/>
      <c r="N237" s="877"/>
      <c r="O237" s="877"/>
      <c r="P237" s="877"/>
      <c r="Q237" s="877"/>
      <c r="R237" s="877"/>
      <c r="S237" s="877"/>
      <c r="T237" s="877"/>
      <c r="U237" s="877"/>
      <c r="V237" s="877"/>
      <c r="W237" s="877"/>
      <c r="X237" s="877"/>
      <c r="Y237" s="877"/>
      <c r="Z237" s="877"/>
      <c r="AA237" s="877"/>
      <c r="AB237" s="877"/>
      <c r="AC237" s="877"/>
      <c r="AD237" s="877"/>
      <c r="AE237" s="877"/>
      <c r="AF237" s="877"/>
      <c r="AG237" s="877"/>
      <c r="AH237" s="877"/>
      <c r="AI237" s="877"/>
      <c r="AJ237" s="877"/>
      <c r="AK237" s="877"/>
      <c r="AL237" s="877"/>
      <c r="AM237" s="877"/>
      <c r="AN237" s="877"/>
      <c r="AO237" s="187"/>
      <c r="AP237" s="188"/>
      <c r="AQ237" s="444"/>
    </row>
    <row r="238" spans="1:43" ht="17.25" customHeight="1">
      <c r="A238" s="877"/>
      <c r="B238" s="187"/>
      <c r="C238" s="877"/>
      <c r="D238" s="877"/>
      <c r="E238" s="877"/>
      <c r="F238" s="877"/>
      <c r="G238" s="877"/>
      <c r="H238" s="877"/>
      <c r="I238" s="877"/>
      <c r="J238" s="877"/>
      <c r="K238" s="877"/>
      <c r="L238" s="877"/>
      <c r="M238" s="877"/>
      <c r="N238" s="877"/>
      <c r="O238" s="877"/>
      <c r="P238" s="877"/>
      <c r="Q238" s="877"/>
      <c r="R238" s="877"/>
      <c r="S238" s="877"/>
      <c r="T238" s="877"/>
      <c r="U238" s="877"/>
      <c r="V238" s="877"/>
      <c r="W238" s="877"/>
      <c r="X238" s="877"/>
      <c r="Y238" s="877"/>
      <c r="Z238" s="877"/>
      <c r="AA238" s="877"/>
      <c r="AB238" s="877"/>
      <c r="AC238" s="877"/>
      <c r="AD238" s="877"/>
      <c r="AE238" s="877"/>
      <c r="AF238" s="877"/>
      <c r="AG238" s="877"/>
      <c r="AH238" s="877"/>
      <c r="AI238" s="877"/>
      <c r="AJ238" s="877"/>
      <c r="AK238" s="877"/>
      <c r="AL238" s="877"/>
      <c r="AM238" s="877"/>
      <c r="AN238" s="877"/>
      <c r="AO238" s="187"/>
      <c r="AP238" s="188"/>
      <c r="AQ238" s="444"/>
    </row>
    <row r="239" spans="1:43" ht="17.25" customHeight="1">
      <c r="A239" s="877"/>
      <c r="B239" s="187"/>
      <c r="C239" s="877"/>
      <c r="D239" s="877"/>
      <c r="E239" s="877"/>
      <c r="F239" s="877"/>
      <c r="G239" s="877"/>
      <c r="H239" s="877"/>
      <c r="I239" s="877"/>
      <c r="J239" s="877"/>
      <c r="K239" s="877"/>
      <c r="L239" s="877"/>
      <c r="M239" s="877"/>
      <c r="N239" s="877"/>
      <c r="O239" s="877"/>
      <c r="P239" s="877"/>
      <c r="Q239" s="877"/>
      <c r="R239" s="877"/>
      <c r="S239" s="877"/>
      <c r="T239" s="877"/>
      <c r="U239" s="877"/>
      <c r="V239" s="877"/>
      <c r="W239" s="877"/>
      <c r="X239" s="877"/>
      <c r="Y239" s="877"/>
      <c r="Z239" s="877"/>
      <c r="AA239" s="877"/>
      <c r="AB239" s="877"/>
      <c r="AC239" s="877"/>
      <c r="AD239" s="877"/>
      <c r="AE239" s="877"/>
      <c r="AF239" s="877"/>
      <c r="AG239" s="877"/>
      <c r="AH239" s="877"/>
      <c r="AI239" s="877"/>
      <c r="AJ239" s="877"/>
      <c r="AK239" s="877"/>
      <c r="AL239" s="877"/>
      <c r="AM239" s="877"/>
      <c r="AN239" s="877"/>
      <c r="AO239" s="187"/>
      <c r="AP239" s="188"/>
      <c r="AQ239" s="181"/>
    </row>
    <row r="240" spans="1:43" ht="17.25" customHeight="1">
      <c r="A240" s="877"/>
      <c r="B240" s="187"/>
      <c r="C240" s="877"/>
      <c r="D240" s="877"/>
      <c r="E240" s="877"/>
      <c r="F240" s="877"/>
      <c r="G240" s="877"/>
      <c r="H240" s="877"/>
      <c r="I240" s="877"/>
      <c r="J240" s="877"/>
      <c r="K240" s="877"/>
      <c r="L240" s="877"/>
      <c r="M240" s="877"/>
      <c r="N240" s="877"/>
      <c r="O240" s="877"/>
      <c r="P240" s="877"/>
      <c r="Q240" s="877"/>
      <c r="R240" s="877"/>
      <c r="S240" s="877"/>
      <c r="T240" s="877"/>
      <c r="U240" s="877"/>
      <c r="V240" s="877"/>
      <c r="W240" s="877"/>
      <c r="X240" s="877"/>
      <c r="Y240" s="877"/>
      <c r="Z240" s="877"/>
      <c r="AA240" s="877"/>
      <c r="AB240" s="877"/>
      <c r="AC240" s="877"/>
      <c r="AD240" s="877"/>
      <c r="AE240" s="877"/>
      <c r="AF240" s="877"/>
      <c r="AG240" s="877"/>
      <c r="AH240" s="877"/>
      <c r="AI240" s="877"/>
      <c r="AJ240" s="877"/>
      <c r="AK240" s="877"/>
      <c r="AL240" s="877"/>
      <c r="AM240" s="877"/>
      <c r="AN240" s="877"/>
      <c r="AO240" s="187"/>
      <c r="AP240" s="188"/>
      <c r="AQ240" s="444"/>
    </row>
    <row r="241" spans="1:62" ht="17.25" customHeight="1">
      <c r="A241" s="877"/>
      <c r="B241" s="187"/>
      <c r="C241" s="877"/>
      <c r="D241" s="877"/>
      <c r="E241" s="877"/>
      <c r="F241" s="877"/>
      <c r="G241" s="877"/>
      <c r="H241" s="877"/>
      <c r="I241" s="877"/>
      <c r="J241" s="877"/>
      <c r="K241" s="877"/>
      <c r="L241" s="877"/>
      <c r="M241" s="877"/>
      <c r="N241" s="877"/>
      <c r="O241" s="877"/>
      <c r="P241" s="877"/>
      <c r="Q241" s="877"/>
      <c r="R241" s="877"/>
      <c r="S241" s="877"/>
      <c r="T241" s="877"/>
      <c r="U241" s="877"/>
      <c r="V241" s="877"/>
      <c r="W241" s="877"/>
      <c r="X241" s="877"/>
      <c r="Y241" s="877"/>
      <c r="Z241" s="877"/>
      <c r="AA241" s="877"/>
      <c r="AB241" s="877"/>
      <c r="AC241" s="877"/>
      <c r="AD241" s="877"/>
      <c r="AE241" s="877"/>
      <c r="AF241" s="877"/>
      <c r="AG241" s="877"/>
      <c r="AH241" s="877"/>
      <c r="AI241" s="877"/>
      <c r="AJ241" s="877"/>
      <c r="AK241" s="877"/>
      <c r="AL241" s="877"/>
      <c r="AM241" s="877"/>
      <c r="AN241" s="877"/>
      <c r="AO241" s="187"/>
      <c r="AP241" s="188"/>
      <c r="AQ241" s="444"/>
    </row>
    <row r="242" spans="1:62" s="878" customFormat="1" ht="17.25" customHeight="1">
      <c r="A242" s="877"/>
      <c r="B242" s="877"/>
      <c r="C242" s="877"/>
      <c r="D242" s="877"/>
      <c r="E242" s="877"/>
      <c r="F242" s="877"/>
      <c r="G242" s="877"/>
      <c r="H242" s="877"/>
      <c r="I242" s="877"/>
      <c r="J242" s="877"/>
      <c r="K242" s="877"/>
      <c r="L242" s="877"/>
      <c r="M242" s="877"/>
      <c r="N242" s="877"/>
      <c r="O242" s="877"/>
      <c r="P242" s="877"/>
      <c r="Q242" s="877"/>
      <c r="R242" s="877"/>
      <c r="S242" s="877"/>
      <c r="T242" s="877"/>
      <c r="U242" s="877"/>
      <c r="V242" s="877"/>
      <c r="W242" s="877"/>
      <c r="X242" s="877"/>
      <c r="Y242" s="877"/>
      <c r="Z242" s="877"/>
      <c r="AA242" s="877"/>
      <c r="AB242" s="877"/>
      <c r="AC242" s="877"/>
      <c r="AD242" s="877"/>
      <c r="AE242" s="877"/>
      <c r="AF242" s="877"/>
      <c r="AG242" s="877"/>
      <c r="AH242" s="877"/>
      <c r="AI242" s="877"/>
      <c r="AJ242" s="877"/>
      <c r="AK242" s="877"/>
      <c r="AL242" s="877"/>
      <c r="AM242" s="877"/>
      <c r="AN242" s="877"/>
      <c r="AO242" s="877"/>
      <c r="AP242" s="549"/>
      <c r="AQ242" s="737"/>
    </row>
    <row r="243" spans="1:62" s="878" customFormat="1" ht="17.25" customHeight="1">
      <c r="A243" s="877"/>
      <c r="B243" s="877"/>
      <c r="C243" s="877"/>
      <c r="D243" s="877"/>
      <c r="E243" s="877"/>
      <c r="F243" s="877"/>
      <c r="G243" s="877"/>
      <c r="H243" s="877"/>
      <c r="I243" s="877"/>
      <c r="J243" s="877"/>
      <c r="K243" s="877"/>
      <c r="L243" s="877"/>
      <c r="M243" s="877"/>
      <c r="N243" s="877"/>
      <c r="O243" s="877"/>
      <c r="P243" s="877"/>
      <c r="Q243" s="877"/>
      <c r="R243" s="877"/>
      <c r="S243" s="877"/>
      <c r="T243" s="877"/>
      <c r="U243" s="877"/>
      <c r="V243" s="877"/>
      <c r="W243" s="877"/>
      <c r="X243" s="877"/>
      <c r="Y243" s="877"/>
      <c r="Z243" s="877"/>
      <c r="AA243" s="877"/>
      <c r="AB243" s="877"/>
      <c r="AC243" s="877"/>
      <c r="AD243" s="877"/>
      <c r="AE243" s="877"/>
      <c r="AF243" s="877"/>
      <c r="AG243" s="877"/>
      <c r="AH243" s="877"/>
      <c r="AI243" s="877"/>
      <c r="AJ243" s="877"/>
      <c r="AK243" s="877"/>
      <c r="AL243" s="877"/>
      <c r="AM243" s="877"/>
      <c r="AN243" s="877"/>
      <c r="AO243" s="877"/>
      <c r="AP243" s="549"/>
      <c r="AQ243" s="737"/>
    </row>
    <row r="244" spans="1:62" ht="17.25" customHeight="1">
      <c r="A244" s="877"/>
      <c r="B244" s="187"/>
      <c r="C244" s="877"/>
      <c r="D244" s="877"/>
      <c r="E244" s="877"/>
      <c r="F244" s="877"/>
      <c r="G244" s="877"/>
      <c r="H244" s="877"/>
      <c r="I244" s="877"/>
      <c r="J244" s="877"/>
      <c r="K244" s="877"/>
      <c r="L244" s="877"/>
      <c r="M244" s="877"/>
      <c r="N244" s="877"/>
      <c r="O244" s="877"/>
      <c r="P244" s="877"/>
      <c r="Q244" s="877"/>
      <c r="R244" s="877"/>
      <c r="S244" s="877"/>
      <c r="T244" s="877"/>
      <c r="U244" s="877"/>
      <c r="V244" s="877"/>
      <c r="W244" s="877"/>
      <c r="X244" s="877"/>
      <c r="Y244" s="877"/>
      <c r="Z244" s="877"/>
      <c r="AA244" s="877"/>
      <c r="AB244" s="877"/>
      <c r="AC244" s="877"/>
      <c r="AD244" s="877"/>
      <c r="AE244" s="877"/>
      <c r="AF244" s="877"/>
      <c r="AG244" s="877"/>
      <c r="AH244" s="877"/>
      <c r="AI244" s="877"/>
      <c r="AJ244" s="877"/>
      <c r="AK244" s="877"/>
      <c r="AL244" s="877"/>
      <c r="AM244" s="877"/>
      <c r="AN244" s="877"/>
      <c r="AO244" s="187"/>
      <c r="AP244" s="188"/>
      <c r="AQ244" s="444"/>
    </row>
    <row r="245" spans="1:62" ht="17.25" customHeight="1">
      <c r="A245" s="877"/>
      <c r="B245" s="187"/>
      <c r="C245" s="877"/>
      <c r="D245" s="877"/>
      <c r="E245" s="877"/>
      <c r="F245" s="877"/>
      <c r="G245" s="877"/>
      <c r="H245" s="877"/>
      <c r="I245" s="877"/>
      <c r="J245" s="877"/>
      <c r="K245" s="877"/>
      <c r="L245" s="877"/>
      <c r="M245" s="877"/>
      <c r="N245" s="877"/>
      <c r="O245" s="877"/>
      <c r="P245" s="877"/>
      <c r="Q245" s="877"/>
      <c r="R245" s="877"/>
      <c r="S245" s="877"/>
      <c r="T245" s="877"/>
      <c r="U245" s="877"/>
      <c r="V245" s="877"/>
      <c r="W245" s="877"/>
      <c r="X245" s="877"/>
      <c r="Y245" s="877"/>
      <c r="Z245" s="877"/>
      <c r="AA245" s="877"/>
      <c r="AB245" s="877"/>
      <c r="AC245" s="877"/>
      <c r="AD245" s="877"/>
      <c r="AE245" s="877"/>
      <c r="AF245" s="877"/>
      <c r="AG245" s="877"/>
      <c r="AH245" s="877"/>
      <c r="AI245" s="877"/>
      <c r="AJ245" s="877"/>
      <c r="AK245" s="877"/>
      <c r="AL245" s="877"/>
      <c r="AM245" s="877"/>
      <c r="AN245" s="877"/>
      <c r="AO245" s="187"/>
      <c r="AP245" s="188"/>
      <c r="AQ245" s="444"/>
    </row>
    <row r="246" spans="1:62" ht="17.25" customHeight="1">
      <c r="A246" s="877"/>
      <c r="B246" s="187"/>
      <c r="C246" s="877"/>
      <c r="D246" s="877"/>
      <c r="E246" s="877"/>
      <c r="F246" s="877"/>
      <c r="G246" s="877"/>
      <c r="H246" s="877"/>
      <c r="I246" s="877"/>
      <c r="J246" s="877"/>
      <c r="K246" s="877"/>
      <c r="L246" s="877"/>
      <c r="M246" s="877"/>
      <c r="N246" s="877"/>
      <c r="O246" s="877"/>
      <c r="P246" s="877"/>
      <c r="Q246" s="877"/>
      <c r="R246" s="877"/>
      <c r="S246" s="877"/>
      <c r="T246" s="877"/>
      <c r="U246" s="877"/>
      <c r="V246" s="877"/>
      <c r="W246" s="877"/>
      <c r="X246" s="877"/>
      <c r="Y246" s="877"/>
      <c r="Z246" s="877"/>
      <c r="AA246" s="877"/>
      <c r="AB246" s="877"/>
      <c r="AC246" s="877"/>
      <c r="AD246" s="877"/>
      <c r="AE246" s="877"/>
      <c r="AF246" s="877"/>
      <c r="AG246" s="877"/>
      <c r="AH246" s="877"/>
      <c r="AI246" s="877"/>
      <c r="AJ246" s="877"/>
      <c r="AK246" s="877"/>
      <c r="AL246" s="877"/>
      <c r="AM246" s="877"/>
      <c r="AN246" s="877"/>
      <c r="AO246" s="187"/>
      <c r="AP246" s="188"/>
      <c r="AQ246" s="444"/>
    </row>
    <row r="247" spans="1:62" ht="17.25" customHeight="1">
      <c r="A247" s="877"/>
      <c r="B247" s="187"/>
      <c r="C247" s="550"/>
      <c r="D247" s="550"/>
      <c r="E247" s="550"/>
      <c r="F247" s="550"/>
      <c r="G247" s="550"/>
      <c r="H247" s="550"/>
      <c r="I247" s="550"/>
      <c r="J247" s="550"/>
      <c r="K247" s="550"/>
      <c r="L247" s="550"/>
      <c r="M247" s="550"/>
      <c r="N247" s="550"/>
      <c r="O247" s="550"/>
      <c r="P247" s="550"/>
      <c r="Q247" s="550"/>
      <c r="R247" s="550"/>
      <c r="S247" s="550"/>
      <c r="T247" s="550"/>
      <c r="U247" s="877"/>
      <c r="V247" s="877"/>
      <c r="W247" s="877"/>
      <c r="X247" s="877"/>
      <c r="Y247" s="877"/>
      <c r="Z247" s="877"/>
      <c r="AA247" s="877"/>
      <c r="AB247" s="877"/>
      <c r="AC247" s="877"/>
      <c r="AD247" s="550"/>
      <c r="AE247" s="550"/>
      <c r="AF247" s="550"/>
      <c r="AG247" s="550"/>
      <c r="AH247" s="550"/>
      <c r="AI247" s="550"/>
      <c r="AJ247" s="550"/>
      <c r="AK247" s="550"/>
      <c r="AL247" s="550"/>
      <c r="AM247" s="550"/>
      <c r="AN247" s="187"/>
      <c r="AO247" s="187"/>
      <c r="AP247" s="188"/>
      <c r="AQ247" s="444"/>
      <c r="AW247" s="78"/>
    </row>
    <row r="248" spans="1:62" ht="17.25" customHeight="1">
      <c r="A248" s="877"/>
      <c r="B248" s="187"/>
      <c r="C248" s="550"/>
      <c r="D248" s="550"/>
      <c r="E248" s="550"/>
      <c r="F248" s="550"/>
      <c r="G248" s="550"/>
      <c r="H248" s="550"/>
      <c r="I248" s="550"/>
      <c r="J248" s="550"/>
      <c r="K248" s="550"/>
      <c r="L248" s="550"/>
      <c r="M248" s="550"/>
      <c r="N248" s="550"/>
      <c r="O248" s="550"/>
      <c r="P248" s="550"/>
      <c r="Q248" s="550"/>
      <c r="R248" s="550"/>
      <c r="S248" s="550"/>
      <c r="T248" s="550"/>
      <c r="U248" s="550"/>
      <c r="V248" s="550"/>
      <c r="W248" s="550"/>
      <c r="X248" s="550"/>
      <c r="Y248" s="550"/>
      <c r="Z248" s="550"/>
      <c r="AA248" s="550"/>
      <c r="AB248" s="550"/>
      <c r="AC248" s="550"/>
      <c r="AD248" s="550"/>
      <c r="AE248" s="550"/>
      <c r="AF248" s="550"/>
      <c r="AG248" s="550"/>
      <c r="AH248" s="550"/>
      <c r="AI248" s="550"/>
      <c r="AJ248" s="550"/>
      <c r="AK248" s="550"/>
      <c r="AL248" s="550"/>
      <c r="AM248" s="550"/>
      <c r="AN248" s="187"/>
      <c r="AO248" s="187"/>
      <c r="AP248" s="188"/>
      <c r="AQ248" s="444"/>
    </row>
    <row r="249" spans="1:62" ht="17.2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row>
    <row r="251" spans="1:62" ht="20.25" customHeight="1">
      <c r="AW251" s="878"/>
      <c r="AX251" s="878"/>
      <c r="AY251" s="878"/>
      <c r="AZ251" s="878"/>
      <c r="BA251" s="878"/>
      <c r="BB251" s="878"/>
      <c r="BC251" s="878"/>
      <c r="BD251" s="878"/>
    </row>
    <row r="253" spans="1:62" ht="13.5" thickBot="1">
      <c r="AT253" s="878"/>
    </row>
    <row r="254" spans="1:62" ht="20.25">
      <c r="A254" s="205" t="s">
        <v>662</v>
      </c>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7"/>
      <c r="AV254" s="204"/>
      <c r="AW254" s="205" t="s">
        <v>638</v>
      </c>
      <c r="AX254" s="206"/>
      <c r="AY254" s="206"/>
      <c r="AZ254" s="206"/>
      <c r="BA254" s="206"/>
      <c r="BB254" s="206"/>
      <c r="BC254" s="206"/>
      <c r="BD254" s="206"/>
      <c r="BE254" s="206"/>
      <c r="BF254" s="206"/>
      <c r="BG254" s="206"/>
      <c r="BH254" s="206"/>
      <c r="BI254" s="206"/>
      <c r="BJ254" s="207"/>
    </row>
    <row r="255" spans="1:62" hidden="1" outlineLevel="1">
      <c r="AT255" s="878"/>
      <c r="AV255" s="208"/>
      <c r="AW255" s="91"/>
      <c r="AX255" s="91"/>
      <c r="AY255" s="91"/>
      <c r="AZ255" s="91"/>
      <c r="BA255" s="91"/>
      <c r="BB255" s="91"/>
      <c r="BC255" s="91"/>
      <c r="BD255" s="91"/>
      <c r="BE255" s="91"/>
      <c r="BF255" s="91"/>
      <c r="BG255" s="91"/>
      <c r="BH255" s="91"/>
      <c r="BI255" s="91"/>
      <c r="BJ255" s="209"/>
    </row>
    <row r="256" spans="1:62" ht="15" hidden="1" outlineLevel="1">
      <c r="AO256" s="878"/>
      <c r="AP256" s="878"/>
      <c r="AQ256" s="878"/>
      <c r="AR256" s="878"/>
      <c r="AS256" s="878"/>
      <c r="AT256" s="878"/>
      <c r="AV256" s="210" t="s">
        <v>33</v>
      </c>
      <c r="AW256" s="211" t="s">
        <v>586</v>
      </c>
      <c r="AX256" s="91"/>
      <c r="AY256" s="91"/>
      <c r="AZ256" s="359" t="s">
        <v>637</v>
      </c>
      <c r="BA256" s="231"/>
      <c r="BB256" s="360" t="s">
        <v>636</v>
      </c>
      <c r="BC256" s="231"/>
      <c r="BD256" s="231"/>
      <c r="BE256" s="232"/>
      <c r="BF256" s="91"/>
      <c r="BG256" s="91"/>
      <c r="BH256" s="91"/>
      <c r="BI256" s="91"/>
      <c r="BJ256" s="209"/>
    </row>
    <row r="257" spans="46:62" hidden="1" outlineLevel="1">
      <c r="AT257" s="878"/>
      <c r="AV257" s="357">
        <v>1</v>
      </c>
      <c r="AW257" s="91" t="str">
        <f>C12</f>
        <v>Share Capital</v>
      </c>
      <c r="AX257" s="212">
        <f ca="1">J12</f>
        <v>230000</v>
      </c>
      <c r="AY257" s="91"/>
      <c r="AZ257" s="361">
        <f ca="1">IF(AX257&lt;&gt;0,AV257,"")</f>
        <v>1</v>
      </c>
      <c r="BA257" s="358">
        <f ca="1">IF(ISERROR(SMALL($AZ$257:$AZ$262,AV257)),"",SMALL($AZ$257:$AZ$262,AV257))</f>
        <v>1</v>
      </c>
      <c r="BB257" s="61"/>
      <c r="BC257" s="62" t="str">
        <f ca="1">IF(BA257="","",VLOOKUP(BA257,$AV$257:$AX$262,2))</f>
        <v>Share Capital</v>
      </c>
      <c r="BD257" s="212">
        <f ca="1">IF(BA257="","",VLOOKUP(BA257,$AV$257:$AX$262,3))</f>
        <v>230000</v>
      </c>
      <c r="BE257" s="135"/>
      <c r="BF257" s="91"/>
      <c r="BG257" s="91"/>
      <c r="BH257" s="91"/>
      <c r="BI257" s="91"/>
      <c r="BJ257" s="209"/>
    </row>
    <row r="258" spans="46:62" hidden="1" outlineLevel="1">
      <c r="AT258" s="878"/>
      <c r="AV258" s="357">
        <v>2</v>
      </c>
      <c r="AW258" s="91" t="str">
        <f>C14</f>
        <v>Debt: EasyCredit</v>
      </c>
      <c r="AX258" s="212">
        <f ca="1">J14</f>
        <v>0</v>
      </c>
      <c r="AY258" s="91"/>
      <c r="AZ258" s="361" t="str">
        <f t="shared" ref="AZ258:AZ262" ca="1" si="12">IF(AX258&lt;&gt;0,AV258,"")</f>
        <v/>
      </c>
      <c r="BA258" s="358">
        <f t="shared" ref="BA258:BA262" ca="1" si="13">IF(ISERROR(SMALL($AZ$257:$AZ$262,AV258)),"",SMALL($AZ$257:$AZ$262,AV258))</f>
        <v>3</v>
      </c>
      <c r="BB258" s="61"/>
      <c r="BC258" s="62" t="str">
        <f t="shared" ref="BC258:BC262" ca="1" si="14">IF(BA258="","",VLOOKUP(BA258,$AV$257:$AX$262,2))</f>
        <v>Debt: URB Bank</v>
      </c>
      <c r="BD258" s="212">
        <f t="shared" ref="BD258:BD262" ca="1" si="15">IF(BA258="","",VLOOKUP(BA258,$AV$257:$AX$262,3))</f>
        <v>70000</v>
      </c>
      <c r="BE258" s="135"/>
      <c r="BF258" s="91"/>
      <c r="BG258" s="91"/>
      <c r="BH258" s="91"/>
      <c r="BI258" s="91"/>
      <c r="BJ258" s="209"/>
    </row>
    <row r="259" spans="46:62" hidden="1" outlineLevel="1">
      <c r="AT259" s="878"/>
      <c r="AV259" s="357">
        <v>3</v>
      </c>
      <c r="AW259" s="91" t="str">
        <f>C15</f>
        <v>Debt: URB Bank</v>
      </c>
      <c r="AX259" s="212">
        <f>J15</f>
        <v>70000</v>
      </c>
      <c r="AY259" s="91"/>
      <c r="AZ259" s="361">
        <f t="shared" si="12"/>
        <v>3</v>
      </c>
      <c r="BA259" s="358">
        <f t="shared" ca="1" si="13"/>
        <v>4</v>
      </c>
      <c r="BB259" s="61"/>
      <c r="BC259" s="62" t="str">
        <f t="shared" ca="1" si="14"/>
        <v>Debt: FounderBank</v>
      </c>
      <c r="BD259" s="212">
        <f t="shared" ca="1" si="15"/>
        <v>110000</v>
      </c>
      <c r="BE259" s="135"/>
      <c r="BF259" s="91"/>
      <c r="BG259" s="91"/>
      <c r="BH259" s="91"/>
      <c r="BI259" s="91"/>
      <c r="BJ259" s="209"/>
    </row>
    <row r="260" spans="46:62" hidden="1" outlineLevel="1">
      <c r="AT260" s="878"/>
      <c r="AV260" s="357">
        <v>4</v>
      </c>
      <c r="AW260" s="91" t="str">
        <f>C16</f>
        <v>Debt: FounderBank</v>
      </c>
      <c r="AX260" s="212">
        <f>J16</f>
        <v>110000</v>
      </c>
      <c r="AY260" s="91"/>
      <c r="AZ260" s="361">
        <f t="shared" si="12"/>
        <v>4</v>
      </c>
      <c r="BA260" s="358">
        <f t="shared" ca="1" si="13"/>
        <v>5</v>
      </c>
      <c r="BB260" s="61"/>
      <c r="BC260" s="62" t="str">
        <f t="shared" ca="1" si="14"/>
        <v>Debt: Shareholder Loan</v>
      </c>
      <c r="BD260" s="212">
        <f t="shared" ca="1" si="15"/>
        <v>50000</v>
      </c>
      <c r="BE260" s="135"/>
      <c r="BF260" s="91"/>
      <c r="BG260" s="91"/>
      <c r="BH260" s="91"/>
      <c r="BI260" s="91"/>
      <c r="BJ260" s="209"/>
    </row>
    <row r="261" spans="46:62" hidden="1" outlineLevel="1">
      <c r="AT261" s="878"/>
      <c r="AV261" s="357">
        <v>5</v>
      </c>
      <c r="AW261" s="91" t="str">
        <f>C17</f>
        <v>Debt: Shareholder Loan</v>
      </c>
      <c r="AX261" s="212">
        <f>J17</f>
        <v>50000</v>
      </c>
      <c r="AY261" s="91"/>
      <c r="AZ261" s="361">
        <f t="shared" si="12"/>
        <v>5</v>
      </c>
      <c r="BA261" s="358">
        <f t="shared" ca="1" si="13"/>
        <v>6</v>
      </c>
      <c r="BB261" s="61"/>
      <c r="BC261" s="62" t="str">
        <f t="shared" ca="1" si="14"/>
        <v>Overdraft Facility</v>
      </c>
      <c r="BD261" s="212">
        <f t="shared" ca="1" si="15"/>
        <v>60479.340360609247</v>
      </c>
      <c r="BE261" s="135"/>
      <c r="BF261" s="91"/>
      <c r="BG261" s="91"/>
      <c r="BH261" s="91"/>
      <c r="BI261" s="91"/>
      <c r="BJ261" s="209"/>
    </row>
    <row r="262" spans="46:62" hidden="1" outlineLevel="1">
      <c r="AT262" s="878"/>
      <c r="AV262" s="357">
        <v>6</v>
      </c>
      <c r="AW262" s="91" t="str">
        <f>C18</f>
        <v>Overdraft Facility</v>
      </c>
      <c r="AX262" s="212">
        <f ca="1">J18</f>
        <v>60479.340360609247</v>
      </c>
      <c r="AY262" s="91"/>
      <c r="AZ262" s="361">
        <f t="shared" ca="1" si="12"/>
        <v>6</v>
      </c>
      <c r="BA262" s="358" t="str">
        <f t="shared" ca="1" si="13"/>
        <v/>
      </c>
      <c r="BB262" s="61"/>
      <c r="BC262" s="62" t="str">
        <f t="shared" ca="1" si="14"/>
        <v/>
      </c>
      <c r="BD262" s="212" t="str">
        <f t="shared" ca="1" si="15"/>
        <v/>
      </c>
      <c r="BE262" s="135"/>
      <c r="BF262" s="91"/>
      <c r="BG262" s="91"/>
      <c r="BH262" s="91"/>
      <c r="BI262" s="91"/>
      <c r="BJ262" s="209"/>
    </row>
    <row r="263" spans="46:62" hidden="1" outlineLevel="1">
      <c r="AT263" s="878"/>
      <c r="AV263" s="208"/>
      <c r="AW263" s="91"/>
      <c r="AX263" s="91"/>
      <c r="AY263" s="91"/>
      <c r="AZ263" s="362"/>
      <c r="BA263" s="363"/>
      <c r="BB263" s="363"/>
      <c r="BC263" s="364"/>
      <c r="BD263" s="136"/>
      <c r="BE263" s="137"/>
      <c r="BF263" s="91"/>
      <c r="BG263" s="91"/>
      <c r="BH263" s="91"/>
      <c r="BI263" s="91"/>
      <c r="BJ263" s="209"/>
    </row>
    <row r="264" spans="46:62" hidden="1" outlineLevel="1">
      <c r="AT264" s="878"/>
      <c r="AV264" s="208"/>
      <c r="AW264" s="91"/>
      <c r="AX264" s="91"/>
      <c r="AY264" s="91"/>
      <c r="AZ264" s="91"/>
      <c r="BA264" s="91"/>
      <c r="BB264" s="91"/>
      <c r="BC264" s="91"/>
      <c r="BD264" s="91"/>
      <c r="BE264" s="91"/>
      <c r="BF264" s="91"/>
      <c r="BG264" s="91"/>
      <c r="BH264" s="91"/>
      <c r="BI264" s="91"/>
      <c r="BJ264" s="209"/>
    </row>
    <row r="265" spans="46:62" hidden="1" outlineLevel="1">
      <c r="AT265" s="878"/>
      <c r="AV265" s="208"/>
      <c r="AW265" s="91"/>
      <c r="AX265" s="91"/>
      <c r="AY265" s="91"/>
      <c r="AZ265" s="91"/>
      <c r="BA265" s="91"/>
      <c r="BB265" s="233"/>
      <c r="BC265" s="91"/>
      <c r="BD265" s="91"/>
      <c r="BE265" s="91"/>
      <c r="BF265" s="91"/>
      <c r="BG265" s="91"/>
      <c r="BH265" s="91"/>
      <c r="BI265" s="91"/>
      <c r="BJ265" s="209"/>
    </row>
    <row r="266" spans="46:62" ht="15" hidden="1" outlineLevel="1">
      <c r="AT266" s="878"/>
      <c r="AV266" s="210" t="s">
        <v>34</v>
      </c>
      <c r="AW266" s="211" t="s">
        <v>635</v>
      </c>
      <c r="AX266" s="91"/>
      <c r="AY266" s="91"/>
      <c r="AZ266" s="91"/>
      <c r="BA266" s="91"/>
      <c r="BB266" s="91"/>
      <c r="BC266" s="91"/>
      <c r="BD266" s="91"/>
      <c r="BE266" s="91"/>
      <c r="BF266" s="91"/>
      <c r="BG266" s="91"/>
      <c r="BH266" s="91"/>
      <c r="BI266" s="91"/>
      <c r="BJ266" s="209"/>
    </row>
    <row r="267" spans="46:62" hidden="1" outlineLevel="1">
      <c r="AT267" s="878"/>
      <c r="AV267" s="208"/>
      <c r="AW267" s="91" t="s">
        <v>310</v>
      </c>
      <c r="AX267" s="412">
        <f ca="1">IFERROR(J13/(J13+J11),0)</f>
        <v>0.55809965513588555</v>
      </c>
      <c r="AY267" s="233"/>
      <c r="AZ267" s="91"/>
      <c r="BA267" s="91"/>
      <c r="BB267" s="91"/>
      <c r="BC267" s="91"/>
      <c r="BD267" s="91"/>
      <c r="BE267" s="91"/>
      <c r="BF267" s="91"/>
      <c r="BG267" s="91"/>
      <c r="BH267" s="91"/>
      <c r="BI267" s="91"/>
      <c r="BJ267" s="209"/>
    </row>
    <row r="268" spans="46:62" hidden="1" outlineLevel="1">
      <c r="AT268" s="878"/>
      <c r="AV268" s="208"/>
      <c r="AW268" s="91" t="s">
        <v>311</v>
      </c>
      <c r="AX268" s="412">
        <f ca="1">IFERROR(J11/(J13+J11),0)</f>
        <v>0.44190034486411439</v>
      </c>
      <c r="AY268" s="91"/>
      <c r="AZ268" s="91"/>
      <c r="BA268" s="91"/>
      <c r="BB268" s="91"/>
      <c r="BC268" s="91"/>
      <c r="BD268" s="91"/>
      <c r="BE268" s="91"/>
      <c r="BF268" s="91"/>
      <c r="BG268" s="91"/>
      <c r="BH268" s="91"/>
      <c r="BI268" s="91"/>
      <c r="BJ268" s="209"/>
    </row>
    <row r="269" spans="46:62" hidden="1" outlineLevel="1">
      <c r="AT269" s="878"/>
      <c r="AV269" s="208"/>
      <c r="AW269" s="91"/>
      <c r="AX269" s="91"/>
      <c r="AY269" s="91"/>
      <c r="AZ269" s="91"/>
      <c r="BA269" s="91"/>
      <c r="BB269" s="91"/>
      <c r="BC269" s="91"/>
      <c r="BD269" s="91"/>
      <c r="BE269" s="91"/>
      <c r="BF269" s="91"/>
      <c r="BG269" s="91"/>
      <c r="BH269" s="91"/>
      <c r="BI269" s="91"/>
      <c r="BJ269" s="209"/>
    </row>
    <row r="270" spans="46:62" hidden="1" outlineLevel="1">
      <c r="AT270" s="878"/>
      <c r="AV270" s="208"/>
      <c r="AW270" s="91"/>
      <c r="AX270" s="91"/>
      <c r="AY270" s="91"/>
      <c r="AZ270" s="91"/>
      <c r="BA270" s="91"/>
      <c r="BB270" s="91"/>
      <c r="BC270" s="91"/>
      <c r="BD270" s="91"/>
      <c r="BE270" s="91"/>
      <c r="BF270" s="91"/>
      <c r="BG270" s="91"/>
      <c r="BH270" s="91"/>
      <c r="BI270" s="91"/>
      <c r="BJ270" s="209"/>
    </row>
    <row r="271" spans="46:62" ht="15" hidden="1" outlineLevel="1">
      <c r="AT271" s="878"/>
      <c r="AV271" s="210" t="s">
        <v>35</v>
      </c>
      <c r="AW271" s="211" t="str">
        <f>CHOOSE(language,"Turnover, Gross Profit and Net Profit","Revenue, Gross Profit and Net Profit")</f>
        <v>Revenue, Gross Profit and Net Profit</v>
      </c>
      <c r="AX271" s="91"/>
      <c r="AY271" s="91"/>
      <c r="AZ271" s="91"/>
      <c r="BA271" s="91"/>
      <c r="BB271" s="91"/>
      <c r="BC271" s="91"/>
      <c r="BD271" s="91"/>
      <c r="BE271" s="91"/>
      <c r="BF271" s="91"/>
      <c r="BG271" s="91"/>
      <c r="BH271" s="91"/>
      <c r="BI271" s="91"/>
      <c r="BJ271" s="209"/>
    </row>
    <row r="272" spans="46:62" hidden="1" outlineLevel="1">
      <c r="AT272" s="878"/>
      <c r="AV272" s="208"/>
      <c r="AW272" s="91"/>
      <c r="AX272" s="358" t="str">
        <f>'Summary 02'!$V$5</f>
        <v>FY 2017</v>
      </c>
      <c r="AY272" s="358" t="str">
        <f>'Summary 02'!$AA$5</f>
        <v>FY 2018</v>
      </c>
      <c r="AZ272" s="91"/>
      <c r="BA272" s="91"/>
      <c r="BB272" s="91"/>
      <c r="BC272" s="91"/>
      <c r="BD272" s="91"/>
      <c r="BE272" s="91"/>
      <c r="BF272" s="91"/>
      <c r="BG272" s="91"/>
      <c r="BH272" s="91"/>
      <c r="BI272" s="91"/>
      <c r="BJ272" s="209"/>
    </row>
    <row r="273" spans="46:62" hidden="1" outlineLevel="1">
      <c r="AT273" s="878"/>
      <c r="AV273" s="208"/>
      <c r="AW273" s="91" t="str">
        <f>C61</f>
        <v>Revenue</v>
      </c>
      <c r="AX273" s="212">
        <f ca="1">L61/Thousand*Currency_Unit</f>
        <v>391.42900416910851</v>
      </c>
      <c r="AY273" s="212">
        <f ca="1">Q61/Thousand*Currency_Unit</f>
        <v>1282.2911234232927</v>
      </c>
      <c r="AZ273" s="91"/>
      <c r="BA273" s="91"/>
      <c r="BB273" s="91"/>
      <c r="BC273" s="91"/>
      <c r="BD273" s="91"/>
      <c r="BE273" s="91"/>
      <c r="BF273" s="91"/>
      <c r="BG273" s="91"/>
      <c r="BH273" s="91"/>
      <c r="BI273" s="91"/>
      <c r="BJ273" s="209"/>
    </row>
    <row r="274" spans="46:62" hidden="1" outlineLevel="1">
      <c r="AT274" s="878"/>
      <c r="AV274" s="208"/>
      <c r="AW274" s="91" t="str">
        <f>C67</f>
        <v>Gross Profit</v>
      </c>
      <c r="AX274" s="212">
        <f ca="1">L67/Thousand*Currency_Unit</f>
        <v>300.80654364312494</v>
      </c>
      <c r="AY274" s="212">
        <f ca="1">Q67/Thousand*Currency_Unit</f>
        <v>966.06522035662226</v>
      </c>
      <c r="AZ274" s="91"/>
      <c r="BA274" s="91"/>
      <c r="BB274" s="91"/>
      <c r="BC274" s="91"/>
      <c r="BD274" s="91"/>
      <c r="BE274" s="91"/>
      <c r="BF274" s="91"/>
      <c r="BG274" s="91"/>
      <c r="BH274" s="91"/>
      <c r="BI274" s="91"/>
      <c r="BJ274" s="209"/>
    </row>
    <row r="275" spans="46:62" hidden="1" outlineLevel="1">
      <c r="AT275" s="878"/>
      <c r="AV275" s="208"/>
      <c r="AW275" s="91" t="str">
        <f>C83</f>
        <v>Net Profit after Tax (NPAT)</v>
      </c>
      <c r="AX275" s="212">
        <f ca="1">L83/Thousand*Currency_Unit</f>
        <v>-21.616593373115151</v>
      </c>
      <c r="AY275" s="212">
        <f ca="1">Q83/Thousand*Currency_Unit</f>
        <v>204.93771788136405</v>
      </c>
      <c r="AZ275" s="91"/>
      <c r="BA275" s="91"/>
      <c r="BB275" s="91"/>
      <c r="BC275" s="91"/>
      <c r="BD275" s="91"/>
      <c r="BE275" s="91"/>
      <c r="BF275" s="91"/>
      <c r="BG275" s="91"/>
      <c r="BH275" s="91"/>
      <c r="BI275" s="91"/>
      <c r="BJ275" s="209"/>
    </row>
    <row r="276" spans="46:62" hidden="1" outlineLevel="1">
      <c r="AT276" s="878"/>
      <c r="AV276" s="208"/>
      <c r="AW276" s="91"/>
      <c r="AX276" s="91"/>
      <c r="AY276" s="91"/>
      <c r="AZ276" s="91"/>
      <c r="BA276" s="91"/>
      <c r="BB276" s="91"/>
      <c r="BC276" s="91"/>
      <c r="BD276" s="91"/>
      <c r="BE276" s="91"/>
      <c r="BF276" s="91"/>
      <c r="BG276" s="91"/>
      <c r="BH276" s="91"/>
      <c r="BI276" s="91"/>
      <c r="BJ276" s="209"/>
    </row>
    <row r="277" spans="46:62" hidden="1" outlineLevel="1">
      <c r="AT277" s="878"/>
      <c r="AV277" s="208"/>
      <c r="AW277" s="91"/>
      <c r="AX277" s="1052">
        <f>YEAR(AX278)</f>
        <v>2018</v>
      </c>
      <c r="AY277" s="1052">
        <f t="shared" ref="AY277" si="16">YEAR(AY278)</f>
        <v>2019</v>
      </c>
      <c r="AZ277" s="91"/>
      <c r="BA277" s="91"/>
      <c r="BB277" s="91"/>
      <c r="BC277" s="91"/>
      <c r="BD277" s="91"/>
      <c r="BE277" s="91"/>
      <c r="BF277" s="91"/>
      <c r="BG277" s="91"/>
      <c r="BH277" s="91"/>
      <c r="BI277" s="91"/>
      <c r="BJ277" s="209"/>
    </row>
    <row r="278" spans="46:62" ht="15" hidden="1" outlineLevel="1">
      <c r="AT278" s="878"/>
      <c r="AV278" s="210" t="s">
        <v>37</v>
      </c>
      <c r="AW278" s="211" t="s">
        <v>655</v>
      </c>
      <c r="AX278" s="888">
        <f>Inputs!K21</f>
        <v>43434</v>
      </c>
      <c r="AY278" s="888">
        <f>EOMONTH(AX278,12)</f>
        <v>43799</v>
      </c>
      <c r="AZ278" s="91"/>
      <c r="BA278" s="91"/>
      <c r="BB278" s="91"/>
      <c r="BC278" s="91"/>
      <c r="BD278" s="91"/>
      <c r="BE278" s="91"/>
      <c r="BF278" s="91"/>
      <c r="BG278" s="91"/>
      <c r="BH278" s="91"/>
      <c r="BI278" s="91"/>
      <c r="BJ278" s="209"/>
    </row>
    <row r="279" spans="46:62" hidden="1" outlineLevel="1">
      <c r="AT279" s="878"/>
      <c r="AV279" s="208"/>
      <c r="AW279" s="91" t="s">
        <v>656</v>
      </c>
      <c r="AX279" s="358" t="str">
        <f>'Summary 02'!$V$5</f>
        <v>FY 2017</v>
      </c>
      <c r="AY279" s="358" t="str">
        <f>'Summary 02'!$AA$5</f>
        <v>FY 2018</v>
      </c>
      <c r="AZ279" s="91"/>
      <c r="BA279" s="91"/>
      <c r="BB279" s="91"/>
      <c r="BC279" s="91"/>
      <c r="BD279" s="91"/>
      <c r="BE279" s="91"/>
      <c r="BF279" s="91"/>
      <c r="BG279" s="91"/>
      <c r="BH279" s="91"/>
      <c r="BI279" s="91"/>
      <c r="BJ279" s="209"/>
    </row>
    <row r="280" spans="46:62" hidden="1" outlineLevel="1">
      <c r="AT280" s="878"/>
      <c r="AV280" s="208"/>
      <c r="AW280" s="91" t="str">
        <f>Inputs!C109</f>
        <v>Direct Labor Staff</v>
      </c>
      <c r="AX280" s="892">
        <f ca="1">SUMPRODUCT((Timing!$J$5:$AG$5=AX$278)*('Human Resources'!$J14:$AG14))</f>
        <v>4.2012176297390003</v>
      </c>
      <c r="AY280" s="892">
        <f ca="1">SUMPRODUCT((Timing!$J$5:$AG$5=AY$278)*('Human Resources'!$J14:$AG14))</f>
        <v>9.0521811266326981</v>
      </c>
      <c r="AZ280" s="800"/>
      <c r="BA280" s="800"/>
      <c r="BB280" s="800"/>
      <c r="BC280" s="800"/>
      <c r="BD280" s="91"/>
      <c r="BE280" s="91"/>
      <c r="BF280" s="91"/>
      <c r="BG280" s="91"/>
      <c r="BH280" s="91"/>
      <c r="BI280" s="91"/>
      <c r="BJ280" s="209"/>
    </row>
    <row r="281" spans="46:62" hidden="1" outlineLevel="1">
      <c r="AT281" s="878"/>
      <c r="AV281" s="208"/>
      <c r="AW281" s="91" t="str">
        <f>Inputs!C112</f>
        <v>Marketing and Sales Staff</v>
      </c>
      <c r="AX281" s="892">
        <f ca="1">SUMPRODUCT((Timing!$J$5:$AG$5=AX$278)*('Human Resources'!$J19:$AG19))</f>
        <v>3.6026207963911832</v>
      </c>
      <c r="AY281" s="892">
        <f ca="1">SUMPRODUCT((Timing!$J$5:$AG$5=AY$278)*('Human Resources'!$J19:$AG19))</f>
        <v>7.2564856265960893</v>
      </c>
      <c r="AZ281" s="61"/>
      <c r="BA281" s="61"/>
      <c r="BB281" s="61"/>
      <c r="BC281" s="61"/>
      <c r="BD281" s="91"/>
      <c r="BE281" s="91"/>
      <c r="BF281" s="91"/>
      <c r="BG281" s="91"/>
      <c r="BH281" s="91"/>
      <c r="BI281" s="91"/>
      <c r="BJ281" s="209"/>
    </row>
    <row r="282" spans="46:62" s="878" customFormat="1" hidden="1" outlineLevel="1">
      <c r="AV282" s="208"/>
      <c r="AW282" s="91" t="str">
        <f>Inputs!C116</f>
        <v>Research and Development Staff</v>
      </c>
      <c r="AX282" s="892">
        <f>SUMPRODUCT((Timing!$J$5:$AG$5=AX$278)*('Human Resources'!$J30:$AG30))</f>
        <v>3</v>
      </c>
      <c r="AY282" s="892">
        <f>SUMPRODUCT((Timing!$J$5:$AG$5=AY$278)*('Human Resources'!$J30:$AG30))</f>
        <v>4</v>
      </c>
      <c r="AZ282" s="61"/>
      <c r="BA282" s="61"/>
      <c r="BB282" s="61"/>
      <c r="BC282" s="61"/>
      <c r="BD282" s="91"/>
      <c r="BE282" s="91"/>
      <c r="BF282" s="91"/>
      <c r="BG282" s="91"/>
      <c r="BH282" s="91"/>
      <c r="BI282" s="91"/>
      <c r="BJ282" s="531"/>
    </row>
    <row r="283" spans="46:62" s="878" customFormat="1" hidden="1" outlineLevel="1">
      <c r="AV283" s="208"/>
      <c r="AW283" s="91" t="str">
        <f>Inputs!C126</f>
        <v>General and Administration Staff</v>
      </c>
      <c r="AX283" s="892">
        <f>SUMPRODUCT((Timing!$J$5:$AG$5=AX$278)*('Human Resources'!$J41:$AG41))</f>
        <v>2</v>
      </c>
      <c r="AY283" s="892">
        <f>SUMPRODUCT((Timing!$J$5:$AG$5=AY$278)*('Human Resources'!$J41:$AG41))</f>
        <v>4</v>
      </c>
      <c r="AZ283" s="61"/>
      <c r="BA283" s="61"/>
      <c r="BB283" s="61"/>
      <c r="BC283" s="61"/>
      <c r="BD283" s="91"/>
      <c r="BE283" s="91"/>
      <c r="BF283" s="91"/>
      <c r="BG283" s="91"/>
      <c r="BH283" s="91"/>
      <c r="BI283" s="91"/>
      <c r="BJ283" s="531"/>
    </row>
    <row r="284" spans="46:62" s="878" customFormat="1" hidden="1" outlineLevel="1">
      <c r="AV284" s="208"/>
      <c r="AW284" s="889" t="s">
        <v>243</v>
      </c>
      <c r="AX284" s="212">
        <f ca="1">SUM(AX280:AX283)</f>
        <v>12.803838426130184</v>
      </c>
      <c r="AY284" s="212">
        <f ca="1">SUM(AY280:AY283)</f>
        <v>24.308666753228788</v>
      </c>
      <c r="AZ284" s="91"/>
      <c r="BA284" s="91"/>
      <c r="BB284" s="91"/>
      <c r="BC284" s="91"/>
      <c r="BD284" s="91"/>
      <c r="BE284" s="91"/>
      <c r="BF284" s="91"/>
      <c r="BG284" s="91"/>
      <c r="BH284" s="91"/>
      <c r="BI284" s="91"/>
      <c r="BJ284" s="531"/>
    </row>
    <row r="285" spans="46:62" s="878" customFormat="1" hidden="1" outlineLevel="1">
      <c r="AV285" s="208"/>
      <c r="AW285" s="91"/>
      <c r="AX285" s="91"/>
      <c r="AY285" s="91"/>
      <c r="AZ285" s="91"/>
      <c r="BA285" s="91"/>
      <c r="BB285" s="91"/>
      <c r="BC285" s="91"/>
      <c r="BD285" s="91"/>
      <c r="BE285" s="91"/>
      <c r="BF285" s="91"/>
      <c r="BG285" s="91"/>
      <c r="BH285" s="91"/>
      <c r="BI285" s="91"/>
      <c r="BJ285" s="531"/>
    </row>
    <row r="286" spans="46:62" s="878" customFormat="1" hidden="1" outlineLevel="1">
      <c r="AV286" s="208"/>
      <c r="AW286" s="91"/>
      <c r="AX286" s="91"/>
      <c r="AY286" s="91"/>
      <c r="AZ286" s="91"/>
      <c r="BA286" s="91"/>
      <c r="BB286" s="91"/>
      <c r="BC286" s="91"/>
      <c r="BD286" s="91"/>
      <c r="BE286" s="91"/>
      <c r="BF286" s="91"/>
      <c r="BG286" s="91"/>
      <c r="BH286" s="91"/>
      <c r="BI286" s="91"/>
      <c r="BJ286" s="531"/>
    </row>
    <row r="287" spans="46:62" ht="15" hidden="1" outlineLevel="1">
      <c r="AT287" s="878"/>
      <c r="AV287" s="210" t="s">
        <v>45</v>
      </c>
      <c r="AW287" s="211" t="s">
        <v>927</v>
      </c>
      <c r="AX287" s="91"/>
      <c r="AY287" s="91"/>
      <c r="AZ287" s="91"/>
      <c r="BA287" s="91"/>
      <c r="BB287" s="91"/>
      <c r="BC287" s="91"/>
      <c r="BD287" s="91"/>
      <c r="BE287" s="91"/>
      <c r="BF287" s="91"/>
      <c r="BG287" s="91"/>
      <c r="BH287" s="91"/>
      <c r="BI287" s="91"/>
      <c r="BJ287" s="209"/>
    </row>
    <row r="288" spans="46:62" hidden="1" outlineLevel="1">
      <c r="AT288" s="878"/>
      <c r="AV288" s="208"/>
      <c r="AW288" s="61"/>
      <c r="AX288" s="865">
        <f>IFS!J5</f>
        <v>43159</v>
      </c>
      <c r="AY288" s="865">
        <f>IFS!K5</f>
        <v>43190</v>
      </c>
      <c r="AZ288" s="865">
        <f>IFS!L5</f>
        <v>43220</v>
      </c>
      <c r="BA288" s="865">
        <f>IFS!M5</f>
        <v>43251</v>
      </c>
      <c r="BB288" s="865">
        <f>IFS!N5</f>
        <v>43281</v>
      </c>
      <c r="BC288" s="865">
        <f>IFS!O5</f>
        <v>43312</v>
      </c>
      <c r="BD288" s="865">
        <f>IFS!P5</f>
        <v>43343</v>
      </c>
      <c r="BE288" s="865">
        <f>IFS!Q5</f>
        <v>43373</v>
      </c>
      <c r="BF288" s="865">
        <f>IFS!R5</f>
        <v>43404</v>
      </c>
      <c r="BG288" s="865">
        <f>IFS!S5</f>
        <v>43434</v>
      </c>
      <c r="BH288" s="865">
        <f>IFS!T5</f>
        <v>43465</v>
      </c>
      <c r="BI288" s="865">
        <f>IFS!U5</f>
        <v>43496</v>
      </c>
      <c r="BJ288" s="213"/>
    </row>
    <row r="289" spans="41:62" hidden="1" outlineLevel="1">
      <c r="AT289" s="878"/>
      <c r="AV289" s="208"/>
      <c r="AW289" s="91" t="s">
        <v>733</v>
      </c>
      <c r="AX289" s="212">
        <f ca="1">LOOKUP(AX288,IFS!$J$5:$AG$5,IFS!$J$147:$AG$147)</f>
        <v>0</v>
      </c>
      <c r="AY289" s="212">
        <f ca="1">LOOKUP(AY288,IFS!$J$5:$AG$5,IFS!$J$147:$AG$147)</f>
        <v>0</v>
      </c>
      <c r="AZ289" s="212">
        <f ca="1">LOOKUP(AZ288,IFS!$J$5:$AG$5,IFS!$J$147:$AG$147)</f>
        <v>90215.963050000006</v>
      </c>
      <c r="BA289" s="212">
        <f ca="1">LOOKUP(BA288,IFS!$J$5:$AG$5,IFS!$J$147:$AG$147)</f>
        <v>108534.97663</v>
      </c>
      <c r="BB289" s="212">
        <f ca="1">LOOKUP(BB288,IFS!$J$5:$AG$5,IFS!$J$147:$AG$147)</f>
        <v>70315.142420000004</v>
      </c>
      <c r="BC289" s="212">
        <f ca="1">LOOKUP(BC288,IFS!$J$5:$AG$5,IFS!$J$147:$AG$147)</f>
        <v>29674.744600000005</v>
      </c>
      <c r="BD289" s="212">
        <f ca="1">LOOKUP(BD288,IFS!$J$5:$AG$5,IFS!$J$147:$AG$147)</f>
        <v>77712.458160000009</v>
      </c>
      <c r="BE289" s="212">
        <f ca="1">LOOKUP(BE288,IFS!$J$5:$AG$5,IFS!$J$147:$AG$147)</f>
        <v>15584.772410000012</v>
      </c>
      <c r="BF289" s="212">
        <f ca="1">LOOKUP(BF288,IFS!$J$5:$AG$5,IFS!$J$147:$AG$147)</f>
        <v>0</v>
      </c>
      <c r="BG289" s="212">
        <f ca="1">LOOKUP(BG288,IFS!$J$5:$AG$5,IFS!$J$147:$AG$147)</f>
        <v>147315.40580000001</v>
      </c>
      <c r="BH289" s="212">
        <f ca="1">LOOKUP(BH288,IFS!$J$5:$AG$5,IFS!$J$147:$AG$147)</f>
        <v>79617.295440000002</v>
      </c>
      <c r="BI289" s="212">
        <f ca="1">LOOKUP(BI288,IFS!$J$5:$AG$5,IFS!$J$147:$AG$147)</f>
        <v>9922.5987000000023</v>
      </c>
      <c r="BJ289" s="209"/>
    </row>
    <row r="290" spans="41:62" hidden="1" outlineLevel="1">
      <c r="AT290" s="878"/>
      <c r="AV290" s="208"/>
      <c r="AW290" s="91" t="s">
        <v>928</v>
      </c>
      <c r="AX290" s="212">
        <f ca="1">-LOOKUP(AX288,Financing!$J$5:$AG$5,Financing!$J$69:$AG$69)</f>
        <v>0</v>
      </c>
      <c r="AY290" s="212">
        <f ca="1">-LOOKUP(AY288,Financing!$J$5:$AG$5,Financing!$J$69:$AG$69)</f>
        <v>0</v>
      </c>
      <c r="AZ290" s="212">
        <f ca="1">-LOOKUP(AZ288,Financing!$J$5:$AG$5,Financing!$J$69:$AG$69)</f>
        <v>0</v>
      </c>
      <c r="BA290" s="212">
        <f ca="1">-LOOKUP(BA288,Financing!$J$5:$AG$5,Financing!$J$69:$AG$69)</f>
        <v>0</v>
      </c>
      <c r="BB290" s="212">
        <f ca="1">-LOOKUP(BB288,Financing!$J$5:$AG$5,Financing!$J$69:$AG$69)</f>
        <v>0</v>
      </c>
      <c r="BC290" s="212">
        <f ca="1">-LOOKUP(BC288,Financing!$J$5:$AG$5,Financing!$J$69:$AG$69)</f>
        <v>0</v>
      </c>
      <c r="BD290" s="212">
        <f ca="1">-LOOKUP(BD288,Financing!$J$5:$AG$5,Financing!$J$69:$AG$69)</f>
        <v>0</v>
      </c>
      <c r="BE290" s="212">
        <f ca="1">-LOOKUP(BE288,Financing!$J$5:$AG$5,Financing!$J$69:$AG$69)</f>
        <v>0</v>
      </c>
      <c r="BF290" s="212">
        <f ca="1">-LOOKUP(BF288,Financing!$J$5:$AG$5,Financing!$J$69:$AG$69)</f>
        <v>-45155.543174629362</v>
      </c>
      <c r="BG290" s="212">
        <f ca="1">-LOOKUP(BG288,Financing!$J$5:$AG$5,Financing!$J$69:$AG$69)</f>
        <v>0</v>
      </c>
      <c r="BH290" s="212">
        <f ca="1">-LOOKUP(BH288,Financing!$J$5:$AG$5,Financing!$J$69:$AG$69)</f>
        <v>0</v>
      </c>
      <c r="BI290" s="212">
        <f ca="1">-LOOKUP(BI288,Financing!$J$5:$AG$5,Financing!$J$69:$AG$69)</f>
        <v>0</v>
      </c>
      <c r="BJ290" s="209"/>
    </row>
    <row r="291" spans="41:62" hidden="1" outlineLevel="1">
      <c r="AT291" s="878"/>
      <c r="AV291" s="208"/>
      <c r="AW291" s="48" t="s">
        <v>634</v>
      </c>
      <c r="AX291" s="212">
        <f>-Inputs!$F$191</f>
        <v>-100000</v>
      </c>
      <c r="AY291" s="212">
        <f>-Inputs!$F$191</f>
        <v>-100000</v>
      </c>
      <c r="AZ291" s="212">
        <f>-Inputs!$F$191</f>
        <v>-100000</v>
      </c>
      <c r="BA291" s="212">
        <f>-Inputs!$F$191</f>
        <v>-100000</v>
      </c>
      <c r="BB291" s="212">
        <f>-Inputs!$F$191</f>
        <v>-100000</v>
      </c>
      <c r="BC291" s="212">
        <f>-Inputs!$F$191</f>
        <v>-100000</v>
      </c>
      <c r="BD291" s="212">
        <f>-Inputs!$F$191</f>
        <v>-100000</v>
      </c>
      <c r="BE291" s="212">
        <f>-Inputs!$F$191</f>
        <v>-100000</v>
      </c>
      <c r="BF291" s="212">
        <f>-Inputs!$F$191</f>
        <v>-100000</v>
      </c>
      <c r="BG291" s="212">
        <f>-Inputs!$F$191</f>
        <v>-100000</v>
      </c>
      <c r="BH291" s="212">
        <f>-Inputs!$F$191</f>
        <v>-100000</v>
      </c>
      <c r="BI291" s="212">
        <f>-Inputs!$F$191</f>
        <v>-100000</v>
      </c>
      <c r="BJ291" s="209"/>
    </row>
    <row r="292" spans="41:62" hidden="1" outlineLevel="1">
      <c r="AT292" s="878"/>
      <c r="AV292" s="529"/>
      <c r="AW292" s="48"/>
      <c r="AX292" s="530"/>
      <c r="AY292" s="530"/>
      <c r="AZ292" s="530"/>
      <c r="BA292" s="530"/>
      <c r="BB292" s="530"/>
      <c r="BC292" s="530"/>
      <c r="BD292" s="530"/>
      <c r="BE292" s="530"/>
      <c r="BF292" s="530"/>
      <c r="BG292" s="530"/>
      <c r="BH292" s="530"/>
      <c r="BI292" s="530"/>
      <c r="BJ292" s="531"/>
    </row>
    <row r="293" spans="41:62" ht="15" hidden="1" outlineLevel="1">
      <c r="AT293" s="878"/>
      <c r="AV293" s="210" t="s">
        <v>38</v>
      </c>
      <c r="AW293" s="211" t="s">
        <v>53</v>
      </c>
      <c r="AX293" s="620"/>
      <c r="AY293" s="530"/>
      <c r="AZ293" s="530"/>
      <c r="BA293" s="530"/>
      <c r="BB293" s="530"/>
      <c r="BC293" s="530"/>
      <c r="BD293" s="530"/>
      <c r="BE293" s="530"/>
      <c r="BF293" s="530"/>
      <c r="BG293" s="530"/>
      <c r="BH293" s="530"/>
      <c r="BI293" s="530"/>
      <c r="BJ293" s="531"/>
    </row>
    <row r="294" spans="41:62" hidden="1" outlineLevel="1">
      <c r="AO294" s="799"/>
      <c r="AT294" s="878"/>
      <c r="AV294" s="529"/>
      <c r="AW294" s="91"/>
      <c r="AX294" s="91"/>
      <c r="AY294" s="91"/>
      <c r="AZ294" s="91"/>
      <c r="BA294" s="91"/>
      <c r="BB294" s="91"/>
      <c r="BC294" s="91"/>
      <c r="BD294" s="530"/>
      <c r="BE294" s="530"/>
      <c r="BF294" s="530"/>
      <c r="BG294" s="530"/>
      <c r="BH294" s="530"/>
      <c r="BI294" s="530"/>
      <c r="BJ294" s="531"/>
    </row>
    <row r="295" spans="41:62" hidden="1" outlineLevel="1">
      <c r="AO295" s="799"/>
      <c r="AT295" s="878"/>
      <c r="AV295" s="529"/>
      <c r="AW295" s="530"/>
      <c r="AX295" s="530"/>
      <c r="AY295" s="530"/>
      <c r="AZ295" s="530"/>
      <c r="BA295" s="530"/>
      <c r="BB295" s="530"/>
      <c r="BC295" s="530"/>
      <c r="BD295" s="530"/>
      <c r="BE295" s="530"/>
      <c r="BF295" s="530"/>
      <c r="BG295" s="530"/>
      <c r="BH295" s="530"/>
      <c r="BI295" s="530"/>
      <c r="BJ295" s="531"/>
    </row>
    <row r="296" spans="41:62" hidden="1" outlineLevel="1">
      <c r="AO296" s="799"/>
      <c r="AT296" s="878"/>
      <c r="AV296" s="529"/>
      <c r="AW296" s="530"/>
      <c r="AX296" s="530"/>
      <c r="AY296" s="530"/>
      <c r="AZ296" s="530"/>
      <c r="BA296" s="530"/>
      <c r="BB296" s="530"/>
      <c r="BC296" s="530"/>
      <c r="BD296" s="530"/>
      <c r="BE296" s="530"/>
      <c r="BF296" s="530"/>
      <c r="BG296" s="530"/>
      <c r="BH296" s="530"/>
      <c r="BI296" s="530"/>
      <c r="BJ296" s="531"/>
    </row>
    <row r="297" spans="41:62" hidden="1" outlineLevel="1">
      <c r="AO297" s="799"/>
      <c r="AT297" s="878"/>
      <c r="AV297" s="529"/>
      <c r="AW297" s="530"/>
      <c r="AX297" s="530"/>
      <c r="AY297" s="530"/>
      <c r="AZ297" s="530"/>
      <c r="BA297" s="530"/>
      <c r="BB297" s="530"/>
      <c r="BC297" s="530"/>
      <c r="BD297" s="530"/>
      <c r="BE297" s="530"/>
      <c r="BF297" s="530"/>
      <c r="BG297" s="530"/>
      <c r="BH297" s="530"/>
      <c r="BI297" s="530"/>
      <c r="BJ297" s="531"/>
    </row>
    <row r="298" spans="41:62" hidden="1" outlineLevel="1">
      <c r="AO298" s="799"/>
      <c r="AT298" s="878"/>
      <c r="AV298" s="529"/>
      <c r="AW298" s="530"/>
      <c r="AX298" s="530"/>
      <c r="AY298" s="530"/>
      <c r="AZ298" s="530"/>
      <c r="BA298" s="530"/>
      <c r="BB298" s="530"/>
      <c r="BC298" s="530"/>
      <c r="BD298" s="530"/>
      <c r="BE298" s="530"/>
      <c r="BF298" s="530"/>
      <c r="BG298" s="530"/>
      <c r="BH298" s="530"/>
      <c r="BI298" s="530"/>
      <c r="BJ298" s="531"/>
    </row>
    <row r="299" spans="41:62" ht="13.5" hidden="1" outlineLevel="1" thickBot="1">
      <c r="AO299" s="799"/>
      <c r="AT299" s="878"/>
      <c r="AV299" s="214"/>
      <c r="AW299" s="200"/>
      <c r="AX299" s="200"/>
      <c r="AY299" s="200"/>
      <c r="AZ299" s="200"/>
      <c r="BA299" s="200"/>
      <c r="BB299" s="200"/>
      <c r="BC299" s="200"/>
      <c r="BD299" s="200"/>
      <c r="BE299" s="200"/>
      <c r="BF299" s="200"/>
      <c r="BG299" s="200"/>
      <c r="BH299" s="200"/>
      <c r="BI299" s="200"/>
      <c r="BJ299" s="215"/>
    </row>
    <row r="300" spans="41:62" hidden="1" outlineLevel="1">
      <c r="AT300" s="878"/>
    </row>
    <row r="301" spans="41:62" collapsed="1"/>
  </sheetData>
  <sheetProtection password="F66A" sheet="1"/>
  <mergeCells count="32">
    <mergeCell ref="AI51:AL51"/>
    <mergeCell ref="P37:S37"/>
    <mergeCell ref="P36:S36"/>
    <mergeCell ref="P38:S38"/>
    <mergeCell ref="P48:S48"/>
    <mergeCell ref="P49:S49"/>
    <mergeCell ref="P51:S51"/>
    <mergeCell ref="P47:S47"/>
    <mergeCell ref="AI36:AL36"/>
    <mergeCell ref="AI39:AL39"/>
    <mergeCell ref="AI43:AL43"/>
    <mergeCell ref="AI47:AL47"/>
    <mergeCell ref="AI44:AL44"/>
    <mergeCell ref="AI45:AL45"/>
    <mergeCell ref="AI46:AL46"/>
    <mergeCell ref="AI37:AL37"/>
    <mergeCell ref="AI50:AL50"/>
    <mergeCell ref="AF4:AH4"/>
    <mergeCell ref="P43:S43"/>
    <mergeCell ref="P44:S44"/>
    <mergeCell ref="P45:S45"/>
    <mergeCell ref="P46:S46"/>
    <mergeCell ref="P39:S39"/>
    <mergeCell ref="P40:S40"/>
    <mergeCell ref="P41:S41"/>
    <mergeCell ref="P42:S42"/>
    <mergeCell ref="AI48:AL48"/>
    <mergeCell ref="AI49:AL49"/>
    <mergeCell ref="AI40:AL40"/>
    <mergeCell ref="AI41:AL41"/>
    <mergeCell ref="AI42:AL42"/>
    <mergeCell ref="AI38:AL38"/>
  </mergeCells>
  <conditionalFormatting sqref="J117">
    <cfRule type="iconSet" priority="127">
      <iconSet iconSet="3Arrows">
        <cfvo type="percent" val="0"/>
        <cfvo type="num" val="0"/>
        <cfvo type="num" val="1"/>
      </iconSet>
    </cfRule>
  </conditionalFormatting>
  <conditionalFormatting sqref="P67 U67">
    <cfRule type="expression" dxfId="421" priority="113">
      <formula>$J$67=1</formula>
    </cfRule>
  </conditionalFormatting>
  <conditionalFormatting sqref="L117">
    <cfRule type="iconSet" priority="104">
      <iconSet iconSet="3Arrows">
        <cfvo type="percent" val="0"/>
        <cfvo type="num" val="0"/>
        <cfvo type="num" val="1"/>
      </iconSet>
    </cfRule>
  </conditionalFormatting>
  <conditionalFormatting sqref="J27">
    <cfRule type="cellIs" dxfId="420" priority="62" stopIfTrue="1" operator="equal">
      <formula>0</formula>
    </cfRule>
  </conditionalFormatting>
  <conditionalFormatting sqref="G4">
    <cfRule type="cellIs" dxfId="419" priority="61" operator="notEqual">
      <formula>0</formula>
    </cfRule>
  </conditionalFormatting>
  <conditionalFormatting sqref="H4">
    <cfRule type="expression" dxfId="418" priority="60">
      <formula>G4&lt;&gt;0</formula>
    </cfRule>
  </conditionalFormatting>
  <conditionalFormatting sqref="I85">
    <cfRule type="cellIs" dxfId="417" priority="59" operator="notEqual">
      <formula>0</formula>
    </cfRule>
  </conditionalFormatting>
  <conditionalFormatting sqref="J85">
    <cfRule type="expression" dxfId="416" priority="58">
      <formula>I85&lt;&gt;0</formula>
    </cfRule>
  </conditionalFormatting>
  <conditionalFormatting sqref="J54">
    <cfRule type="cellIs" dxfId="415" priority="32" operator="notEqual">
      <formula>0</formula>
    </cfRule>
  </conditionalFormatting>
  <conditionalFormatting sqref="K54">
    <cfRule type="expression" dxfId="414" priority="31">
      <formula>J54&lt;&gt;0</formula>
    </cfRule>
  </conditionalFormatting>
  <conditionalFormatting sqref="L54">
    <cfRule type="expression" dxfId="413" priority="30">
      <formula>J54&lt;&gt;0</formula>
    </cfRule>
  </conditionalFormatting>
  <conditionalFormatting sqref="I174">
    <cfRule type="cellIs" dxfId="412" priority="29" operator="notEqual">
      <formula>0</formula>
    </cfRule>
  </conditionalFormatting>
  <conditionalFormatting sqref="J174">
    <cfRule type="expression" dxfId="411" priority="28">
      <formula>I174&lt;&gt;0</formula>
    </cfRule>
  </conditionalFormatting>
  <conditionalFormatting sqref="J198">
    <cfRule type="cellIs" dxfId="410" priority="27" operator="notEqual">
      <formula>0</formula>
    </cfRule>
  </conditionalFormatting>
  <conditionalFormatting sqref="K198">
    <cfRule type="expression" dxfId="409" priority="26">
      <formula>J198&lt;&gt;0</formula>
    </cfRule>
  </conditionalFormatting>
  <conditionalFormatting sqref="L198">
    <cfRule type="cellIs" dxfId="408" priority="25" operator="notEqual">
      <formula>0</formula>
    </cfRule>
  </conditionalFormatting>
  <conditionalFormatting sqref="M198">
    <cfRule type="expression" dxfId="407" priority="24">
      <formula>L198&lt;&gt;0</formula>
    </cfRule>
  </conditionalFormatting>
  <conditionalFormatting sqref="P36:S51">
    <cfRule type="dataBar" priority="617">
      <dataBar showValue="0">
        <cfvo type="min"/>
        <cfvo type="max"/>
        <color theme="3" tint="0.79998168889431442"/>
      </dataBar>
      <extLst>
        <ext xmlns:x14="http://schemas.microsoft.com/office/spreadsheetml/2009/9/main" uri="{B025F937-C7B1-47D3-B67F-A62EFF666E3E}">
          <x14:id>{8E281947-B518-4F80-9C96-2058B290B8DE}</x14:id>
        </ext>
      </extLst>
    </cfRule>
  </conditionalFormatting>
  <conditionalFormatting sqref="AI36:AL51">
    <cfRule type="dataBar" priority="2">
      <dataBar showValue="0">
        <cfvo type="min"/>
        <cfvo type="max"/>
        <color theme="3" tint="0.79998168889431442"/>
      </dataBar>
      <extLst>
        <ext xmlns:x14="http://schemas.microsoft.com/office/spreadsheetml/2009/9/main" uri="{B025F937-C7B1-47D3-B67F-A62EFF666E3E}">
          <x14:id>{247E1FC1-1431-4F50-83A9-C2EB2FA6E686}</x14:id>
        </ext>
      </extLst>
    </cfRule>
  </conditionalFormatting>
  <hyperlinks>
    <hyperlink ref="J4" location="Fehlerkontrolle" display="Go to error checks"/>
    <hyperlink ref="J3" location="Index!A1" display="Go to table of contents"/>
  </hyperlinks>
  <pageMargins left="0.39370078740157483" right="0.39370078740157483" top="0.39370078740157483" bottom="0.59055118110236227" header="0.31496062992125984" footer="0.31496062992125984"/>
  <pageSetup paperSize="9" scale="56" fitToHeight="7" orientation="landscape" r:id="rId1"/>
  <headerFooter>
    <oddFooter>&amp;Lwww.excel-financial-model.com&amp;C&amp;A&amp;R&amp;P / &amp;N</oddFooter>
  </headerFooter>
  <rowBreaks count="5" manualBreakCount="5">
    <brk id="56" min="1" max="40" man="1"/>
    <brk id="110" min="1" max="40" man="1"/>
    <brk id="131" min="1" max="40" man="1"/>
    <brk id="176" min="1" max="40" man="1"/>
    <brk id="220" min="1" max="40" man="1"/>
  </rowBreaks>
  <ignoredErrors>
    <ignoredError sqref="L82 L80"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dataBar" id="{8E281947-B518-4F80-9C96-2058B290B8DE}">
            <x14:dataBar minLength="0" maxLength="100" gradient="0">
              <x14:cfvo type="autoMin"/>
              <x14:cfvo type="autoMax"/>
              <x14:negativeFillColor rgb="FFFF0000"/>
              <x14:axisColor rgb="FF000000"/>
            </x14:dataBar>
          </x14:cfRule>
          <xm:sqref>P36:S51</xm:sqref>
        </x14:conditionalFormatting>
        <x14:conditionalFormatting xmlns:xm="http://schemas.microsoft.com/office/excel/2006/main">
          <x14:cfRule type="dataBar" id="{247E1FC1-1431-4F50-83A9-C2EB2FA6E686}">
            <x14:dataBar minLength="0" maxLength="100" gradient="0">
              <x14:cfvo type="autoMin"/>
              <x14:cfvo type="autoMax"/>
              <x14:negativeFillColor rgb="FFFF0000"/>
              <x14:axisColor rgb="FF000000"/>
            </x14:dataBar>
          </x14:cfRule>
          <xm:sqref>AI36:AL51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ebersicht02">
    <tabColor rgb="FFFF0000"/>
  </sheetPr>
  <dimension ref="A1:NE96"/>
  <sheetViews>
    <sheetView showGridLines="0" zoomScale="85" zoomScaleNormal="85" zoomScaleSheetLayoutView="85" workbookViewId="0"/>
  </sheetViews>
  <sheetFormatPr baseColWidth="10" defaultColWidth="0" defaultRowHeight="12.75" outlineLevelRow="2" outlineLevelCol="1"/>
  <cols>
    <col min="1" max="2" width="4.140625" style="199" customWidth="1"/>
    <col min="3" max="3" width="33" style="199" customWidth="1"/>
    <col min="4" max="4" width="11" style="199" customWidth="1"/>
    <col min="5" max="5" width="3.42578125" style="199" customWidth="1"/>
    <col min="6" max="7" width="2" style="199" customWidth="1"/>
    <col min="8" max="8" width="4.28515625" style="199" customWidth="1"/>
    <col min="9" max="9" width="10.85546875" style="199" customWidth="1"/>
    <col min="10" max="21" width="13.7109375" style="199" customWidth="1" outlineLevel="1"/>
    <col min="22" max="22" width="17.28515625" style="199" customWidth="1"/>
    <col min="23" max="26" width="13.7109375" style="199" customWidth="1" outlineLevel="1"/>
    <col min="27" max="27" width="17.28515625" style="199" customWidth="1"/>
    <col min="28" max="65" width="11.42578125" style="199" hidden="1" customWidth="1"/>
    <col min="66" max="369" width="0" style="199" hidden="1" customWidth="1"/>
    <col min="370" max="16384" width="11.42578125" style="199" hidden="1"/>
  </cols>
  <sheetData>
    <row r="1" spans="1:28" ht="20.25">
      <c r="A1" s="41" t="str">
        <f>CHOOSE(language,"Profit and Loss Statement","Income Statement")</f>
        <v>Income Statement</v>
      </c>
      <c r="B1" s="41"/>
      <c r="C1" s="41"/>
      <c r="D1" s="41"/>
      <c r="E1" s="343"/>
      <c r="F1" s="41"/>
      <c r="G1" s="41"/>
      <c r="H1" s="41"/>
      <c r="I1" s="41"/>
      <c r="J1" s="41"/>
      <c r="K1" s="41"/>
      <c r="L1" s="41"/>
      <c r="M1" s="41"/>
      <c r="N1" s="41"/>
      <c r="O1" s="41"/>
      <c r="P1" s="41"/>
      <c r="Q1" s="41"/>
      <c r="R1" s="41"/>
      <c r="S1" s="41"/>
      <c r="T1" s="41"/>
      <c r="U1" s="41"/>
      <c r="V1" s="41"/>
      <c r="W1" s="41"/>
      <c r="X1" s="41"/>
      <c r="Y1" s="41"/>
      <c r="Z1" s="41"/>
      <c r="AA1" s="41"/>
    </row>
    <row r="2" spans="1:28" ht="15">
      <c r="A2" s="1053"/>
      <c r="B2" s="182"/>
      <c r="C2" s="182" t="str">
        <f>Timing!C2</f>
        <v>Model: Fictitious 5 Year Forecast</v>
      </c>
      <c r="D2" s="182"/>
      <c r="E2" s="629" t="s">
        <v>148</v>
      </c>
      <c r="F2" s="181"/>
      <c r="G2" s="181"/>
      <c r="H2" s="247"/>
      <c r="I2" s="247"/>
      <c r="J2" s="247"/>
      <c r="K2" s="247"/>
      <c r="L2" s="247"/>
      <c r="M2" s="247"/>
    </row>
    <row r="3" spans="1:28" ht="20.25">
      <c r="A3" s="249"/>
      <c r="B3" s="249"/>
      <c r="C3" s="182" t="str">
        <f>Timing!C3</f>
        <v>Model Integrity:</v>
      </c>
      <c r="D3" s="626">
        <f ca="1">Timing!D3</f>
        <v>0</v>
      </c>
      <c r="E3" s="629" t="s">
        <v>149</v>
      </c>
      <c r="F3" s="181"/>
      <c r="G3" s="250"/>
      <c r="H3" s="250"/>
      <c r="I3" s="184"/>
      <c r="J3" s="257"/>
      <c r="K3" s="366"/>
      <c r="L3" s="252"/>
      <c r="M3" s="374"/>
      <c r="N3" s="374"/>
      <c r="O3" s="374"/>
      <c r="P3" s="374"/>
      <c r="Q3" s="374"/>
      <c r="R3" s="374"/>
      <c r="S3" s="374"/>
      <c r="T3" s="67"/>
      <c r="V3" s="887"/>
      <c r="X3" s="67"/>
      <c r="Z3" s="67"/>
      <c r="AB3" s="67"/>
    </row>
    <row r="4" spans="1:28" ht="24" thickBot="1">
      <c r="A4" s="146"/>
      <c r="B4" s="146"/>
      <c r="C4" s="38"/>
      <c r="D4" s="145"/>
      <c r="E4" s="38"/>
      <c r="F4" s="38"/>
      <c r="G4" s="38"/>
      <c r="H4" s="38"/>
      <c r="I4" s="38"/>
      <c r="J4" s="38"/>
      <c r="K4" s="38"/>
      <c r="L4" s="38"/>
      <c r="M4" s="38"/>
      <c r="N4" s="38"/>
      <c r="O4" s="38"/>
      <c r="P4" s="38"/>
      <c r="Q4" s="38"/>
      <c r="R4" s="38"/>
      <c r="S4" s="38"/>
      <c r="T4" s="38"/>
      <c r="U4" s="38"/>
      <c r="V4" s="38"/>
      <c r="W4" s="38"/>
      <c r="X4" s="38"/>
      <c r="Y4" s="38"/>
      <c r="Z4" s="38"/>
      <c r="AA4" s="38"/>
    </row>
    <row r="5" spans="1:28">
      <c r="A5" s="800"/>
      <c r="B5" s="125"/>
      <c r="D5" s="119"/>
      <c r="E5" s="40"/>
      <c r="F5" s="40"/>
      <c r="G5" s="40"/>
      <c r="H5" s="40"/>
      <c r="I5" s="40"/>
      <c r="J5" s="1156" t="s">
        <v>1075</v>
      </c>
      <c r="K5" s="1156"/>
      <c r="L5" s="1156"/>
      <c r="M5" s="1156"/>
      <c r="N5" s="1156"/>
      <c r="O5" s="1156"/>
      <c r="P5" s="1156"/>
      <c r="Q5" s="1156"/>
      <c r="R5" s="1156"/>
      <c r="S5" s="1156"/>
      <c r="T5" s="1156"/>
      <c r="U5" s="1156"/>
      <c r="V5" s="169" t="s">
        <v>1075</v>
      </c>
      <c r="W5" s="1156" t="s">
        <v>1076</v>
      </c>
      <c r="X5" s="1156"/>
      <c r="Y5" s="1156"/>
      <c r="Z5" s="1156"/>
      <c r="AA5" s="169" t="s">
        <v>1076</v>
      </c>
    </row>
    <row r="6" spans="1:28" ht="24" thickBot="1">
      <c r="A6" s="146"/>
      <c r="B6" s="146"/>
      <c r="C6" s="38" t="str">
        <f>CHOOSE(language,"Profit and Loss Statement","Income Statement")</f>
        <v>Income Statement</v>
      </c>
      <c r="D6" s="38"/>
      <c r="E6" s="38"/>
      <c r="F6" s="38"/>
      <c r="G6" s="38"/>
      <c r="H6" s="38"/>
      <c r="I6" s="38"/>
      <c r="J6" s="170"/>
      <c r="K6" s="153">
        <v>1</v>
      </c>
      <c r="L6" s="171"/>
      <c r="M6" s="170"/>
      <c r="N6" s="153">
        <v>2</v>
      </c>
      <c r="O6" s="171"/>
      <c r="P6" s="170"/>
      <c r="Q6" s="153">
        <v>3</v>
      </c>
      <c r="R6" s="171"/>
      <c r="S6" s="170"/>
      <c r="T6" s="153">
        <v>4</v>
      </c>
      <c r="U6" s="171"/>
      <c r="V6" s="172" t="s">
        <v>46</v>
      </c>
      <c r="W6" s="152">
        <v>1</v>
      </c>
      <c r="X6" s="152">
        <v>2</v>
      </c>
      <c r="Y6" s="152">
        <v>3</v>
      </c>
      <c r="Z6" s="152">
        <v>4</v>
      </c>
      <c r="AA6" s="172" t="s">
        <v>46</v>
      </c>
    </row>
    <row r="7" spans="1:28">
      <c r="A7" s="800"/>
      <c r="B7" s="125"/>
      <c r="C7" s="191" t="str">
        <f>"   (all figures in " &amp;Currency_Label &amp;")"</f>
        <v xml:space="preserve">   (all figures in USD)</v>
      </c>
      <c r="D7" s="119"/>
      <c r="E7" s="40"/>
      <c r="F7" s="40"/>
      <c r="G7" s="68"/>
      <c r="H7" s="40"/>
      <c r="I7" s="151" t="s">
        <v>565</v>
      </c>
      <c r="J7" s="812">
        <v>43070</v>
      </c>
      <c r="K7" s="812">
        <v>43101</v>
      </c>
      <c r="L7" s="812">
        <v>43132</v>
      </c>
      <c r="M7" s="812">
        <v>43160</v>
      </c>
      <c r="N7" s="812">
        <v>43191</v>
      </c>
      <c r="O7" s="812">
        <v>43221</v>
      </c>
      <c r="P7" s="812">
        <v>43252</v>
      </c>
      <c r="Q7" s="812">
        <v>43282</v>
      </c>
      <c r="R7" s="812">
        <v>43313</v>
      </c>
      <c r="S7" s="812">
        <v>43344</v>
      </c>
      <c r="T7" s="812">
        <v>43374</v>
      </c>
      <c r="U7" s="812">
        <v>43405</v>
      </c>
      <c r="V7" s="813">
        <v>43132</v>
      </c>
      <c r="W7" s="812">
        <v>43435</v>
      </c>
      <c r="X7" s="812">
        <v>43525</v>
      </c>
      <c r="Y7" s="812">
        <v>43617</v>
      </c>
      <c r="Z7" s="812">
        <v>43709</v>
      </c>
      <c r="AA7" s="813">
        <v>43435</v>
      </c>
    </row>
    <row r="8" spans="1:28">
      <c r="A8" s="800"/>
      <c r="B8" s="125"/>
      <c r="D8" s="119"/>
      <c r="E8" s="40"/>
      <c r="F8" s="40"/>
      <c r="G8" s="68"/>
      <c r="H8" s="40"/>
      <c r="I8" s="151" t="s">
        <v>566</v>
      </c>
      <c r="J8" s="812">
        <v>43100</v>
      </c>
      <c r="K8" s="812">
        <v>43131</v>
      </c>
      <c r="L8" s="812">
        <v>43159</v>
      </c>
      <c r="M8" s="812">
        <v>43190</v>
      </c>
      <c r="N8" s="812">
        <v>43220</v>
      </c>
      <c r="O8" s="812">
        <v>43251</v>
      </c>
      <c r="P8" s="812">
        <v>43281</v>
      </c>
      <c r="Q8" s="812">
        <v>43312</v>
      </c>
      <c r="R8" s="812">
        <v>43343</v>
      </c>
      <c r="S8" s="812">
        <v>43373</v>
      </c>
      <c r="T8" s="812">
        <v>43404</v>
      </c>
      <c r="U8" s="812">
        <v>43434</v>
      </c>
      <c r="V8" s="813">
        <v>43434</v>
      </c>
      <c r="W8" s="812">
        <v>43524</v>
      </c>
      <c r="X8" s="812">
        <v>43616</v>
      </c>
      <c r="Y8" s="812">
        <v>43708</v>
      </c>
      <c r="Z8" s="812">
        <v>43799</v>
      </c>
      <c r="AA8" s="813">
        <v>43799</v>
      </c>
    </row>
    <row r="9" spans="1:28">
      <c r="A9" s="800"/>
      <c r="B9" s="125"/>
      <c r="D9" s="119"/>
      <c r="E9" s="40"/>
      <c r="F9" s="40"/>
      <c r="G9" s="40"/>
      <c r="H9" s="40"/>
      <c r="L9" s="154"/>
      <c r="M9" s="155"/>
      <c r="O9" s="154"/>
      <c r="P9" s="155"/>
      <c r="R9" s="154"/>
      <c r="S9" s="155"/>
      <c r="V9" s="149"/>
      <c r="W9" s="154"/>
      <c r="X9" s="164"/>
      <c r="Y9" s="164"/>
      <c r="Z9" s="155"/>
      <c r="AA9" s="149"/>
    </row>
    <row r="10" spans="1:28" ht="16.5" customHeight="1" outlineLevel="1">
      <c r="A10" s="800"/>
      <c r="B10" s="125"/>
      <c r="C10" s="3" t="str">
        <f>IF(IFS!C11="","",IFS!C11)</f>
        <v>Revenue</v>
      </c>
      <c r="F10" s="799"/>
      <c r="G10" s="799"/>
      <c r="H10" s="799"/>
      <c r="I10" s="799"/>
      <c r="J10" s="139"/>
      <c r="K10" s="139"/>
      <c r="L10" s="156"/>
      <c r="M10" s="157"/>
      <c r="N10" s="139"/>
      <c r="O10" s="156"/>
      <c r="P10" s="157"/>
      <c r="Q10" s="139"/>
      <c r="R10" s="156"/>
      <c r="S10" s="157"/>
      <c r="T10" s="139"/>
      <c r="U10" s="139"/>
      <c r="V10" s="140"/>
      <c r="W10" s="162"/>
      <c r="X10" s="168"/>
      <c r="Y10" s="168"/>
      <c r="Z10" s="163"/>
      <c r="AA10" s="140"/>
    </row>
    <row r="11" spans="1:28" ht="16.5" customHeight="1" outlineLevel="1">
      <c r="A11" s="800"/>
      <c r="B11" s="125"/>
      <c r="C11" s="799" t="str">
        <f>IF(IFS!C12="","",IFS!C12)</f>
        <v xml:space="preserve">  -  WonderApp</v>
      </c>
      <c r="J11" s="139">
        <f>SUMIF(Timing!$J$5:$AG$5,J$8,IFS!$J12:$AG12)</f>
        <v>0</v>
      </c>
      <c r="K11" s="139">
        <f>SUMIF(Timing!$J$5:$AG$5,K$8,IFS!$J12:$AG12)</f>
        <v>0</v>
      </c>
      <c r="L11" s="156">
        <f ca="1">SUMIF(Timing!$J$5:$AG$5,L$8,IFS!$J12:$AG12)</f>
        <v>12325</v>
      </c>
      <c r="M11" s="157">
        <f ca="1">SUMIF(Timing!$J$5:$AG$5,M$8,IFS!$J12:$AG12)</f>
        <v>17125</v>
      </c>
      <c r="N11" s="139">
        <f ca="1">SUMIF(Timing!$J$5:$AG$5,N$8,IFS!$J12:$AG12)</f>
        <v>22662.5</v>
      </c>
      <c r="O11" s="156">
        <f ca="1">SUMIF(Timing!$J$5:$AG$5,O$8,IFS!$J12:$AG12)</f>
        <v>28457.7</v>
      </c>
      <c r="P11" s="157">
        <f ca="1">SUMIF(Timing!$J$5:$AG$5,P$8,IFS!$J12:$AG12)</f>
        <v>34788.9</v>
      </c>
      <c r="Q11" s="139">
        <f ca="1">SUMIF(Timing!$J$5:$AG$5,Q$8,IFS!$J12:$AG12)</f>
        <v>41082.508000000002</v>
      </c>
      <c r="R11" s="156">
        <f ca="1">SUMIF(Timing!$J$5:$AG$5,R$8,IFS!$J12:$AG12)</f>
        <v>48198.092320000011</v>
      </c>
      <c r="S11" s="157">
        <f ca="1">SUMIF(Timing!$J$5:$AG$5,S$8,IFS!$J12:$AG12)</f>
        <v>55312.218732800007</v>
      </c>
      <c r="T11" s="139">
        <f ca="1">SUMIF(Timing!$J$5:$AG$5,T$8,IFS!$J12:$AG12)</f>
        <v>62862.871802112008</v>
      </c>
      <c r="U11" s="139">
        <f ca="1">SUMIF(Timing!$J$5:$AG$5,U$8,IFS!$J12:$AG12)</f>
        <v>68614.213314196488</v>
      </c>
      <c r="V11" s="140">
        <f t="shared" ref="V11" ca="1" si="0">SUM(J11:U11)</f>
        <v>391429.00416910852</v>
      </c>
      <c r="W11" s="162">
        <f ca="1">SUMPRODUCT((Timing!$J$29:$AG$29=1)*(Timing!$J$15:$AG$15=2)*(IFS!$J12:$AG12))</f>
        <v>239651.10218996101</v>
      </c>
      <c r="X11" s="168">
        <f ca="1">SUMPRODUCT((Timing!$J$29:$AG$29=2)*(Timing!$J$15:$AG$15=2)*(IFS!$J12:$AG12))</f>
        <v>291417.01239297481</v>
      </c>
      <c r="Y11" s="168">
        <f ca="1">SUMPRODUCT((Timing!$J$29:$AG$29=3)*(Timing!$J$15:$AG$15=2)*(IFS!$J12:$AG12))</f>
        <v>346880.24863390822</v>
      </c>
      <c r="Z11" s="163">
        <f ca="1">SUMPRODUCT((Timing!$J$29:$AG$29=4)*(Timing!$J$15:$AG$15=2)*(IFS!$J12:$AG12))</f>
        <v>404342.76020644885</v>
      </c>
      <c r="AA11" s="140">
        <f t="shared" ref="AA11" ca="1" si="1">SUM(W11:Z11)</f>
        <v>1282291.1234232928</v>
      </c>
    </row>
    <row r="12" spans="1:28" s="799" customFormat="1" ht="16.5" customHeight="1" outlineLevel="1">
      <c r="A12" s="800"/>
      <c r="B12" s="800"/>
      <c r="C12" s="799" t="str">
        <f>IF(IFS!C13="","",IFS!C13)</f>
        <v xml:space="preserve">  -  WonderMoreX</v>
      </c>
      <c r="J12" s="139">
        <f>SUMIF(Timing!$J$5:$AG$5,J$8,IFS!$J13:$AG13)</f>
        <v>0</v>
      </c>
      <c r="K12" s="139">
        <f>SUMIF(Timing!$J$5:$AG$5,K$8,IFS!$J13:$AG13)</f>
        <v>0</v>
      </c>
      <c r="L12" s="156">
        <f>SUMIF(Timing!$J$5:$AG$5,L$8,IFS!$J13:$AG13)</f>
        <v>0</v>
      </c>
      <c r="M12" s="157">
        <f>SUMIF(Timing!$J$5:$AG$5,M$8,IFS!$J13:$AG13)</f>
        <v>0</v>
      </c>
      <c r="N12" s="139">
        <f>SUMIF(Timing!$J$5:$AG$5,N$8,IFS!$J13:$AG13)</f>
        <v>0</v>
      </c>
      <c r="O12" s="156">
        <f>SUMIF(Timing!$J$5:$AG$5,O$8,IFS!$J13:$AG13)</f>
        <v>0</v>
      </c>
      <c r="P12" s="157">
        <f>SUMIF(Timing!$J$5:$AG$5,P$8,IFS!$J13:$AG13)</f>
        <v>0</v>
      </c>
      <c r="Q12" s="139">
        <f>SUMIF(Timing!$J$5:$AG$5,Q$8,IFS!$J13:$AG13)</f>
        <v>0</v>
      </c>
      <c r="R12" s="156">
        <f>SUMIF(Timing!$J$5:$AG$5,R$8,IFS!$J13:$AG13)</f>
        <v>0</v>
      </c>
      <c r="S12" s="157">
        <f>SUMIF(Timing!$J$5:$AG$5,S$8,IFS!$J13:$AG13)</f>
        <v>0</v>
      </c>
      <c r="T12" s="139">
        <f>SUMIF(Timing!$J$5:$AG$5,T$8,IFS!$J13:$AG13)</f>
        <v>0</v>
      </c>
      <c r="U12" s="139">
        <f>SUMIF(Timing!$J$5:$AG$5,U$8,IFS!$J13:$AG13)</f>
        <v>0</v>
      </c>
      <c r="V12" s="140">
        <f t="shared" ref="V12:V14" si="2">SUM(J12:U12)</f>
        <v>0</v>
      </c>
      <c r="W12" s="162">
        <f>SUMPRODUCT((Timing!$J$29:$AG$29=1)*(Timing!$J$15:$AG$15=2)*(IFS!$J13:$AG13))</f>
        <v>0</v>
      </c>
      <c r="X12" s="168">
        <f>SUMPRODUCT((Timing!$J$29:$AG$29=2)*(Timing!$J$15:$AG$15=2)*(IFS!$J13:$AG13))</f>
        <v>0</v>
      </c>
      <c r="Y12" s="168">
        <f>SUMPRODUCT((Timing!$J$29:$AG$29=3)*(Timing!$J$15:$AG$15=2)*(IFS!$J13:$AG13))</f>
        <v>0</v>
      </c>
      <c r="Z12" s="163">
        <f>SUMPRODUCT((Timing!$J$29:$AG$29=4)*(Timing!$J$15:$AG$15=2)*(IFS!$J13:$AG13))</f>
        <v>0</v>
      </c>
      <c r="AA12" s="140">
        <f t="shared" ref="AA12:AA14" si="3">SUM(W12:Z12)</f>
        <v>0</v>
      </c>
    </row>
    <row r="13" spans="1:28" s="799" customFormat="1" ht="16.5" customHeight="1" outlineLevel="1">
      <c r="A13" s="800"/>
      <c r="B13" s="800"/>
      <c r="C13" s="799" t="str">
        <f>IF(IFS!C14="","",IFS!C14)</f>
        <v xml:space="preserve">  -  Customizing Services</v>
      </c>
      <c r="J13" s="139">
        <f>SUMIF(Timing!$J$5:$AG$5,J$8,IFS!$J14:$AG14)</f>
        <v>0</v>
      </c>
      <c r="K13" s="139">
        <f>SUMIF(Timing!$J$5:$AG$5,K$8,IFS!$J14:$AG14)</f>
        <v>0</v>
      </c>
      <c r="L13" s="156">
        <f>SUMIF(Timing!$J$5:$AG$5,L$8,IFS!$J14:$AG14)</f>
        <v>0</v>
      </c>
      <c r="M13" s="157">
        <f>SUMIF(Timing!$J$5:$AG$5,M$8,IFS!$J14:$AG14)</f>
        <v>0</v>
      </c>
      <c r="N13" s="139">
        <f>SUMIF(Timing!$J$5:$AG$5,N$8,IFS!$J14:$AG14)</f>
        <v>0</v>
      </c>
      <c r="O13" s="156">
        <f>SUMIF(Timing!$J$5:$AG$5,O$8,IFS!$J14:$AG14)</f>
        <v>0</v>
      </c>
      <c r="P13" s="157">
        <f>SUMIF(Timing!$J$5:$AG$5,P$8,IFS!$J14:$AG14)</f>
        <v>0</v>
      </c>
      <c r="Q13" s="139">
        <f>SUMIF(Timing!$J$5:$AG$5,Q$8,IFS!$J14:$AG14)</f>
        <v>0</v>
      </c>
      <c r="R13" s="156">
        <f>SUMIF(Timing!$J$5:$AG$5,R$8,IFS!$J14:$AG14)</f>
        <v>0</v>
      </c>
      <c r="S13" s="157">
        <f>SUMIF(Timing!$J$5:$AG$5,S$8,IFS!$J14:$AG14)</f>
        <v>0</v>
      </c>
      <c r="T13" s="139">
        <f>SUMIF(Timing!$J$5:$AG$5,T$8,IFS!$J14:$AG14)</f>
        <v>0</v>
      </c>
      <c r="U13" s="139">
        <f>SUMIF(Timing!$J$5:$AG$5,U$8,IFS!$J14:$AG14)</f>
        <v>0</v>
      </c>
      <c r="V13" s="140">
        <f t="shared" si="2"/>
        <v>0</v>
      </c>
      <c r="W13" s="162">
        <f>SUMPRODUCT((Timing!$J$29:$AG$29=1)*(Timing!$J$15:$AG$15=2)*(IFS!$J14:$AG14))</f>
        <v>0</v>
      </c>
      <c r="X13" s="168">
        <f>SUMPRODUCT((Timing!$J$29:$AG$29=2)*(Timing!$J$15:$AG$15=2)*(IFS!$J14:$AG14))</f>
        <v>0</v>
      </c>
      <c r="Y13" s="168">
        <f>SUMPRODUCT((Timing!$J$29:$AG$29=3)*(Timing!$J$15:$AG$15=2)*(IFS!$J14:$AG14))</f>
        <v>0</v>
      </c>
      <c r="Z13" s="163">
        <f>SUMPRODUCT((Timing!$J$29:$AG$29=4)*(Timing!$J$15:$AG$15=2)*(IFS!$J14:$AG14))</f>
        <v>0</v>
      </c>
      <c r="AA13" s="140">
        <f t="shared" si="3"/>
        <v>0</v>
      </c>
    </row>
    <row r="14" spans="1:28" s="799" customFormat="1" ht="16.5" customHeight="1" outlineLevel="1">
      <c r="A14" s="800"/>
      <c r="B14" s="800"/>
      <c r="C14" s="799" t="str">
        <f>IF(IFS!C15="","",IFS!C15)</f>
        <v xml:space="preserve">  -  FutureApp</v>
      </c>
      <c r="J14" s="139">
        <f>SUMIF(Timing!$J$5:$AG$5,J$8,IFS!$J15:$AG15)</f>
        <v>0</v>
      </c>
      <c r="K14" s="139">
        <f>SUMIF(Timing!$J$5:$AG$5,K$8,IFS!$J15:$AG15)</f>
        <v>0</v>
      </c>
      <c r="L14" s="156">
        <f>SUMIF(Timing!$J$5:$AG$5,L$8,IFS!$J15:$AG15)</f>
        <v>0</v>
      </c>
      <c r="M14" s="157">
        <f>SUMIF(Timing!$J$5:$AG$5,M$8,IFS!$J15:$AG15)</f>
        <v>0</v>
      </c>
      <c r="N14" s="139">
        <f>SUMIF(Timing!$J$5:$AG$5,N$8,IFS!$J15:$AG15)</f>
        <v>0</v>
      </c>
      <c r="O14" s="156">
        <f>SUMIF(Timing!$J$5:$AG$5,O$8,IFS!$J15:$AG15)</f>
        <v>0</v>
      </c>
      <c r="P14" s="157">
        <f>SUMIF(Timing!$J$5:$AG$5,P$8,IFS!$J15:$AG15)</f>
        <v>0</v>
      </c>
      <c r="Q14" s="139">
        <f>SUMIF(Timing!$J$5:$AG$5,Q$8,IFS!$J15:$AG15)</f>
        <v>0</v>
      </c>
      <c r="R14" s="156">
        <f>SUMIF(Timing!$J$5:$AG$5,R$8,IFS!$J15:$AG15)</f>
        <v>0</v>
      </c>
      <c r="S14" s="157">
        <f>SUMIF(Timing!$J$5:$AG$5,S$8,IFS!$J15:$AG15)</f>
        <v>0</v>
      </c>
      <c r="T14" s="139">
        <f>SUMIF(Timing!$J$5:$AG$5,T$8,IFS!$J15:$AG15)</f>
        <v>0</v>
      </c>
      <c r="U14" s="139">
        <f>SUMIF(Timing!$J$5:$AG$5,U$8,IFS!$J15:$AG15)</f>
        <v>0</v>
      </c>
      <c r="V14" s="140">
        <f t="shared" si="2"/>
        <v>0</v>
      </c>
      <c r="W14" s="162">
        <f>SUMPRODUCT((Timing!$J$29:$AG$29=1)*(Timing!$J$15:$AG$15=2)*(IFS!$J15:$AG15))</f>
        <v>0</v>
      </c>
      <c r="X14" s="168">
        <f>SUMPRODUCT((Timing!$J$29:$AG$29=2)*(Timing!$J$15:$AG$15=2)*(IFS!$J15:$AG15))</f>
        <v>0</v>
      </c>
      <c r="Y14" s="168">
        <f>SUMPRODUCT((Timing!$J$29:$AG$29=3)*(Timing!$J$15:$AG$15=2)*(IFS!$J15:$AG15))</f>
        <v>0</v>
      </c>
      <c r="Z14" s="163">
        <f>SUMPRODUCT((Timing!$J$29:$AG$29=4)*(Timing!$J$15:$AG$15=2)*(IFS!$J15:$AG15))</f>
        <v>0</v>
      </c>
      <c r="AA14" s="140">
        <f t="shared" si="3"/>
        <v>0</v>
      </c>
    </row>
    <row r="15" spans="1:28" ht="16.5" customHeight="1">
      <c r="A15" s="800"/>
      <c r="B15" s="125"/>
      <c r="C15" s="131" t="str">
        <f>IF(IFS!C16="","",IFS!C16)</f>
        <v>Total Revenue</v>
      </c>
      <c r="D15" s="132"/>
      <c r="E15" s="132"/>
      <c r="F15" s="132"/>
      <c r="G15" s="132"/>
      <c r="H15" s="132"/>
      <c r="I15" s="132"/>
      <c r="J15" s="142">
        <f t="shared" ref="J15:U15" si="4">SUM(J11:J14)</f>
        <v>0</v>
      </c>
      <c r="K15" s="142">
        <f t="shared" si="4"/>
        <v>0</v>
      </c>
      <c r="L15" s="158">
        <f t="shared" ca="1" si="4"/>
        <v>12325</v>
      </c>
      <c r="M15" s="159">
        <f t="shared" ca="1" si="4"/>
        <v>17125</v>
      </c>
      <c r="N15" s="142">
        <f t="shared" ca="1" si="4"/>
        <v>22662.5</v>
      </c>
      <c r="O15" s="158">
        <f t="shared" ca="1" si="4"/>
        <v>28457.7</v>
      </c>
      <c r="P15" s="159">
        <f t="shared" ca="1" si="4"/>
        <v>34788.9</v>
      </c>
      <c r="Q15" s="142">
        <f t="shared" ca="1" si="4"/>
        <v>41082.508000000002</v>
      </c>
      <c r="R15" s="158">
        <f t="shared" ca="1" si="4"/>
        <v>48198.092320000011</v>
      </c>
      <c r="S15" s="159">
        <f t="shared" ca="1" si="4"/>
        <v>55312.218732800007</v>
      </c>
      <c r="T15" s="142">
        <f t="shared" ca="1" si="4"/>
        <v>62862.871802112008</v>
      </c>
      <c r="U15" s="142">
        <f t="shared" ca="1" si="4"/>
        <v>68614.213314196488</v>
      </c>
      <c r="V15" s="142">
        <f t="shared" ref="V15:V18" ca="1" si="5">SUM(J15:U15)</f>
        <v>391429.00416910852</v>
      </c>
      <c r="W15" s="158">
        <f ca="1">SUM(W11:W14)</f>
        <v>239651.10218996101</v>
      </c>
      <c r="X15" s="166">
        <f ca="1">SUM(X11:X14)</f>
        <v>291417.01239297481</v>
      </c>
      <c r="Y15" s="166">
        <f ca="1">SUM(Y11:Y14)</f>
        <v>346880.24863390822</v>
      </c>
      <c r="Z15" s="159">
        <f ca="1">SUM(Z11:Z14)</f>
        <v>404342.76020644885</v>
      </c>
      <c r="AA15" s="142">
        <f t="shared" ref="AA15:AA18" ca="1" si="6">SUM(W15:Z15)</f>
        <v>1282291.1234232928</v>
      </c>
    </row>
    <row r="16" spans="1:28" ht="16.5" customHeight="1" outlineLevel="1">
      <c r="A16" s="800"/>
      <c r="B16" s="125"/>
      <c r="C16" s="3" t="str">
        <f>IF(IFS!C17="","",IFS!C17)</f>
        <v>Cost of Sales</v>
      </c>
      <c r="J16" s="139"/>
      <c r="K16" s="139"/>
      <c r="L16" s="156"/>
      <c r="M16" s="157"/>
      <c r="N16" s="139"/>
      <c r="O16" s="156"/>
      <c r="P16" s="157"/>
      <c r="Q16" s="139"/>
      <c r="R16" s="156"/>
      <c r="S16" s="157"/>
      <c r="T16" s="139"/>
      <c r="U16" s="139"/>
      <c r="V16" s="140"/>
      <c r="W16" s="162"/>
      <c r="X16" s="168"/>
      <c r="Y16" s="168"/>
      <c r="Z16" s="163"/>
      <c r="AA16" s="140"/>
    </row>
    <row r="17" spans="1:27" ht="16.5" customHeight="1" outlineLevel="1">
      <c r="A17" s="800"/>
      <c r="B17" s="125"/>
      <c r="C17" s="799" t="str">
        <f>IF(IFS!C18="","",IFS!C18)</f>
        <v xml:space="preserve">  -  COGS</v>
      </c>
      <c r="J17" s="139">
        <f>SUMIF(Timing!$J$5:$AG$5,J$8,IFS!$J18:$AG18)</f>
        <v>0</v>
      </c>
      <c r="K17" s="139">
        <f>SUMIF(Timing!$J$5:$AG$5,K$8,IFS!$J18:$AG18)</f>
        <v>0</v>
      </c>
      <c r="L17" s="156">
        <f ca="1">SUMIF(Timing!$J$5:$AG$5,L$8,IFS!$J18:$AG18)</f>
        <v>786.6</v>
      </c>
      <c r="M17" s="157">
        <f ca="1">SUMIF(Timing!$J$5:$AG$5,M$8,IFS!$J18:$AG18)</f>
        <v>1166.5999999999999</v>
      </c>
      <c r="N17" s="139">
        <f ca="1">SUMIF(Timing!$J$5:$AG$5,N$8,IFS!$J18:$AG18)</f>
        <v>1641.6</v>
      </c>
      <c r="O17" s="156">
        <f ca="1">SUMIF(Timing!$J$5:$AG$5,O$8,IFS!$J18:$AG18)</f>
        <v>2096.2699999999995</v>
      </c>
      <c r="P17" s="157">
        <f ca="1">SUMIF(Timing!$J$5:$AG$5,P$8,IFS!$J18:$AG18)</f>
        <v>2591.0300000000002</v>
      </c>
      <c r="Q17" s="139">
        <f ca="1">SUMIF(Timing!$J$5:$AG$5,Q$8,IFS!$J18:$AG18)</f>
        <v>3101.5904</v>
      </c>
      <c r="R17" s="156">
        <f ca="1">SUMIF(Timing!$J$5:$AG$5,R$8,IFS!$J18:$AG18)</f>
        <v>3595.2097160000008</v>
      </c>
      <c r="S17" s="157">
        <f ca="1">SUMIF(Timing!$J$5:$AG$5,S$8,IFS!$J18:$AG18)</f>
        <v>4129.381844640001</v>
      </c>
      <c r="T17" s="139">
        <f ca="1">SUMIF(Timing!$J$5:$AG$5,T$8,IFS!$J18:$AG18)</f>
        <v>4681.1303584256002</v>
      </c>
      <c r="U17" s="139">
        <f ca="1">SUMIF(Timing!$J$5:$AG$5,U$8,IFS!$J18:$AG18)</f>
        <v>5108.6806377626253</v>
      </c>
      <c r="V17" s="140">
        <f t="shared" ca="1" si="5"/>
        <v>28898.09295682823</v>
      </c>
      <c r="W17" s="162">
        <f ca="1">SUMPRODUCT((Timing!$J$29:$AG$29=1)*(Timing!$J$15:$AG$15=2)*(IFS!$J18:$AG18))</f>
        <v>18331.043610810604</v>
      </c>
      <c r="X17" s="168">
        <f ca="1">SUMPRODUCT((Timing!$J$29:$AG$29=2)*(Timing!$J$15:$AG$15=2)*(IFS!$J18:$AG18))</f>
        <v>22639.616195989824</v>
      </c>
      <c r="Y17" s="168">
        <f ca="1">SUMPRODUCT((Timing!$J$29:$AG$29=3)*(Timing!$J$15:$AG$15=2)*(IFS!$J18:$AG18))</f>
        <v>26989.634993607775</v>
      </c>
      <c r="Z17" s="163">
        <f ca="1">SUMPRODUCT((Timing!$J$29:$AG$29=4)*(Timing!$J$15:$AG$15=2)*(IFS!$J18:$AG18))</f>
        <v>31506.03534616805</v>
      </c>
      <c r="AA17" s="140">
        <f t="shared" ca="1" si="6"/>
        <v>99466.330146576249</v>
      </c>
    </row>
    <row r="18" spans="1:27" ht="16.5" customHeight="1" outlineLevel="1">
      <c r="A18" s="800"/>
      <c r="B18" s="125"/>
      <c r="C18" s="799" t="str">
        <f>IF(IFS!C19="","",IFS!C19)</f>
        <v xml:space="preserve">  -  Direct labor</v>
      </c>
      <c r="J18" s="139">
        <f>SUMIF(Timing!$J$5:$AG$5,J$8,IFS!$J19:$AG19)</f>
        <v>0</v>
      </c>
      <c r="K18" s="139">
        <f>SUMIF(Timing!$J$5:$AG$5,K$8,IFS!$J19:$AG19)</f>
        <v>0</v>
      </c>
      <c r="L18" s="156">
        <f ca="1">SUMIF(Timing!$J$5:$AG$5,L$8,IFS!$J19:$AG19)</f>
        <v>1509.0300000000002</v>
      </c>
      <c r="M18" s="157">
        <f ca="1">SUMIF(Timing!$J$5:$AG$5,M$8,IFS!$J19:$AG19)</f>
        <v>2238.0300000000002</v>
      </c>
      <c r="N18" s="139">
        <f ca="1">SUMIF(Timing!$J$5:$AG$5,N$8,IFS!$J19:$AG19)</f>
        <v>3149.2800000000007</v>
      </c>
      <c r="O18" s="156">
        <f ca="1">SUMIF(Timing!$J$5:$AG$5,O$8,IFS!$J19:$AG19)</f>
        <v>4021.5284999999999</v>
      </c>
      <c r="P18" s="157">
        <f ca="1">SUMIF(Timing!$J$5:$AG$5,P$8,IFS!$J19:$AG19)</f>
        <v>4970.6865000000007</v>
      </c>
      <c r="Q18" s="139">
        <f ca="1">SUMIF(Timing!$J$5:$AG$5,Q$8,IFS!$J19:$AG19)</f>
        <v>5950.1563200000001</v>
      </c>
      <c r="R18" s="156">
        <f ca="1">SUMIF(Timing!$J$5:$AG$5,R$8,IFS!$J19:$AG19)</f>
        <v>6897.1260077999996</v>
      </c>
      <c r="S18" s="157">
        <f ca="1">SUMIF(Timing!$J$5:$AG$5,S$8,IFS!$J19:$AG19)</f>
        <v>7921.8930651120018</v>
      </c>
      <c r="T18" s="139">
        <f ca="1">SUMIF(Timing!$J$5:$AG$5,T$8,IFS!$J19:$AG19)</f>
        <v>8980.3790297164833</v>
      </c>
      <c r="U18" s="139">
        <f ca="1">SUMIF(Timing!$J$5:$AG$5,U$8,IFS!$J19:$AG19)</f>
        <v>9800.6004866551411</v>
      </c>
      <c r="V18" s="140">
        <f t="shared" ca="1" si="5"/>
        <v>55438.709909283629</v>
      </c>
      <c r="W18" s="162">
        <f ca="1">SUMPRODUCT((Timing!$J$29:$AG$29=1)*(Timing!$J$15:$AG$15=2)*(IFS!$J19:$AG19))</f>
        <v>35410.451004423812</v>
      </c>
      <c r="X18" s="168">
        <f ca="1">SUMPRODUCT((Timing!$J$29:$AG$29=2)*(Timing!$J$15:$AG$15=2)*(IFS!$J19:$AG19))</f>
        <v>43866.639497224598</v>
      </c>
      <c r="Y18" s="168">
        <f ca="1">SUMPRODUCT((Timing!$J$29:$AG$29=3)*(Timing!$J$15:$AG$15=2)*(IFS!$J19:$AG19))</f>
        <v>52295.258814324916</v>
      </c>
      <c r="Z18" s="163">
        <f ca="1">SUMPRODUCT((Timing!$J$29:$AG$29=4)*(Timing!$J$15:$AG$15=2)*(IFS!$J19:$AG19))</f>
        <v>61046.259907973887</v>
      </c>
      <c r="AA18" s="140">
        <f t="shared" ca="1" si="6"/>
        <v>192618.60922394722</v>
      </c>
    </row>
    <row r="19" spans="1:27" s="878" customFormat="1" ht="16.5" customHeight="1" outlineLevel="1">
      <c r="A19" s="800"/>
      <c r="B19" s="800"/>
      <c r="C19" s="878" t="str">
        <f>IF(IFS!C20="","",IFS!C20)</f>
        <v xml:space="preserve">  -  Shipping, postage &amp; repackaging expense</v>
      </c>
      <c r="J19" s="139">
        <f>SUMIF(Timing!$J$5:$AG$5,J$8,IFS!$J20:$AG20)</f>
        <v>0</v>
      </c>
      <c r="K19" s="139">
        <f>SUMIF(Timing!$J$5:$AG$5,K$8,IFS!$J20:$AG20)</f>
        <v>0</v>
      </c>
      <c r="L19" s="156">
        <f ca="1">SUMIF(Timing!$J$5:$AG$5,L$8,IFS!$J20:$AG20)</f>
        <v>0</v>
      </c>
      <c r="M19" s="157">
        <f ca="1">SUMIF(Timing!$J$5:$AG$5,M$8,IFS!$J20:$AG20)</f>
        <v>0</v>
      </c>
      <c r="N19" s="139">
        <f ca="1">SUMIF(Timing!$J$5:$AG$5,N$8,IFS!$J20:$AG20)</f>
        <v>0</v>
      </c>
      <c r="O19" s="156">
        <f ca="1">SUMIF(Timing!$J$5:$AG$5,O$8,IFS!$J20:$AG20)</f>
        <v>0</v>
      </c>
      <c r="P19" s="157">
        <f ca="1">SUMIF(Timing!$J$5:$AG$5,P$8,IFS!$J20:$AG20)</f>
        <v>0</v>
      </c>
      <c r="Q19" s="139">
        <f ca="1">SUMIF(Timing!$J$5:$AG$5,Q$8,IFS!$J20:$AG20)</f>
        <v>0</v>
      </c>
      <c r="R19" s="156">
        <f ca="1">SUMIF(Timing!$J$5:$AG$5,R$8,IFS!$J20:$AG20)</f>
        <v>0</v>
      </c>
      <c r="S19" s="157">
        <f ca="1">SUMIF(Timing!$J$5:$AG$5,S$8,IFS!$J20:$AG20)</f>
        <v>0</v>
      </c>
      <c r="T19" s="139">
        <f ca="1">SUMIF(Timing!$J$5:$AG$5,T$8,IFS!$J20:$AG20)</f>
        <v>0</v>
      </c>
      <c r="U19" s="139">
        <f ca="1">SUMIF(Timing!$J$5:$AG$5,U$8,IFS!$J20:$AG20)</f>
        <v>0</v>
      </c>
      <c r="V19" s="140">
        <f t="shared" ref="V19:V22" ca="1" si="7">SUM(J19:U19)</f>
        <v>0</v>
      </c>
      <c r="W19" s="162">
        <f ca="1">SUMPRODUCT((Timing!$J$29:$AG$29=1)*(Timing!$J$15:$AG$15=2)*(IFS!$J20:$AG20))</f>
        <v>0</v>
      </c>
      <c r="X19" s="168">
        <f ca="1">SUMPRODUCT((Timing!$J$29:$AG$29=2)*(Timing!$J$15:$AG$15=2)*(IFS!$J20:$AG20))</f>
        <v>0</v>
      </c>
      <c r="Y19" s="168">
        <f ca="1">SUMPRODUCT((Timing!$J$29:$AG$29=3)*(Timing!$J$15:$AG$15=2)*(IFS!$J20:$AG20))</f>
        <v>0</v>
      </c>
      <c r="Z19" s="163">
        <f ca="1">SUMPRODUCT((Timing!$J$29:$AG$29=4)*(Timing!$J$15:$AG$15=2)*(IFS!$J20:$AG20))</f>
        <v>0</v>
      </c>
      <c r="AA19" s="140">
        <f t="shared" ref="AA19:AA22" ca="1" si="8">SUM(W19:Z19)</f>
        <v>0</v>
      </c>
    </row>
    <row r="20" spans="1:27" s="878" customFormat="1" ht="16.5" customHeight="1" outlineLevel="1">
      <c r="A20" s="800"/>
      <c r="B20" s="800"/>
      <c r="C20" s="878" t="str">
        <f>IF(IFS!C21="","",IFS!C21)</f>
        <v xml:space="preserve">  -  Payment processing fees</v>
      </c>
      <c r="J20" s="139">
        <f>SUMIF(Timing!$J$5:$AG$5,J$8,IFS!$J21:$AG21)</f>
        <v>0</v>
      </c>
      <c r="K20" s="139">
        <f>SUMIF(Timing!$J$5:$AG$5,K$8,IFS!$J21:$AG21)</f>
        <v>0</v>
      </c>
      <c r="L20" s="156">
        <f ca="1">SUMIF(Timing!$J$5:$AG$5,L$8,IFS!$J21:$AG21)</f>
        <v>0</v>
      </c>
      <c r="M20" s="157">
        <f ca="1">SUMIF(Timing!$J$5:$AG$5,M$8,IFS!$J21:$AG21)</f>
        <v>0</v>
      </c>
      <c r="N20" s="139">
        <f ca="1">SUMIF(Timing!$J$5:$AG$5,N$8,IFS!$J21:$AG21)</f>
        <v>0</v>
      </c>
      <c r="O20" s="156">
        <f ca="1">SUMIF(Timing!$J$5:$AG$5,O$8,IFS!$J21:$AG21)</f>
        <v>973.26900000000001</v>
      </c>
      <c r="P20" s="157">
        <f ca="1">SUMIF(Timing!$J$5:$AG$5,P$8,IFS!$J21:$AG21)</f>
        <v>0</v>
      </c>
      <c r="Q20" s="139">
        <f ca="1">SUMIF(Timing!$J$5:$AG$5,Q$8,IFS!$J21:$AG21)</f>
        <v>0</v>
      </c>
      <c r="R20" s="156">
        <f ca="1">SUMIF(Timing!$J$5:$AG$5,R$8,IFS!$J21:$AG21)</f>
        <v>2033.4108960000001</v>
      </c>
      <c r="S20" s="157">
        <f ca="1">SUMIF(Timing!$J$5:$AG$5,S$8,IFS!$J21:$AG21)</f>
        <v>0</v>
      </c>
      <c r="T20" s="139">
        <f ca="1">SUMIF(Timing!$J$5:$AG$5,T$8,IFS!$J21:$AG21)</f>
        <v>0</v>
      </c>
      <c r="U20" s="139">
        <f ca="1">SUMIF(Timing!$J$5:$AG$5,U$8,IFS!$J21:$AG21)</f>
        <v>3278.9777638717451</v>
      </c>
      <c r="V20" s="140">
        <f t="shared" ca="1" si="7"/>
        <v>6285.6576598717456</v>
      </c>
      <c r="W20" s="162">
        <f ca="1">SUMPRODUCT((Timing!$J$29:$AG$29=1)*(Timing!$J$15:$AG$15=2)*(IFS!$J21:$AG21))</f>
        <v>4435.0267463108212</v>
      </c>
      <c r="X20" s="168">
        <f ca="1">SUMPRODUCT((Timing!$J$29:$AG$29=2)*(Timing!$J$15:$AG$15=2)*(IFS!$J21:$AG21))</f>
        <v>5441.5674304330014</v>
      </c>
      <c r="Y20" s="168">
        <f ca="1">SUMPRODUCT((Timing!$J$29:$AG$29=3)*(Timing!$J$15:$AG$15=2)*(IFS!$J21:$AG21))</f>
        <v>6558.5450484374378</v>
      </c>
      <c r="Z20" s="163">
        <f ca="1">SUMPRODUCT((Timing!$J$29:$AG$29=4)*(Timing!$J$15:$AG$15=2)*(IFS!$J21:$AG21))</f>
        <v>7705.8244709658811</v>
      </c>
      <c r="AA20" s="140">
        <f t="shared" ca="1" si="8"/>
        <v>24140.963696147141</v>
      </c>
    </row>
    <row r="21" spans="1:27" s="878" customFormat="1" ht="16.5" customHeight="1" outlineLevel="1">
      <c r="A21" s="800"/>
      <c r="B21" s="800"/>
      <c r="C21" s="878" t="str">
        <f>IF(IFS!C22="","",IFS!C22)</f>
        <v xml:space="preserve">  -  Revenue share expense (if billed directly)</v>
      </c>
      <c r="J21" s="139">
        <f>SUMIF(Timing!$J$5:$AG$5,J$8,IFS!$J22:$AG22)</f>
        <v>0</v>
      </c>
      <c r="K21" s="139">
        <f>SUMIF(Timing!$J$5:$AG$5,K$8,IFS!$J22:$AG22)</f>
        <v>0</v>
      </c>
      <c r="L21" s="156">
        <f ca="1">SUMIF(Timing!$J$5:$AG$5,L$8,IFS!$J22:$AG22)</f>
        <v>0</v>
      </c>
      <c r="M21" s="157">
        <f ca="1">SUMIF(Timing!$J$5:$AG$5,M$8,IFS!$J22:$AG22)</f>
        <v>0</v>
      </c>
      <c r="N21" s="139">
        <f ca="1">SUMIF(Timing!$J$5:$AG$5,N$8,IFS!$J22:$AG22)</f>
        <v>0</v>
      </c>
      <c r="O21" s="156">
        <f ca="1">SUMIF(Timing!$J$5:$AG$5,O$8,IFS!$J22:$AG22)</f>
        <v>0</v>
      </c>
      <c r="P21" s="157">
        <f ca="1">SUMIF(Timing!$J$5:$AG$5,P$8,IFS!$J22:$AG22)</f>
        <v>0</v>
      </c>
      <c r="Q21" s="139">
        <f ca="1">SUMIF(Timing!$J$5:$AG$5,Q$8,IFS!$J22:$AG22)</f>
        <v>0</v>
      </c>
      <c r="R21" s="156">
        <f ca="1">SUMIF(Timing!$J$5:$AG$5,R$8,IFS!$J22:$AG22)</f>
        <v>0</v>
      </c>
      <c r="S21" s="157">
        <f ca="1">SUMIF(Timing!$J$5:$AG$5,S$8,IFS!$J22:$AG22)</f>
        <v>0</v>
      </c>
      <c r="T21" s="139">
        <f ca="1">SUMIF(Timing!$J$5:$AG$5,T$8,IFS!$J22:$AG22)</f>
        <v>0</v>
      </c>
      <c r="U21" s="139">
        <f ca="1">SUMIF(Timing!$J$5:$AG$5,U$8,IFS!$J22:$AG22)</f>
        <v>0</v>
      </c>
      <c r="V21" s="140">
        <f t="shared" ca="1" si="7"/>
        <v>0</v>
      </c>
      <c r="W21" s="162">
        <f ca="1">SUMPRODUCT((Timing!$J$29:$AG$29=1)*(Timing!$J$15:$AG$15=2)*(IFS!$J22:$AG22))</f>
        <v>0</v>
      </c>
      <c r="X21" s="168">
        <f ca="1">SUMPRODUCT((Timing!$J$29:$AG$29=2)*(Timing!$J$15:$AG$15=2)*(IFS!$J22:$AG22))</f>
        <v>0</v>
      </c>
      <c r="Y21" s="168">
        <f ca="1">SUMPRODUCT((Timing!$J$29:$AG$29=3)*(Timing!$J$15:$AG$15=2)*(IFS!$J22:$AG22))</f>
        <v>0</v>
      </c>
      <c r="Z21" s="163">
        <f ca="1">SUMPRODUCT((Timing!$J$29:$AG$29=4)*(Timing!$J$15:$AG$15=2)*(IFS!$J22:$AG22))</f>
        <v>0</v>
      </c>
      <c r="AA21" s="140">
        <f t="shared" ca="1" si="8"/>
        <v>0</v>
      </c>
    </row>
    <row r="22" spans="1:27" ht="16.5" customHeight="1" outlineLevel="1">
      <c r="A22" s="800"/>
      <c r="B22" s="125"/>
      <c r="C22" s="878" t="str">
        <f>IF(IFS!C23="","",IFS!C23)</f>
        <v xml:space="preserve">  -  Other direct costs</v>
      </c>
      <c r="D22" s="878"/>
      <c r="E22" s="878"/>
      <c r="F22" s="878"/>
      <c r="G22" s="878"/>
      <c r="H22" s="878"/>
      <c r="I22" s="878"/>
      <c r="J22" s="139">
        <f>SUMIF(Timing!$J$5:$AG$5,J$8,IFS!$J23:$AG23)</f>
        <v>0</v>
      </c>
      <c r="K22" s="139">
        <f>SUMIF(Timing!$J$5:$AG$5,K$8,IFS!$J23:$AG23)</f>
        <v>0</v>
      </c>
      <c r="L22" s="156">
        <f ca="1">SUMIF(Timing!$J$5:$AG$5,L$8,IFS!$J23:$AG23)</f>
        <v>0</v>
      </c>
      <c r="M22" s="157">
        <f ca="1">SUMIF(Timing!$J$5:$AG$5,M$8,IFS!$J23:$AG23)</f>
        <v>0</v>
      </c>
      <c r="N22" s="139">
        <f ca="1">SUMIF(Timing!$J$5:$AG$5,N$8,IFS!$J23:$AG23)</f>
        <v>0</v>
      </c>
      <c r="O22" s="156">
        <f ca="1">SUMIF(Timing!$J$5:$AG$5,O$8,IFS!$J23:$AG23)</f>
        <v>0</v>
      </c>
      <c r="P22" s="157">
        <f ca="1">SUMIF(Timing!$J$5:$AG$5,P$8,IFS!$J23:$AG23)</f>
        <v>0</v>
      </c>
      <c r="Q22" s="139">
        <f ca="1">SUMIF(Timing!$J$5:$AG$5,Q$8,IFS!$J23:$AG23)</f>
        <v>0</v>
      </c>
      <c r="R22" s="156">
        <f ca="1">SUMIF(Timing!$J$5:$AG$5,R$8,IFS!$J23:$AG23)</f>
        <v>0</v>
      </c>
      <c r="S22" s="157">
        <f ca="1">SUMIF(Timing!$J$5:$AG$5,S$8,IFS!$J23:$AG23)</f>
        <v>0</v>
      </c>
      <c r="T22" s="139">
        <f ca="1">SUMIF(Timing!$J$5:$AG$5,T$8,IFS!$J23:$AG23)</f>
        <v>0</v>
      </c>
      <c r="U22" s="139">
        <f ca="1">SUMIF(Timing!$J$5:$AG$5,U$8,IFS!$J23:$AG23)</f>
        <v>0</v>
      </c>
      <c r="V22" s="140">
        <f t="shared" ca="1" si="7"/>
        <v>0</v>
      </c>
      <c r="W22" s="162">
        <f ca="1">SUMPRODUCT((Timing!$J$29:$AG$29=1)*(Timing!$J$15:$AG$15=2)*(IFS!$J23:$AG23))</f>
        <v>0</v>
      </c>
      <c r="X22" s="168">
        <f ca="1">SUMPRODUCT((Timing!$J$29:$AG$29=2)*(Timing!$J$15:$AG$15=2)*(IFS!$J23:$AG23))</f>
        <v>0</v>
      </c>
      <c r="Y22" s="168">
        <f ca="1">SUMPRODUCT((Timing!$J$29:$AG$29=3)*(Timing!$J$15:$AG$15=2)*(IFS!$J23:$AG23))</f>
        <v>0</v>
      </c>
      <c r="Z22" s="163">
        <f ca="1">SUMPRODUCT((Timing!$J$29:$AG$29=4)*(Timing!$J$15:$AG$15=2)*(IFS!$J23:$AG23))</f>
        <v>0</v>
      </c>
      <c r="AA22" s="140">
        <f t="shared" ca="1" si="8"/>
        <v>0</v>
      </c>
    </row>
    <row r="23" spans="1:27" ht="16.5" customHeight="1">
      <c r="A23" s="800"/>
      <c r="B23" s="125"/>
      <c r="C23" s="131" t="str">
        <f>IF(IFS!C24="","",IFS!C24)</f>
        <v xml:space="preserve">     Costs of Sales</v>
      </c>
      <c r="D23" s="132"/>
      <c r="E23" s="132"/>
      <c r="F23" s="132"/>
      <c r="G23" s="132"/>
      <c r="H23" s="132"/>
      <c r="I23" s="132"/>
      <c r="J23" s="142">
        <f>SUM(J17:J22)</f>
        <v>0</v>
      </c>
      <c r="K23" s="142">
        <f t="shared" ref="K23:U23" si="9">SUM(K17:K22)</f>
        <v>0</v>
      </c>
      <c r="L23" s="158">
        <f t="shared" ca="1" si="9"/>
        <v>2295.63</v>
      </c>
      <c r="M23" s="159">
        <f t="shared" ca="1" si="9"/>
        <v>3404.63</v>
      </c>
      <c r="N23" s="142">
        <f t="shared" ca="1" si="9"/>
        <v>4790.880000000001</v>
      </c>
      <c r="O23" s="158">
        <f t="shared" ca="1" si="9"/>
        <v>7091.0674999999992</v>
      </c>
      <c r="P23" s="159">
        <f t="shared" ca="1" si="9"/>
        <v>7561.7165000000005</v>
      </c>
      <c r="Q23" s="142">
        <f t="shared" ca="1" si="9"/>
        <v>9051.7467199999992</v>
      </c>
      <c r="R23" s="158">
        <f t="shared" ca="1" si="9"/>
        <v>12525.7466198</v>
      </c>
      <c r="S23" s="159">
        <f t="shared" ca="1" si="9"/>
        <v>12051.274909752003</v>
      </c>
      <c r="T23" s="142">
        <f t="shared" ca="1" si="9"/>
        <v>13661.509388142083</v>
      </c>
      <c r="U23" s="142">
        <f t="shared" ca="1" si="9"/>
        <v>18188.258888289511</v>
      </c>
      <c r="V23" s="142">
        <f t="shared" ref="V23:V24" ca="1" si="10">SUM(J23:U23)</f>
        <v>90622.460525983595</v>
      </c>
      <c r="W23" s="158">
        <f ca="1">SUM(W17:W22)</f>
        <v>58176.521361545238</v>
      </c>
      <c r="X23" s="166">
        <f ca="1">SUM(X17:X22)</f>
        <v>71947.823123647424</v>
      </c>
      <c r="Y23" s="166">
        <f ca="1">SUM(Y17:Y22)</f>
        <v>85843.438856370136</v>
      </c>
      <c r="Z23" s="159">
        <f ca="1">SUM(Z17:Z22)</f>
        <v>100258.11972510781</v>
      </c>
      <c r="AA23" s="142">
        <f t="shared" ref="AA23:AA24" ca="1" si="11">SUM(W23:Z23)</f>
        <v>316225.90306667058</v>
      </c>
    </row>
    <row r="24" spans="1:27" ht="16.5" customHeight="1">
      <c r="A24" s="800"/>
      <c r="B24" s="125"/>
      <c r="C24" s="806" t="str">
        <f>IF(IFS!C25="","",IFS!C25)</f>
        <v>Gross Profit</v>
      </c>
      <c r="D24" s="807"/>
      <c r="E24" s="807"/>
      <c r="F24" s="807"/>
      <c r="G24" s="807"/>
      <c r="H24" s="807"/>
      <c r="I24" s="807"/>
      <c r="J24" s="846">
        <f>J15-J23</f>
        <v>0</v>
      </c>
      <c r="K24" s="846">
        <f t="shared" ref="K24:U24" si="12">K15-K23</f>
        <v>0</v>
      </c>
      <c r="L24" s="847">
        <f t="shared" ca="1" si="12"/>
        <v>10029.369999999999</v>
      </c>
      <c r="M24" s="848">
        <f t="shared" ca="1" si="12"/>
        <v>13720.369999999999</v>
      </c>
      <c r="N24" s="846">
        <f t="shared" ca="1" si="12"/>
        <v>17871.62</v>
      </c>
      <c r="O24" s="847">
        <f t="shared" ca="1" si="12"/>
        <v>21366.6325</v>
      </c>
      <c r="P24" s="848">
        <f t="shared" ca="1" si="12"/>
        <v>27227.183499999999</v>
      </c>
      <c r="Q24" s="846">
        <f t="shared" ca="1" si="12"/>
        <v>32030.761280000002</v>
      </c>
      <c r="R24" s="847">
        <f t="shared" ca="1" si="12"/>
        <v>35672.345700200007</v>
      </c>
      <c r="S24" s="848">
        <f t="shared" ca="1" si="12"/>
        <v>43260.943823048001</v>
      </c>
      <c r="T24" s="846">
        <f t="shared" ca="1" si="12"/>
        <v>49201.362413969924</v>
      </c>
      <c r="U24" s="846">
        <f t="shared" ca="1" si="12"/>
        <v>50425.954425906981</v>
      </c>
      <c r="V24" s="846">
        <f t="shared" ca="1" si="10"/>
        <v>300806.54364312493</v>
      </c>
      <c r="W24" s="847">
        <f ca="1">W15-W23</f>
        <v>181474.58082841575</v>
      </c>
      <c r="X24" s="849">
        <f ca="1">X15-X23</f>
        <v>219469.18926932738</v>
      </c>
      <c r="Y24" s="849">
        <f ca="1">Y15-Y23</f>
        <v>261036.80977753809</v>
      </c>
      <c r="Z24" s="848">
        <f ca="1">Z15-Z23</f>
        <v>304084.64048134105</v>
      </c>
      <c r="AA24" s="846">
        <f t="shared" ca="1" si="11"/>
        <v>966065.22035662225</v>
      </c>
    </row>
    <row r="25" spans="1:27" ht="16.5" customHeight="1">
      <c r="A25" s="800"/>
      <c r="B25" s="125"/>
      <c r="C25" s="799" t="str">
        <f>IF(IFS!C26="","",IFS!C26)</f>
        <v xml:space="preserve">   Gross profit margin (in %)</v>
      </c>
      <c r="J25" s="850">
        <f>IFERROR(J23/J15,0)</f>
        <v>0</v>
      </c>
      <c r="K25" s="850">
        <f t="shared" ref="K25:AA25" si="13">IFERROR(K23/K15,0)</f>
        <v>0</v>
      </c>
      <c r="L25" s="851">
        <f t="shared" ca="1" si="13"/>
        <v>0.1862580121703854</v>
      </c>
      <c r="M25" s="852">
        <f t="shared" ca="1" si="13"/>
        <v>0.19881051094890512</v>
      </c>
      <c r="N25" s="850">
        <f t="shared" ca="1" si="13"/>
        <v>0.21140121345835636</v>
      </c>
      <c r="O25" s="851">
        <f t="shared" ca="1" si="13"/>
        <v>0.24917922038674942</v>
      </c>
      <c r="P25" s="852">
        <f t="shared" ca="1" si="13"/>
        <v>0.21736003437878174</v>
      </c>
      <c r="Q25" s="850">
        <f t="shared" ca="1" si="13"/>
        <v>0.22033091845317718</v>
      </c>
      <c r="R25" s="851">
        <f t="shared" ca="1" si="13"/>
        <v>0.25988054748387596</v>
      </c>
      <c r="S25" s="852">
        <f t="shared" ca="1" si="13"/>
        <v>0.21787726447873673</v>
      </c>
      <c r="T25" s="850">
        <f t="shared" ca="1" si="13"/>
        <v>0.21732238754773364</v>
      </c>
      <c r="U25" s="850">
        <f t="shared" ca="1" si="13"/>
        <v>0.26508004697222559</v>
      </c>
      <c r="V25" s="853">
        <f t="shared" ca="1" si="13"/>
        <v>0.23151697896876364</v>
      </c>
      <c r="W25" s="854">
        <f t="shared" ca="1" si="13"/>
        <v>0.24275507531541099</v>
      </c>
      <c r="X25" s="855">
        <f t="shared" ca="1" si="13"/>
        <v>0.24688957769777023</v>
      </c>
      <c r="Y25" s="855">
        <f t="shared" ca="1" si="13"/>
        <v>0.24747283592663677</v>
      </c>
      <c r="Z25" s="852">
        <f t="shared" ca="1" si="13"/>
        <v>0.24795329505570507</v>
      </c>
      <c r="AA25" s="853">
        <f t="shared" ca="1" si="13"/>
        <v>0.24661006950001502</v>
      </c>
    </row>
    <row r="26" spans="1:27" ht="16.5" customHeight="1" outlineLevel="1">
      <c r="A26" s="800"/>
      <c r="B26" s="125"/>
      <c r="C26" s="3" t="str">
        <f>IF(IFS!C27="","",IFS!C27)</f>
        <v>Operating Expenses (Overheads)</v>
      </c>
      <c r="D26" s="799"/>
      <c r="E26" s="799"/>
      <c r="F26" s="799"/>
      <c r="G26" s="799"/>
      <c r="H26" s="799"/>
      <c r="I26" s="799"/>
      <c r="J26" s="139"/>
      <c r="K26" s="139"/>
      <c r="L26" s="156"/>
      <c r="M26" s="157"/>
      <c r="N26" s="139"/>
      <c r="O26" s="156"/>
      <c r="P26" s="157"/>
      <c r="Q26" s="139"/>
      <c r="R26" s="156"/>
      <c r="S26" s="157"/>
      <c r="T26" s="139"/>
      <c r="U26" s="139"/>
      <c r="V26" s="140"/>
      <c r="W26" s="162"/>
      <c r="X26" s="168"/>
      <c r="Y26" s="168"/>
      <c r="Z26" s="163"/>
      <c r="AA26" s="140"/>
    </row>
    <row r="27" spans="1:27" ht="16.5" customHeight="1" outlineLevel="1">
      <c r="A27" s="800"/>
      <c r="B27" s="125"/>
      <c r="C27" s="799" t="str">
        <f>IF(IFS!C28="","",IFS!C28)</f>
        <v xml:space="preserve">  -  Marketing and Sales </v>
      </c>
      <c r="I27" s="878"/>
      <c r="J27" s="139">
        <f>SUM(J28:J42)</f>
        <v>0</v>
      </c>
      <c r="K27" s="139">
        <f t="shared" ref="K27:U27" si="14">SUM(K28:K42)</f>
        <v>0</v>
      </c>
      <c r="L27" s="156">
        <f t="shared" ca="1" si="14"/>
        <v>4949.4622222222224</v>
      </c>
      <c r="M27" s="157">
        <f t="shared" ca="1" si="14"/>
        <v>8251.1511111111104</v>
      </c>
      <c r="N27" s="139">
        <f t="shared" ca="1" si="14"/>
        <v>15761.428888888888</v>
      </c>
      <c r="O27" s="156">
        <f t="shared" ca="1" si="14"/>
        <v>12292.972444444444</v>
      </c>
      <c r="P27" s="157">
        <f t="shared" ca="1" si="14"/>
        <v>10954.944222222222</v>
      </c>
      <c r="Q27" s="139">
        <f t="shared" ca="1" si="14"/>
        <v>12251.200471111113</v>
      </c>
      <c r="R27" s="156">
        <f t="shared" ca="1" si="14"/>
        <v>12364.130569955558</v>
      </c>
      <c r="S27" s="157">
        <f t="shared" ca="1" si="14"/>
        <v>13625.036028753784</v>
      </c>
      <c r="T27" s="139">
        <f t="shared" ca="1" si="14"/>
        <v>14924.793025903931</v>
      </c>
      <c r="U27" s="139">
        <f t="shared" ca="1" si="14"/>
        <v>15956.888482940092</v>
      </c>
      <c r="V27" s="140">
        <f t="shared" ref="V27:V28" ca="1" si="15">SUM(J27:U27)</f>
        <v>121332.00746755337</v>
      </c>
      <c r="W27" s="162">
        <f ca="1">SUM(W28:W42)</f>
        <v>57627.248969026528</v>
      </c>
      <c r="X27" s="168">
        <f ca="1">SUM(X28:X42)</f>
        <v>69062.366673259181</v>
      </c>
      <c r="Y27" s="168">
        <f ca="1">SUM(Y28:Y42)</f>
        <v>86753.383017570013</v>
      </c>
      <c r="Z27" s="163">
        <f ca="1">SUM(Z28:Z42)</f>
        <v>90865.868581823379</v>
      </c>
      <c r="AA27" s="140">
        <f t="shared" ref="AA27:AA28" ca="1" si="16">SUM(W27:Z27)</f>
        <v>304308.86724167911</v>
      </c>
    </row>
    <row r="28" spans="1:27" ht="16.5" customHeight="1" outlineLevel="2">
      <c r="A28" s="800"/>
      <c r="B28" s="125"/>
      <c r="C28" s="1018" t="str">
        <f>IF(IFS!C29="","",IFS!C29)</f>
        <v>Wages &amp; Salaries</v>
      </c>
      <c r="J28" s="139">
        <f>SUMIF(Timing!$J$5:$AG$5,J$8,IFS!$J29:$AG29)</f>
        <v>0</v>
      </c>
      <c r="K28" s="139">
        <f>SUMIF(Timing!$J$5:$AG$5,K$8,IFS!$J29:$AG29)</f>
        <v>0</v>
      </c>
      <c r="L28" s="156">
        <f ca="1">SUMIF(Timing!$J$5:$AG$5,L$8,IFS!$J29:$AG29)</f>
        <v>1798.4444444444443</v>
      </c>
      <c r="M28" s="157">
        <f ca="1">SUMIF(Timing!$J$5:$AG$5,M$8,IFS!$J29:$AG29)</f>
        <v>3026.2222222222222</v>
      </c>
      <c r="N28" s="139">
        <f ca="1">SUMIF(Timing!$J$5:$AG$5,N$8,IFS!$J29:$AG29)</f>
        <v>4040.1111111111113</v>
      </c>
      <c r="O28" s="156">
        <f ca="1">SUMIF(Timing!$J$5:$AG$5,O$8,IFS!$J29:$AG29)</f>
        <v>4747.6888888888889</v>
      </c>
      <c r="P28" s="157">
        <f ca="1">SUMIF(Timing!$J$5:$AG$5,P$8,IFS!$J29:$AG29)</f>
        <v>5514.3111111111111</v>
      </c>
      <c r="Q28" s="139">
        <f ca="1">SUMIF(Timing!$J$5:$AG$5,Q$8,IFS!$J29:$AG29)</f>
        <v>6305.9982222222234</v>
      </c>
      <c r="R28" s="156">
        <f ca="1">SUMIF(Timing!$J$5:$AG$5,R$8,IFS!$J29:$AG29)</f>
        <v>7076.9128177777793</v>
      </c>
      <c r="S28" s="157">
        <f ca="1">SUMIF(Timing!$J$5:$AG$5,S$8,IFS!$J29:$AG29)</f>
        <v>7907.8682638222253</v>
      </c>
      <c r="T28" s="139">
        <f ca="1">SUMIF(Timing!$J$5:$AG$5,T$8,IFS!$J29:$AG29)</f>
        <v>8766.7419277084464</v>
      </c>
      <c r="U28" s="139">
        <f ca="1">SUMIF(Timing!$J$5:$AG$5,U$8,IFS!$J29:$AG29)</f>
        <v>9454.6818714834517</v>
      </c>
      <c r="V28" s="140">
        <f t="shared" ca="1" si="15"/>
        <v>58638.980880791903</v>
      </c>
      <c r="W28" s="162">
        <f ca="1">SUMPRODUCT((Timing!$J$29:$AG$29=1)*(Timing!$J$15:$AG$15=2)*(IFS!$J29:$AG29))</f>
        <v>33462.60813570342</v>
      </c>
      <c r="X28" s="168">
        <f ca="1">SUMPRODUCT((Timing!$J$29:$AG$29=2)*(Timing!$J$15:$AG$15=2)*(IFS!$J29:$AG29))</f>
        <v>40677.939013363139</v>
      </c>
      <c r="Y28" s="168">
        <f ca="1">SUMPRODUCT((Timing!$J$29:$AG$29=3)*(Timing!$J$15:$AG$15=2)*(IFS!$J29:$AG29))</f>
        <v>47926.963853255016</v>
      </c>
      <c r="Z28" s="163">
        <f ca="1">SUMPRODUCT((Timing!$J$29:$AG$29=4)*(Timing!$J$15:$AG$15=2)*(IFS!$J29:$AG29))</f>
        <v>55544.38583589693</v>
      </c>
      <c r="AA28" s="140">
        <f t="shared" ca="1" si="16"/>
        <v>177611.8968382185</v>
      </c>
    </row>
    <row r="29" spans="1:27" s="878" customFormat="1" ht="16.5" customHeight="1" outlineLevel="2">
      <c r="A29" s="800"/>
      <c r="B29" s="800"/>
      <c r="C29" s="1018" t="str">
        <f>IF(IFS!C30="","",IFS!C30)</f>
        <v>Social security contributions and taxes</v>
      </c>
      <c r="J29" s="139">
        <f>SUMIF(Timing!$J$5:$AG$5,J$8,IFS!$J30:$AG30)</f>
        <v>0</v>
      </c>
      <c r="K29" s="139">
        <f>SUMIF(Timing!$J$5:$AG$5,K$8,IFS!$J30:$AG30)</f>
        <v>0</v>
      </c>
      <c r="L29" s="156">
        <f ca="1">SUMIF(Timing!$J$5:$AG$5,L$8,IFS!$J30:$AG30)</f>
        <v>359.68888888888887</v>
      </c>
      <c r="M29" s="157">
        <f ca="1">SUMIF(Timing!$J$5:$AG$5,M$8,IFS!$J30:$AG30)</f>
        <v>605.24444444444453</v>
      </c>
      <c r="N29" s="139">
        <f ca="1">SUMIF(Timing!$J$5:$AG$5,N$8,IFS!$J30:$AG30)</f>
        <v>808.02222222222224</v>
      </c>
      <c r="O29" s="156">
        <f ca="1">SUMIF(Timing!$J$5:$AG$5,O$8,IFS!$J30:$AG30)</f>
        <v>949.53777777777771</v>
      </c>
      <c r="P29" s="157">
        <f ca="1">SUMIF(Timing!$J$5:$AG$5,P$8,IFS!$J30:$AG30)</f>
        <v>1102.8622222222223</v>
      </c>
      <c r="Q29" s="139">
        <f ca="1">SUMIF(Timing!$J$5:$AG$5,Q$8,IFS!$J30:$AG30)</f>
        <v>1261.1996444444449</v>
      </c>
      <c r="R29" s="156">
        <f ca="1">SUMIF(Timing!$J$5:$AG$5,R$8,IFS!$J30:$AG30)</f>
        <v>1415.3825635555559</v>
      </c>
      <c r="S29" s="157">
        <f ca="1">SUMIF(Timing!$J$5:$AG$5,S$8,IFS!$J30:$AG30)</f>
        <v>1581.5736527644451</v>
      </c>
      <c r="T29" s="139">
        <f ca="1">SUMIF(Timing!$J$5:$AG$5,T$8,IFS!$J30:$AG30)</f>
        <v>1753.3483855416894</v>
      </c>
      <c r="U29" s="139">
        <f ca="1">SUMIF(Timing!$J$5:$AG$5,U$8,IFS!$J30:$AG30)</f>
        <v>1890.93637429669</v>
      </c>
      <c r="V29" s="140">
        <f t="shared" ref="V29:V74" ca="1" si="17">SUM(J29:U29)</f>
        <v>11727.796176158381</v>
      </c>
      <c r="W29" s="162">
        <f ca="1">SUMPRODUCT((Timing!$J$29:$AG$29=1)*(Timing!$J$15:$AG$15=2)*(IFS!$J30:$AG30))</f>
        <v>6692.5216271406844</v>
      </c>
      <c r="X29" s="168">
        <f ca="1">SUMPRODUCT((Timing!$J$29:$AG$29=2)*(Timing!$J$15:$AG$15=2)*(IFS!$J30:$AG30))</f>
        <v>8135.5878026726286</v>
      </c>
      <c r="Y29" s="168">
        <f ca="1">SUMPRODUCT((Timing!$J$29:$AG$29=3)*(Timing!$J$15:$AG$15=2)*(IFS!$J30:$AG30))</f>
        <v>9585.392770651004</v>
      </c>
      <c r="Z29" s="163">
        <f ca="1">SUMPRODUCT((Timing!$J$29:$AG$29=4)*(Timing!$J$15:$AG$15=2)*(IFS!$J30:$AG30))</f>
        <v>11108.877167179387</v>
      </c>
      <c r="AA29" s="140">
        <f t="shared" ref="AA29:AA74" ca="1" si="18">SUM(W29:Z29)</f>
        <v>35522.379367643705</v>
      </c>
    </row>
    <row r="30" spans="1:27" s="878" customFormat="1" ht="16.5" customHeight="1" outlineLevel="2">
      <c r="A30" s="800"/>
      <c r="B30" s="800"/>
      <c r="C30" s="1018" t="str">
        <f>IF(IFS!C31="","",IFS!C31)</f>
        <v>Other Staff Costs</v>
      </c>
      <c r="J30" s="139">
        <f>SUMIF(Timing!$J$5:$AG$5,J$8,IFS!$J31:$AG31)</f>
        <v>0</v>
      </c>
      <c r="K30" s="139">
        <f>SUMIF(Timing!$J$5:$AG$5,K$8,IFS!$J31:$AG31)</f>
        <v>0</v>
      </c>
      <c r="L30" s="156">
        <f ca="1">SUMIF(Timing!$J$5:$AG$5,L$8,IFS!$J31:$AG31)</f>
        <v>661.32888888888886</v>
      </c>
      <c r="M30" s="157">
        <f ca="1">SUMIF(Timing!$J$5:$AG$5,M$8,IFS!$J31:$AG31)</f>
        <v>909.68444444444447</v>
      </c>
      <c r="N30" s="139">
        <f ca="1">SUMIF(Timing!$J$5:$AG$5,N$8,IFS!$J31:$AG31)</f>
        <v>1138.2955555555557</v>
      </c>
      <c r="O30" s="156">
        <f ca="1">SUMIF(Timing!$J$5:$AG$5,O$8,IFS!$J31:$AG31)</f>
        <v>1277.7457777777779</v>
      </c>
      <c r="P30" s="157">
        <f ca="1">SUMIF(Timing!$J$5:$AG$5,P$8,IFS!$J31:$AG31)</f>
        <v>1475.0508888888889</v>
      </c>
      <c r="Q30" s="139">
        <f ca="1">SUMIF(Timing!$J$5:$AG$5,Q$8,IFS!$J31:$AG31)</f>
        <v>1674.7738044444447</v>
      </c>
      <c r="R30" s="156">
        <f ca="1">SUMIF(Timing!$J$5:$AG$5,R$8,IFS!$J31:$AG31)</f>
        <v>1864.2372366222226</v>
      </c>
      <c r="S30" s="157">
        <f ca="1">SUMIF(Timing!$J$5:$AG$5,S$8,IFS!$J31:$AG31)</f>
        <v>2077.6922420871115</v>
      </c>
      <c r="T30" s="139">
        <f ca="1">SUMIF(Timing!$J$5:$AG$5,T$8,IFS!$J31:$AG31)</f>
        <v>2294.4847677705961</v>
      </c>
      <c r="U30" s="139">
        <f ca="1">SUMIF(Timing!$J$5:$AG$5,U$8,IFS!$J31:$AG31)</f>
        <v>2446.6435744814198</v>
      </c>
      <c r="V30" s="140">
        <f t="shared" ca="1" si="17"/>
        <v>15819.937180961351</v>
      </c>
      <c r="W30" s="162">
        <f ca="1">SUMPRODUCT((Timing!$J$29:$AG$29=1)*(Timing!$J$15:$AG$15=2)*(IFS!$J31:$AG31))</f>
        <v>8579.5846723564355</v>
      </c>
      <c r="X30" s="168">
        <f ca="1">SUMPRODUCT((Timing!$J$29:$AG$29=2)*(Timing!$J$15:$AG$15=2)*(IFS!$J31:$AG31))</f>
        <v>10332.863091365793</v>
      </c>
      <c r="Y30" s="168">
        <f ca="1">SUMPRODUCT((Timing!$J$29:$AG$29=3)*(Timing!$J$15:$AG$15=2)*(IFS!$J31:$AG31))</f>
        <v>12130.005104914319</v>
      </c>
      <c r="Z30" s="163">
        <f ca="1">SUMPRODUCT((Timing!$J$29:$AG$29=4)*(Timing!$J$15:$AG$15=2)*(IFS!$J31:$AG31))</f>
        <v>14025.996927798948</v>
      </c>
      <c r="AA30" s="140">
        <f t="shared" ca="1" si="18"/>
        <v>45068.449796435496</v>
      </c>
    </row>
    <row r="31" spans="1:27" s="878" customFormat="1" ht="16.5" customHeight="1" outlineLevel="2">
      <c r="A31" s="800"/>
      <c r="B31" s="800"/>
      <c r="C31" s="1018" t="str">
        <f>IF(IFS!C32="","",IFS!C32)</f>
        <v>Sales commission expense</v>
      </c>
      <c r="J31" s="139">
        <f>SUMIF(Timing!$J$5:$AG$5,J$8,IFS!$J32:$AG32)</f>
        <v>0</v>
      </c>
      <c r="K31" s="139">
        <f>SUMIF(Timing!$J$5:$AG$5,K$8,IFS!$J32:$AG32)</f>
        <v>0</v>
      </c>
      <c r="L31" s="156">
        <f>SUMIF(Timing!$J$5:$AG$5,L$8,IFS!$J32:$AG32)</f>
        <v>180</v>
      </c>
      <c r="M31" s="157">
        <f>SUMIF(Timing!$J$5:$AG$5,M$8,IFS!$J32:$AG32)</f>
        <v>360</v>
      </c>
      <c r="N31" s="139">
        <f>SUMIF(Timing!$J$5:$AG$5,N$8,IFS!$J32:$AG32)</f>
        <v>450</v>
      </c>
      <c r="O31" s="156">
        <f>SUMIF(Timing!$J$5:$AG$5,O$8,IFS!$J32:$AG32)</f>
        <v>468</v>
      </c>
      <c r="P31" s="157">
        <f>SUMIF(Timing!$J$5:$AG$5,P$8,IFS!$J32:$AG32)</f>
        <v>486.72000000000008</v>
      </c>
      <c r="Q31" s="139">
        <f>SUMIF(Timing!$J$5:$AG$5,Q$8,IFS!$J32:$AG32)</f>
        <v>506.18880000000019</v>
      </c>
      <c r="R31" s="156">
        <f>SUMIF(Timing!$J$5:$AG$5,R$8,IFS!$J32:$AG32)</f>
        <v>526.43635200000017</v>
      </c>
      <c r="S31" s="157">
        <f>SUMIF(Timing!$J$5:$AG$5,S$8,IFS!$J32:$AG32)</f>
        <v>547.49380608000013</v>
      </c>
      <c r="T31" s="139">
        <f>SUMIF(Timing!$J$5:$AG$5,T$8,IFS!$J32:$AG32)</f>
        <v>569.39355832320018</v>
      </c>
      <c r="U31" s="139">
        <f>SUMIF(Timing!$J$5:$AG$5,U$8,IFS!$J32:$AG32)</f>
        <v>592.16930065612826</v>
      </c>
      <c r="V31" s="140">
        <f t="shared" si="17"/>
        <v>4686.401817059329</v>
      </c>
      <c r="W31" s="162">
        <f>SUMPRODUCT((Timing!$J$29:$AG$29=1)*(Timing!$J$15:$AG$15=2)*(IFS!$J32:$AG32))</f>
        <v>1922.4563164852966</v>
      </c>
      <c r="X31" s="168">
        <f>SUMPRODUCT((Timing!$J$29:$AG$29=2)*(Timing!$J$15:$AG$15=2)*(IFS!$J32:$AG32))</f>
        <v>2162.5019019869169</v>
      </c>
      <c r="Y31" s="168">
        <f>SUMPRODUCT((Timing!$J$29:$AG$29=3)*(Timing!$J$15:$AG$15=2)*(IFS!$J32:$AG32))</f>
        <v>2432.5205394766112</v>
      </c>
      <c r="Z31" s="163">
        <f>SUMPRODUCT((Timing!$J$29:$AG$29=4)*(Timing!$J$15:$AG$15=2)*(IFS!$J32:$AG32))</f>
        <v>2736.2547841178193</v>
      </c>
      <c r="AA31" s="140">
        <f t="shared" si="18"/>
        <v>9253.7335420666441</v>
      </c>
    </row>
    <row r="32" spans="1:27" s="878" customFormat="1" ht="16.5" customHeight="1" outlineLevel="2">
      <c r="A32" s="800"/>
      <c r="B32" s="800"/>
      <c r="C32" s="1018" t="str">
        <f>IF(IFS!C33="","",IFS!C33)</f>
        <v>Lead generation expense</v>
      </c>
      <c r="J32" s="139">
        <f>SUMIF(Timing!$J$5:$AG$5,J$8,IFS!$J33:$AG33)</f>
        <v>0</v>
      </c>
      <c r="K32" s="139">
        <f>SUMIF(Timing!$J$5:$AG$5,K$8,IFS!$J33:$AG33)</f>
        <v>0</v>
      </c>
      <c r="L32" s="156">
        <f>SUMIF(Timing!$J$5:$AG$5,L$8,IFS!$J33:$AG33)</f>
        <v>250</v>
      </c>
      <c r="M32" s="157">
        <f>SUMIF(Timing!$J$5:$AG$5,M$8,IFS!$J33:$AG33)</f>
        <v>500</v>
      </c>
      <c r="N32" s="139">
        <f>SUMIF(Timing!$J$5:$AG$5,N$8,IFS!$J33:$AG33)</f>
        <v>625</v>
      </c>
      <c r="O32" s="156">
        <f>SUMIF(Timing!$J$5:$AG$5,O$8,IFS!$J33:$AG33)</f>
        <v>650</v>
      </c>
      <c r="P32" s="157">
        <f>SUMIF(Timing!$J$5:$AG$5,P$8,IFS!$J33:$AG33)</f>
        <v>676.00000000000011</v>
      </c>
      <c r="Q32" s="139">
        <f>SUMIF(Timing!$J$5:$AG$5,Q$8,IFS!$J33:$AG33)</f>
        <v>703.04000000000019</v>
      </c>
      <c r="R32" s="156">
        <f>SUMIF(Timing!$J$5:$AG$5,R$8,IFS!$J33:$AG33)</f>
        <v>731.16160000000025</v>
      </c>
      <c r="S32" s="157">
        <f>SUMIF(Timing!$J$5:$AG$5,S$8,IFS!$J33:$AG33)</f>
        <v>760.40806400000019</v>
      </c>
      <c r="T32" s="139">
        <f>SUMIF(Timing!$J$5:$AG$5,T$8,IFS!$J33:$AG33)</f>
        <v>790.82438656000022</v>
      </c>
      <c r="U32" s="139">
        <f>SUMIF(Timing!$J$5:$AG$5,U$8,IFS!$J33:$AG33)</f>
        <v>822.45736202240028</v>
      </c>
      <c r="V32" s="140">
        <f t="shared" si="17"/>
        <v>6508.8914125824012</v>
      </c>
      <c r="W32" s="162">
        <f>SUMPRODUCT((Timing!$J$29:$AG$29=1)*(Timing!$J$15:$AG$15=2)*(IFS!$J33:$AG33))</f>
        <v>2670.0782173406897</v>
      </c>
      <c r="X32" s="168">
        <f>SUMPRODUCT((Timing!$J$29:$AG$29=2)*(Timing!$J$15:$AG$15=2)*(IFS!$J33:$AG33))</f>
        <v>3003.4748638707179</v>
      </c>
      <c r="Y32" s="168">
        <f>SUMPRODUCT((Timing!$J$29:$AG$29=3)*(Timing!$J$15:$AG$15=2)*(IFS!$J33:$AG33))</f>
        <v>3378.5007492730715</v>
      </c>
      <c r="Z32" s="163">
        <f>SUMPRODUCT((Timing!$J$29:$AG$29=4)*(Timing!$J$15:$AG$15=2)*(IFS!$J33:$AG33))</f>
        <v>3800.3538668303049</v>
      </c>
      <c r="AA32" s="140">
        <f t="shared" si="18"/>
        <v>12852.407697314784</v>
      </c>
    </row>
    <row r="33" spans="1:27" s="878" customFormat="1" ht="16.5" customHeight="1" outlineLevel="2">
      <c r="A33" s="800"/>
      <c r="B33" s="800"/>
      <c r="C33" s="1018" t="str">
        <f>IF(IFS!C34="","",IFS!C34)</f>
        <v>Promotional materials (advertising, brochures etc.)</v>
      </c>
      <c r="J33" s="139">
        <f>SUMIF(Timing!$J$5:$AG$5,J$8,IFS!$J34:$AG34)</f>
        <v>0</v>
      </c>
      <c r="K33" s="139">
        <f>SUMIF(Timing!$J$5:$AG$5,K$8,IFS!$J34:$AG34)</f>
        <v>0</v>
      </c>
      <c r="L33" s="156">
        <f>SUMIF(Timing!$J$5:$AG$5,L$8,IFS!$J34:$AG34)</f>
        <v>950</v>
      </c>
      <c r="M33" s="157">
        <f>SUMIF(Timing!$J$5:$AG$5,M$8,IFS!$J34:$AG34)</f>
        <v>950</v>
      </c>
      <c r="N33" s="139">
        <f>SUMIF(Timing!$J$5:$AG$5,N$8,IFS!$J34:$AG34)</f>
        <v>950</v>
      </c>
      <c r="O33" s="156">
        <f>SUMIF(Timing!$J$5:$AG$5,O$8,IFS!$J34:$AG34)</f>
        <v>950</v>
      </c>
      <c r="P33" s="157">
        <f>SUMIF(Timing!$J$5:$AG$5,P$8,IFS!$J34:$AG34)</f>
        <v>950</v>
      </c>
      <c r="Q33" s="139">
        <f>SUMIF(Timing!$J$5:$AG$5,Q$8,IFS!$J34:$AG34)</f>
        <v>0</v>
      </c>
      <c r="R33" s="156">
        <f>SUMIF(Timing!$J$5:$AG$5,R$8,IFS!$J34:$AG34)</f>
        <v>0</v>
      </c>
      <c r="S33" s="157">
        <f>SUMIF(Timing!$J$5:$AG$5,S$8,IFS!$J34:$AG34)</f>
        <v>0</v>
      </c>
      <c r="T33" s="139">
        <f>SUMIF(Timing!$J$5:$AG$5,T$8,IFS!$J34:$AG34)</f>
        <v>0</v>
      </c>
      <c r="U33" s="139">
        <f>SUMIF(Timing!$J$5:$AG$5,U$8,IFS!$J34:$AG34)</f>
        <v>0</v>
      </c>
      <c r="V33" s="140">
        <f t="shared" si="17"/>
        <v>4750</v>
      </c>
      <c r="W33" s="162">
        <f>SUMPRODUCT((Timing!$J$29:$AG$29=1)*(Timing!$J$15:$AG$15=2)*(IFS!$J34:$AG34))</f>
        <v>1000</v>
      </c>
      <c r="X33" s="168">
        <f>SUMPRODUCT((Timing!$J$29:$AG$29=2)*(Timing!$J$15:$AG$15=2)*(IFS!$J34:$AG34))</f>
        <v>0</v>
      </c>
      <c r="Y33" s="168">
        <f>SUMPRODUCT((Timing!$J$29:$AG$29=3)*(Timing!$J$15:$AG$15=2)*(IFS!$J34:$AG34))</f>
        <v>3000</v>
      </c>
      <c r="Z33" s="163">
        <f>SUMPRODUCT((Timing!$J$29:$AG$29=4)*(Timing!$J$15:$AG$15=2)*(IFS!$J34:$AG34))</f>
        <v>1400</v>
      </c>
      <c r="AA33" s="140">
        <f t="shared" si="18"/>
        <v>5400</v>
      </c>
    </row>
    <row r="34" spans="1:27" s="878" customFormat="1" ht="16.5" customHeight="1" outlineLevel="2">
      <c r="A34" s="800"/>
      <c r="B34" s="800"/>
      <c r="C34" s="1018" t="str">
        <f>IF(IFS!C35="","",IFS!C35)</f>
        <v>Public relations, exhibitions</v>
      </c>
      <c r="J34" s="139">
        <f>SUMIF(Timing!$J$5:$AG$5,J$8,IFS!$J35:$AG35)</f>
        <v>0</v>
      </c>
      <c r="K34" s="139">
        <f>SUMIF(Timing!$J$5:$AG$5,K$8,IFS!$J35:$AG35)</f>
        <v>0</v>
      </c>
      <c r="L34" s="156">
        <f>SUMIF(Timing!$J$5:$AG$5,L$8,IFS!$J35:$AG35)</f>
        <v>0</v>
      </c>
      <c r="M34" s="157">
        <f>SUMIF(Timing!$J$5:$AG$5,M$8,IFS!$J35:$AG35)</f>
        <v>0</v>
      </c>
      <c r="N34" s="139">
        <f>SUMIF(Timing!$J$5:$AG$5,N$8,IFS!$J35:$AG35)</f>
        <v>7000</v>
      </c>
      <c r="O34" s="156">
        <f>SUMIF(Timing!$J$5:$AG$5,O$8,IFS!$J35:$AG35)</f>
        <v>0</v>
      </c>
      <c r="P34" s="157">
        <f>SUMIF(Timing!$J$5:$AG$5,P$8,IFS!$J35:$AG35)</f>
        <v>0</v>
      </c>
      <c r="Q34" s="139">
        <f>SUMIF(Timing!$J$5:$AG$5,Q$8,IFS!$J35:$AG35)</f>
        <v>0</v>
      </c>
      <c r="R34" s="156">
        <f>SUMIF(Timing!$J$5:$AG$5,R$8,IFS!$J35:$AG35)</f>
        <v>0</v>
      </c>
      <c r="S34" s="157">
        <f>SUMIF(Timing!$J$5:$AG$5,S$8,IFS!$J35:$AG35)</f>
        <v>0</v>
      </c>
      <c r="T34" s="139">
        <f>SUMIF(Timing!$J$5:$AG$5,T$8,IFS!$J35:$AG35)</f>
        <v>0</v>
      </c>
      <c r="U34" s="139">
        <f>SUMIF(Timing!$J$5:$AG$5,U$8,IFS!$J35:$AG35)</f>
        <v>0</v>
      </c>
      <c r="V34" s="140">
        <f t="shared" si="17"/>
        <v>7000</v>
      </c>
      <c r="W34" s="162">
        <f>SUMPRODUCT((Timing!$J$29:$AG$29=1)*(Timing!$J$15:$AG$15=2)*(IFS!$J35:$AG35))</f>
        <v>0</v>
      </c>
      <c r="X34" s="168">
        <f>SUMPRODUCT((Timing!$J$29:$AG$29=2)*(Timing!$J$15:$AG$15=2)*(IFS!$J35:$AG35))</f>
        <v>0</v>
      </c>
      <c r="Y34" s="168">
        <f>SUMPRODUCT((Timing!$J$29:$AG$29=3)*(Timing!$J$15:$AG$15=2)*(IFS!$J35:$AG35))</f>
        <v>5000</v>
      </c>
      <c r="Z34" s="163">
        <f>SUMPRODUCT((Timing!$J$29:$AG$29=4)*(Timing!$J$15:$AG$15=2)*(IFS!$J35:$AG35))</f>
        <v>0</v>
      </c>
      <c r="AA34" s="140">
        <f t="shared" si="18"/>
        <v>5000</v>
      </c>
    </row>
    <row r="35" spans="1:27" s="878" customFormat="1" ht="16.5" customHeight="1" outlineLevel="2">
      <c r="A35" s="800"/>
      <c r="B35" s="800"/>
      <c r="C35" s="1018" t="str">
        <f>IF(IFS!C36="","",IFS!C36)</f>
        <v>Marketing campaign / Promotion 01</v>
      </c>
      <c r="J35" s="139">
        <f>SUMIF(Timing!$J$5:$AG$5,J$8,IFS!$J36:$AG36)</f>
        <v>0</v>
      </c>
      <c r="K35" s="139">
        <f>SUMIF(Timing!$J$5:$AG$5,K$8,IFS!$J36:$AG36)</f>
        <v>0</v>
      </c>
      <c r="L35" s="156">
        <f>SUMIF(Timing!$J$5:$AG$5,L$8,IFS!$J36:$AG36)</f>
        <v>0</v>
      </c>
      <c r="M35" s="157">
        <f>SUMIF(Timing!$J$5:$AG$5,M$8,IFS!$J36:$AG36)</f>
        <v>1150</v>
      </c>
      <c r="N35" s="139">
        <f>SUMIF(Timing!$J$5:$AG$5,N$8,IFS!$J36:$AG36)</f>
        <v>0</v>
      </c>
      <c r="O35" s="156">
        <f>SUMIF(Timing!$J$5:$AG$5,O$8,IFS!$J36:$AG36)</f>
        <v>0</v>
      </c>
      <c r="P35" s="157">
        <f>SUMIF(Timing!$J$5:$AG$5,P$8,IFS!$J36:$AG36)</f>
        <v>0</v>
      </c>
      <c r="Q35" s="139">
        <f>SUMIF(Timing!$J$5:$AG$5,Q$8,IFS!$J36:$AG36)</f>
        <v>1050</v>
      </c>
      <c r="R35" s="156">
        <f>SUMIF(Timing!$J$5:$AG$5,R$8,IFS!$J36:$AG36)</f>
        <v>0</v>
      </c>
      <c r="S35" s="157">
        <f>SUMIF(Timing!$J$5:$AG$5,S$8,IFS!$J36:$AG36)</f>
        <v>0</v>
      </c>
      <c r="T35" s="139">
        <f>SUMIF(Timing!$J$5:$AG$5,T$8,IFS!$J36:$AG36)</f>
        <v>0</v>
      </c>
      <c r="U35" s="139">
        <f>SUMIF(Timing!$J$5:$AG$5,U$8,IFS!$J36:$AG36)</f>
        <v>0</v>
      </c>
      <c r="V35" s="140">
        <f t="shared" si="17"/>
        <v>2200</v>
      </c>
      <c r="W35" s="162">
        <f>SUMPRODUCT((Timing!$J$29:$AG$29=1)*(Timing!$J$15:$AG$15=2)*(IFS!$J36:$AG36))</f>
        <v>1050</v>
      </c>
      <c r="X35" s="168">
        <f>SUMPRODUCT((Timing!$J$29:$AG$29=2)*(Timing!$J$15:$AG$15=2)*(IFS!$J36:$AG36))</f>
        <v>0</v>
      </c>
      <c r="Y35" s="168">
        <f>SUMPRODUCT((Timing!$J$29:$AG$29=3)*(Timing!$J$15:$AG$15=2)*(IFS!$J36:$AG36))</f>
        <v>1050</v>
      </c>
      <c r="Z35" s="163">
        <f>SUMPRODUCT((Timing!$J$29:$AG$29=4)*(Timing!$J$15:$AG$15=2)*(IFS!$J36:$AG36))</f>
        <v>0</v>
      </c>
      <c r="AA35" s="140">
        <f t="shared" si="18"/>
        <v>2100</v>
      </c>
    </row>
    <row r="36" spans="1:27" s="878" customFormat="1" ht="16.5" customHeight="1" outlineLevel="2">
      <c r="A36" s="800"/>
      <c r="B36" s="800"/>
      <c r="C36" s="1018" t="str">
        <f>IF(IFS!C37="","",IFS!C37)</f>
        <v>Marketing campaign / Promotion 02</v>
      </c>
      <c r="J36" s="139">
        <f>SUMIF(Timing!$J$5:$AG$5,J$8,IFS!$J37:$AG37)</f>
        <v>0</v>
      </c>
      <c r="K36" s="139">
        <f>SUMIF(Timing!$J$5:$AG$5,K$8,IFS!$J37:$AG37)</f>
        <v>0</v>
      </c>
      <c r="L36" s="156">
        <f>SUMIF(Timing!$J$5:$AG$5,L$8,IFS!$J37:$AG37)</f>
        <v>0</v>
      </c>
      <c r="M36" s="157">
        <f>SUMIF(Timing!$J$5:$AG$5,M$8,IFS!$J37:$AG37)</f>
        <v>0</v>
      </c>
      <c r="N36" s="139">
        <f>SUMIF(Timing!$J$5:$AG$5,N$8,IFS!$J37:$AG37)</f>
        <v>0</v>
      </c>
      <c r="O36" s="156">
        <f>SUMIF(Timing!$J$5:$AG$5,O$8,IFS!$J37:$AG37)</f>
        <v>2500</v>
      </c>
      <c r="P36" s="157">
        <f>SUMIF(Timing!$J$5:$AG$5,P$8,IFS!$J37:$AG37)</f>
        <v>0</v>
      </c>
      <c r="Q36" s="139">
        <f>SUMIF(Timing!$J$5:$AG$5,Q$8,IFS!$J37:$AG37)</f>
        <v>0</v>
      </c>
      <c r="R36" s="156">
        <f>SUMIF(Timing!$J$5:$AG$5,R$8,IFS!$J37:$AG37)</f>
        <v>0</v>
      </c>
      <c r="S36" s="157">
        <f>SUMIF(Timing!$J$5:$AG$5,S$8,IFS!$J37:$AG37)</f>
        <v>0</v>
      </c>
      <c r="T36" s="139">
        <f>SUMIF(Timing!$J$5:$AG$5,T$8,IFS!$J37:$AG37)</f>
        <v>0</v>
      </c>
      <c r="U36" s="139">
        <f>SUMIF(Timing!$J$5:$AG$5,U$8,IFS!$J37:$AG37)</f>
        <v>0</v>
      </c>
      <c r="V36" s="140">
        <f t="shared" si="17"/>
        <v>2500</v>
      </c>
      <c r="W36" s="162">
        <f>SUMPRODUCT((Timing!$J$29:$AG$29=1)*(Timing!$J$15:$AG$15=2)*(IFS!$J37:$AG37))</f>
        <v>0</v>
      </c>
      <c r="X36" s="168">
        <f>SUMPRODUCT((Timing!$J$29:$AG$29=2)*(Timing!$J$15:$AG$15=2)*(IFS!$J37:$AG37))</f>
        <v>2500</v>
      </c>
      <c r="Y36" s="168">
        <f>SUMPRODUCT((Timing!$J$29:$AG$29=3)*(Timing!$J$15:$AG$15=2)*(IFS!$J37:$AG37))</f>
        <v>0</v>
      </c>
      <c r="Z36" s="163">
        <f>SUMPRODUCT((Timing!$J$29:$AG$29=4)*(Timing!$J$15:$AG$15=2)*(IFS!$J37:$AG37))</f>
        <v>0</v>
      </c>
      <c r="AA36" s="140">
        <f t="shared" si="18"/>
        <v>2500</v>
      </c>
    </row>
    <row r="37" spans="1:27" s="878" customFormat="1" ht="16.5" customHeight="1" outlineLevel="2">
      <c r="A37" s="800"/>
      <c r="B37" s="800"/>
      <c r="C37" s="1018" t="str">
        <f>IF(IFS!C38="","",IFS!C38)</f>
        <v>Communication (Internet, Phone, Mobile etc.) (M&amp;S staff)</v>
      </c>
      <c r="J37" s="139">
        <f>SUMIF(Timing!$J$5:$AG$5,J$8,IFS!$J38:$AG38)</f>
        <v>0</v>
      </c>
      <c r="K37" s="139">
        <f>SUMIF(Timing!$J$5:$AG$5,K$8,IFS!$J38:$AG38)</f>
        <v>0</v>
      </c>
      <c r="L37" s="156">
        <f>SUMIF(Timing!$J$5:$AG$5,L$8,IFS!$J38:$AG38)</f>
        <v>350</v>
      </c>
      <c r="M37" s="157">
        <f>SUMIF(Timing!$J$5:$AG$5,M$8,IFS!$J38:$AG38)</f>
        <v>350</v>
      </c>
      <c r="N37" s="139">
        <f>SUMIF(Timing!$J$5:$AG$5,N$8,IFS!$J38:$AG38)</f>
        <v>350</v>
      </c>
      <c r="O37" s="156">
        <f>SUMIF(Timing!$J$5:$AG$5,O$8,IFS!$J38:$AG38)</f>
        <v>350</v>
      </c>
      <c r="P37" s="157">
        <f>SUMIF(Timing!$J$5:$AG$5,P$8,IFS!$J38:$AG38)</f>
        <v>350</v>
      </c>
      <c r="Q37" s="139">
        <f>SUMIF(Timing!$J$5:$AG$5,Q$8,IFS!$J38:$AG38)</f>
        <v>350</v>
      </c>
      <c r="R37" s="156">
        <f>SUMIF(Timing!$J$5:$AG$5,R$8,IFS!$J38:$AG38)</f>
        <v>350</v>
      </c>
      <c r="S37" s="157">
        <f>SUMIF(Timing!$J$5:$AG$5,S$8,IFS!$J38:$AG38)</f>
        <v>350</v>
      </c>
      <c r="T37" s="139">
        <f>SUMIF(Timing!$J$5:$AG$5,T$8,IFS!$J38:$AG38)</f>
        <v>350</v>
      </c>
      <c r="U37" s="139">
        <f>SUMIF(Timing!$J$5:$AG$5,U$8,IFS!$J38:$AG38)</f>
        <v>350</v>
      </c>
      <c r="V37" s="140">
        <f t="shared" si="17"/>
        <v>3500</v>
      </c>
      <c r="W37" s="162">
        <f>SUMPRODUCT((Timing!$J$29:$AG$29=1)*(Timing!$J$15:$AG$15=2)*(IFS!$J38:$AG38))</f>
        <v>1050</v>
      </c>
      <c r="X37" s="168">
        <f>SUMPRODUCT((Timing!$J$29:$AG$29=2)*(Timing!$J$15:$AG$15=2)*(IFS!$J38:$AG38))</f>
        <v>1050</v>
      </c>
      <c r="Y37" s="168">
        <f>SUMPRODUCT((Timing!$J$29:$AG$29=3)*(Timing!$J$15:$AG$15=2)*(IFS!$J38:$AG38))</f>
        <v>1050</v>
      </c>
      <c r="Z37" s="163">
        <f>SUMPRODUCT((Timing!$J$29:$AG$29=4)*(Timing!$J$15:$AG$15=2)*(IFS!$J38:$AG38))</f>
        <v>1050</v>
      </c>
      <c r="AA37" s="140">
        <f t="shared" si="18"/>
        <v>4200</v>
      </c>
    </row>
    <row r="38" spans="1:27" s="878" customFormat="1" ht="16.5" customHeight="1" outlineLevel="2">
      <c r="A38" s="800"/>
      <c r="B38" s="800"/>
      <c r="C38" s="1018" t="str">
        <f>IF(IFS!C39="","",IFS!C39)</f>
        <v>Travel &amp; Entertainment (M&amp;S staff)</v>
      </c>
      <c r="J38" s="139">
        <f>SUMIF(Timing!$J$5:$AG$5,J$8,IFS!$J39:$AG39)</f>
        <v>0</v>
      </c>
      <c r="K38" s="139">
        <f>SUMIF(Timing!$J$5:$AG$5,K$8,IFS!$J39:$AG39)</f>
        <v>0</v>
      </c>
      <c r="L38" s="156">
        <f>SUMIF(Timing!$J$5:$AG$5,L$8,IFS!$J39:$AG39)</f>
        <v>400</v>
      </c>
      <c r="M38" s="157">
        <f>SUMIF(Timing!$J$5:$AG$5,M$8,IFS!$J39:$AG39)</f>
        <v>400</v>
      </c>
      <c r="N38" s="139">
        <f>SUMIF(Timing!$J$5:$AG$5,N$8,IFS!$J39:$AG39)</f>
        <v>400</v>
      </c>
      <c r="O38" s="156">
        <f>SUMIF(Timing!$J$5:$AG$5,O$8,IFS!$J39:$AG39)</f>
        <v>400</v>
      </c>
      <c r="P38" s="157">
        <f>SUMIF(Timing!$J$5:$AG$5,P$8,IFS!$J39:$AG39)</f>
        <v>400</v>
      </c>
      <c r="Q38" s="139">
        <f>SUMIF(Timing!$J$5:$AG$5,Q$8,IFS!$J39:$AG39)</f>
        <v>400</v>
      </c>
      <c r="R38" s="156">
        <f>SUMIF(Timing!$J$5:$AG$5,R$8,IFS!$J39:$AG39)</f>
        <v>400</v>
      </c>
      <c r="S38" s="157">
        <f>SUMIF(Timing!$J$5:$AG$5,S$8,IFS!$J39:$AG39)</f>
        <v>400</v>
      </c>
      <c r="T38" s="139">
        <f>SUMIF(Timing!$J$5:$AG$5,T$8,IFS!$J39:$AG39)</f>
        <v>400</v>
      </c>
      <c r="U38" s="139">
        <f>SUMIF(Timing!$J$5:$AG$5,U$8,IFS!$J39:$AG39)</f>
        <v>400</v>
      </c>
      <c r="V38" s="140">
        <f t="shared" si="17"/>
        <v>4000</v>
      </c>
      <c r="W38" s="162">
        <f>SUMPRODUCT((Timing!$J$29:$AG$29=1)*(Timing!$J$15:$AG$15=2)*(IFS!$J39:$AG39))</f>
        <v>1200</v>
      </c>
      <c r="X38" s="168">
        <f>SUMPRODUCT((Timing!$J$29:$AG$29=2)*(Timing!$J$15:$AG$15=2)*(IFS!$J39:$AG39))</f>
        <v>1200</v>
      </c>
      <c r="Y38" s="168">
        <f>SUMPRODUCT((Timing!$J$29:$AG$29=3)*(Timing!$J$15:$AG$15=2)*(IFS!$J39:$AG39))</f>
        <v>1200</v>
      </c>
      <c r="Z38" s="163">
        <f>SUMPRODUCT((Timing!$J$29:$AG$29=4)*(Timing!$J$15:$AG$15=2)*(IFS!$J39:$AG39))</f>
        <v>1200</v>
      </c>
      <c r="AA38" s="140">
        <f t="shared" si="18"/>
        <v>4800</v>
      </c>
    </row>
    <row r="39" spans="1:27" s="878" customFormat="1" ht="16.5" customHeight="1" outlineLevel="2">
      <c r="A39" s="800"/>
      <c r="B39" s="800"/>
      <c r="C39" s="1018" t="str">
        <f>IF(IFS!C40="","",IFS!C40)</f>
        <v>Vehicle's costs (M&amp;S staff)</v>
      </c>
      <c r="J39" s="139">
        <f>SUMIF(Timing!$J$5:$AG$5,J$8,IFS!$J40:$AG40)</f>
        <v>0</v>
      </c>
      <c r="K39" s="139">
        <f>SUMIF(Timing!$J$5:$AG$5,K$8,IFS!$J40:$AG40)</f>
        <v>0</v>
      </c>
      <c r="L39" s="156">
        <f>SUMIF(Timing!$J$5:$AG$5,L$8,IFS!$J40:$AG40)</f>
        <v>0</v>
      </c>
      <c r="M39" s="157">
        <f>SUMIF(Timing!$J$5:$AG$5,M$8,IFS!$J40:$AG40)</f>
        <v>0</v>
      </c>
      <c r="N39" s="139">
        <f>SUMIF(Timing!$J$5:$AG$5,N$8,IFS!$J40:$AG40)</f>
        <v>0</v>
      </c>
      <c r="O39" s="156">
        <f>SUMIF(Timing!$J$5:$AG$5,O$8,IFS!$J40:$AG40)</f>
        <v>0</v>
      </c>
      <c r="P39" s="157">
        <f>SUMIF(Timing!$J$5:$AG$5,P$8,IFS!$J40:$AG40)</f>
        <v>0</v>
      </c>
      <c r="Q39" s="139">
        <f>SUMIF(Timing!$J$5:$AG$5,Q$8,IFS!$J40:$AG40)</f>
        <v>0</v>
      </c>
      <c r="R39" s="156">
        <f>SUMIF(Timing!$J$5:$AG$5,R$8,IFS!$J40:$AG40)</f>
        <v>0</v>
      </c>
      <c r="S39" s="157">
        <f>SUMIF(Timing!$J$5:$AG$5,S$8,IFS!$J40:$AG40)</f>
        <v>0</v>
      </c>
      <c r="T39" s="139">
        <f>SUMIF(Timing!$J$5:$AG$5,T$8,IFS!$J40:$AG40)</f>
        <v>0</v>
      </c>
      <c r="U39" s="139">
        <f>SUMIF(Timing!$J$5:$AG$5,U$8,IFS!$J40:$AG40)</f>
        <v>0</v>
      </c>
      <c r="V39" s="140">
        <f t="shared" si="17"/>
        <v>0</v>
      </c>
      <c r="W39" s="162">
        <f>SUMPRODUCT((Timing!$J$29:$AG$29=1)*(Timing!$J$15:$AG$15=2)*(IFS!$J40:$AG40))</f>
        <v>0</v>
      </c>
      <c r="X39" s="168">
        <f>SUMPRODUCT((Timing!$J$29:$AG$29=2)*(Timing!$J$15:$AG$15=2)*(IFS!$J40:$AG40))</f>
        <v>0</v>
      </c>
      <c r="Y39" s="168">
        <f>SUMPRODUCT((Timing!$J$29:$AG$29=3)*(Timing!$J$15:$AG$15=2)*(IFS!$J40:$AG40))</f>
        <v>0</v>
      </c>
      <c r="Z39" s="163">
        <f>SUMPRODUCT((Timing!$J$29:$AG$29=4)*(Timing!$J$15:$AG$15=2)*(IFS!$J40:$AG40))</f>
        <v>0</v>
      </c>
      <c r="AA39" s="140">
        <f t="shared" si="18"/>
        <v>0</v>
      </c>
    </row>
    <row r="40" spans="1:27" s="878" customFormat="1" ht="16.5" customHeight="1" outlineLevel="2">
      <c r="A40" s="800"/>
      <c r="B40" s="800"/>
      <c r="C40" s="1018" t="str">
        <f>IF(IFS!C41="","",IFS!C41)</f>
        <v>Miscellaneous 01</v>
      </c>
      <c r="J40" s="139">
        <f>SUMIF(Timing!$J$5:$AG$5,J$8,IFS!$J41:$AG41)</f>
        <v>0</v>
      </c>
      <c r="K40" s="139">
        <f>SUMIF(Timing!$J$5:$AG$5,K$8,IFS!$J41:$AG41)</f>
        <v>0</v>
      </c>
      <c r="L40" s="156">
        <f>SUMIF(Timing!$J$5:$AG$5,L$8,IFS!$J41:$AG41)</f>
        <v>0</v>
      </c>
      <c r="M40" s="157">
        <f>SUMIF(Timing!$J$5:$AG$5,M$8,IFS!$J41:$AG41)</f>
        <v>0</v>
      </c>
      <c r="N40" s="139">
        <f>SUMIF(Timing!$J$5:$AG$5,N$8,IFS!$J41:$AG41)</f>
        <v>0</v>
      </c>
      <c r="O40" s="156">
        <f>SUMIF(Timing!$J$5:$AG$5,O$8,IFS!$J41:$AG41)</f>
        <v>0</v>
      </c>
      <c r="P40" s="157">
        <f>SUMIF(Timing!$J$5:$AG$5,P$8,IFS!$J41:$AG41)</f>
        <v>0</v>
      </c>
      <c r="Q40" s="139">
        <f>SUMIF(Timing!$J$5:$AG$5,Q$8,IFS!$J41:$AG41)</f>
        <v>0</v>
      </c>
      <c r="R40" s="156">
        <f>SUMIF(Timing!$J$5:$AG$5,R$8,IFS!$J41:$AG41)</f>
        <v>0</v>
      </c>
      <c r="S40" s="157">
        <f>SUMIF(Timing!$J$5:$AG$5,S$8,IFS!$J41:$AG41)</f>
        <v>0</v>
      </c>
      <c r="T40" s="139">
        <f>SUMIF(Timing!$J$5:$AG$5,T$8,IFS!$J41:$AG41)</f>
        <v>0</v>
      </c>
      <c r="U40" s="139">
        <f>SUMIF(Timing!$J$5:$AG$5,U$8,IFS!$J41:$AG41)</f>
        <v>0</v>
      </c>
      <c r="V40" s="140">
        <f t="shared" si="17"/>
        <v>0</v>
      </c>
      <c r="W40" s="162">
        <f>SUMPRODUCT((Timing!$J$29:$AG$29=1)*(Timing!$J$15:$AG$15=2)*(IFS!$J41:$AG41))</f>
        <v>0</v>
      </c>
      <c r="X40" s="168">
        <f>SUMPRODUCT((Timing!$J$29:$AG$29=2)*(Timing!$J$15:$AG$15=2)*(IFS!$J41:$AG41))</f>
        <v>0</v>
      </c>
      <c r="Y40" s="168">
        <f>SUMPRODUCT((Timing!$J$29:$AG$29=3)*(Timing!$J$15:$AG$15=2)*(IFS!$J41:$AG41))</f>
        <v>0</v>
      </c>
      <c r="Z40" s="163">
        <f>SUMPRODUCT((Timing!$J$29:$AG$29=4)*(Timing!$J$15:$AG$15=2)*(IFS!$J41:$AG41))</f>
        <v>0</v>
      </c>
      <c r="AA40" s="140">
        <f t="shared" si="18"/>
        <v>0</v>
      </c>
    </row>
    <row r="41" spans="1:27" s="878" customFormat="1" ht="16.5" customHeight="1" outlineLevel="2">
      <c r="A41" s="800"/>
      <c r="B41" s="800"/>
      <c r="C41" s="1018" t="str">
        <f>IF(IFS!C42="","",IFS!C42)</f>
        <v>Miscellaneous 02</v>
      </c>
      <c r="J41" s="139">
        <f>SUMIF(Timing!$J$5:$AG$5,J$8,IFS!$J42:$AG42)</f>
        <v>0</v>
      </c>
      <c r="K41" s="139">
        <f>SUMIF(Timing!$J$5:$AG$5,K$8,IFS!$J42:$AG42)</f>
        <v>0</v>
      </c>
      <c r="L41" s="156">
        <f>SUMIF(Timing!$J$5:$AG$5,L$8,IFS!$J42:$AG42)</f>
        <v>0</v>
      </c>
      <c r="M41" s="157">
        <f>SUMIF(Timing!$J$5:$AG$5,M$8,IFS!$J42:$AG42)</f>
        <v>0</v>
      </c>
      <c r="N41" s="139">
        <f>SUMIF(Timing!$J$5:$AG$5,N$8,IFS!$J42:$AG42)</f>
        <v>0</v>
      </c>
      <c r="O41" s="156">
        <f>SUMIF(Timing!$J$5:$AG$5,O$8,IFS!$J42:$AG42)</f>
        <v>0</v>
      </c>
      <c r="P41" s="157">
        <f>SUMIF(Timing!$J$5:$AG$5,P$8,IFS!$J42:$AG42)</f>
        <v>0</v>
      </c>
      <c r="Q41" s="139">
        <f>SUMIF(Timing!$J$5:$AG$5,Q$8,IFS!$J42:$AG42)</f>
        <v>0</v>
      </c>
      <c r="R41" s="156">
        <f>SUMIF(Timing!$J$5:$AG$5,R$8,IFS!$J42:$AG42)</f>
        <v>0</v>
      </c>
      <c r="S41" s="157">
        <f>SUMIF(Timing!$J$5:$AG$5,S$8,IFS!$J42:$AG42)</f>
        <v>0</v>
      </c>
      <c r="T41" s="139">
        <f>SUMIF(Timing!$J$5:$AG$5,T$8,IFS!$J42:$AG42)</f>
        <v>0</v>
      </c>
      <c r="U41" s="139">
        <f>SUMIF(Timing!$J$5:$AG$5,U$8,IFS!$J42:$AG42)</f>
        <v>0</v>
      </c>
      <c r="V41" s="140">
        <f t="shared" si="17"/>
        <v>0</v>
      </c>
      <c r="W41" s="162">
        <f>SUMPRODUCT((Timing!$J$29:$AG$29=1)*(Timing!$J$15:$AG$15=2)*(IFS!$J42:$AG42))</f>
        <v>0</v>
      </c>
      <c r="X41" s="168">
        <f>SUMPRODUCT((Timing!$J$29:$AG$29=2)*(Timing!$J$15:$AG$15=2)*(IFS!$J42:$AG42))</f>
        <v>0</v>
      </c>
      <c r="Y41" s="168">
        <f>SUMPRODUCT((Timing!$J$29:$AG$29=3)*(Timing!$J$15:$AG$15=2)*(IFS!$J42:$AG42))</f>
        <v>0</v>
      </c>
      <c r="Z41" s="163">
        <f>SUMPRODUCT((Timing!$J$29:$AG$29=4)*(Timing!$J$15:$AG$15=2)*(IFS!$J42:$AG42))</f>
        <v>0</v>
      </c>
      <c r="AA41" s="140">
        <f t="shared" si="18"/>
        <v>0</v>
      </c>
    </row>
    <row r="42" spans="1:27" s="878" customFormat="1" ht="16.5" customHeight="1" outlineLevel="2">
      <c r="A42" s="800"/>
      <c r="B42" s="800"/>
      <c r="C42" s="1018" t="str">
        <f>IF(IFS!C43="","",IFS!C43)</f>
        <v>Miscellaneous 03</v>
      </c>
      <c r="J42" s="139">
        <f>SUMIF(Timing!$J$5:$AG$5,J$8,IFS!$J43:$AG43)</f>
        <v>0</v>
      </c>
      <c r="K42" s="139">
        <f>SUMIF(Timing!$J$5:$AG$5,K$8,IFS!$J43:$AG43)</f>
        <v>0</v>
      </c>
      <c r="L42" s="156">
        <f>SUMIF(Timing!$J$5:$AG$5,L$8,IFS!$J43:$AG43)</f>
        <v>0</v>
      </c>
      <c r="M42" s="157">
        <f>SUMIF(Timing!$J$5:$AG$5,M$8,IFS!$J43:$AG43)</f>
        <v>0</v>
      </c>
      <c r="N42" s="139">
        <f>SUMIF(Timing!$J$5:$AG$5,N$8,IFS!$J43:$AG43)</f>
        <v>0</v>
      </c>
      <c r="O42" s="156">
        <f>SUMIF(Timing!$J$5:$AG$5,O$8,IFS!$J43:$AG43)</f>
        <v>0</v>
      </c>
      <c r="P42" s="157">
        <f>SUMIF(Timing!$J$5:$AG$5,P$8,IFS!$J43:$AG43)</f>
        <v>0</v>
      </c>
      <c r="Q42" s="139">
        <f>SUMIF(Timing!$J$5:$AG$5,Q$8,IFS!$J43:$AG43)</f>
        <v>0</v>
      </c>
      <c r="R42" s="156">
        <f>SUMIF(Timing!$J$5:$AG$5,R$8,IFS!$J43:$AG43)</f>
        <v>0</v>
      </c>
      <c r="S42" s="157">
        <f>SUMIF(Timing!$J$5:$AG$5,S$8,IFS!$J43:$AG43)</f>
        <v>0</v>
      </c>
      <c r="T42" s="139">
        <f>SUMIF(Timing!$J$5:$AG$5,T$8,IFS!$J43:$AG43)</f>
        <v>0</v>
      </c>
      <c r="U42" s="139">
        <f>SUMIF(Timing!$J$5:$AG$5,U$8,IFS!$J43:$AG43)</f>
        <v>0</v>
      </c>
      <c r="V42" s="140">
        <f t="shared" si="17"/>
        <v>0</v>
      </c>
      <c r="W42" s="162">
        <f>SUMPRODUCT((Timing!$J$29:$AG$29=1)*(Timing!$J$15:$AG$15=2)*(IFS!$J43:$AG43))</f>
        <v>0</v>
      </c>
      <c r="X42" s="168">
        <f>SUMPRODUCT((Timing!$J$29:$AG$29=2)*(Timing!$J$15:$AG$15=2)*(IFS!$J43:$AG43))</f>
        <v>0</v>
      </c>
      <c r="Y42" s="168">
        <f>SUMPRODUCT((Timing!$J$29:$AG$29=3)*(Timing!$J$15:$AG$15=2)*(IFS!$J43:$AG43))</f>
        <v>0</v>
      </c>
      <c r="Z42" s="163">
        <f>SUMPRODUCT((Timing!$J$29:$AG$29=4)*(Timing!$J$15:$AG$15=2)*(IFS!$J43:$AG43))</f>
        <v>0</v>
      </c>
      <c r="AA42" s="140">
        <f t="shared" si="18"/>
        <v>0</v>
      </c>
    </row>
    <row r="43" spans="1:27" s="878" customFormat="1" ht="16.5" customHeight="1" outlineLevel="1">
      <c r="A43" s="800"/>
      <c r="B43" s="800"/>
      <c r="C43" s="878" t="str">
        <f>IF(IFS!C44="","",IFS!C44)</f>
        <v xml:space="preserve">  -  Research and Development</v>
      </c>
      <c r="J43" s="139">
        <f>SUM(J44:J58)</f>
        <v>0</v>
      </c>
      <c r="K43" s="139">
        <f t="shared" ref="K43" si="19">SUM(K44:K58)</f>
        <v>0</v>
      </c>
      <c r="L43" s="156">
        <f t="shared" ref="L43" si="20">SUM(L44:L58)</f>
        <v>5625</v>
      </c>
      <c r="M43" s="157">
        <f t="shared" ref="M43" si="21">SUM(M44:M58)</f>
        <v>5340</v>
      </c>
      <c r="N43" s="139">
        <f t="shared" ref="N43" si="22">SUM(N44:N58)</f>
        <v>5355.15</v>
      </c>
      <c r="O43" s="156">
        <f t="shared" ref="O43" si="23">SUM(O44:O58)</f>
        <v>5370.4515000000001</v>
      </c>
      <c r="P43" s="157">
        <f t="shared" ref="P43" si="24">SUM(P44:P58)</f>
        <v>5385.9060150000005</v>
      </c>
      <c r="Q43" s="139">
        <f t="shared" ref="Q43" si="25">SUM(Q44:Q58)</f>
        <v>5401.5150751500005</v>
      </c>
      <c r="R43" s="156">
        <f t="shared" ref="R43" si="26">SUM(R44:R58)</f>
        <v>5417.2802259015007</v>
      </c>
      <c r="S43" s="157">
        <f t="shared" ref="S43" si="27">SUM(S44:S58)</f>
        <v>13158.203028160513</v>
      </c>
      <c r="T43" s="139">
        <f t="shared" ref="T43" si="28">SUM(T44:T58)</f>
        <v>12574.285058442118</v>
      </c>
      <c r="U43" s="139">
        <f t="shared" ref="U43" si="29">SUM(U44:U58)</f>
        <v>12590.527909026539</v>
      </c>
      <c r="V43" s="140">
        <f t="shared" si="17"/>
        <v>76218.31881168067</v>
      </c>
      <c r="W43" s="162">
        <f>SUM(W44:W58)</f>
        <v>38080.673253312736</v>
      </c>
      <c r="X43" s="168">
        <f>SUM(X44:X58)</f>
        <v>38337.804673561368</v>
      </c>
      <c r="Y43" s="168">
        <f>SUM(Y44:Y58)</f>
        <v>42656.295827974951</v>
      </c>
      <c r="Z43" s="163">
        <f>SUM(Z44:Z58)</f>
        <v>50241.286396108415</v>
      </c>
      <c r="AA43" s="140">
        <f t="shared" si="18"/>
        <v>169316.06015095746</v>
      </c>
    </row>
    <row r="44" spans="1:27" s="878" customFormat="1" ht="16.5" customHeight="1" outlineLevel="2">
      <c r="A44" s="800"/>
      <c r="B44" s="800"/>
      <c r="C44" s="1018" t="str">
        <f>IF(IFS!C45="","",IFS!C45)</f>
        <v>Wages &amp; Salaries</v>
      </c>
      <c r="J44" s="139">
        <f>SUMIF(Timing!$J$5:$AG$5,J$8,IFS!$J45:$AG45)</f>
        <v>0</v>
      </c>
      <c r="K44" s="139">
        <f>SUMIF(Timing!$J$5:$AG$5,K$8,IFS!$J45:$AG45)</f>
        <v>0</v>
      </c>
      <c r="L44" s="156">
        <f>SUMIF(Timing!$J$5:$AG$5,L$8,IFS!$J45:$AG45)</f>
        <v>2916.6666666666665</v>
      </c>
      <c r="M44" s="157">
        <f>SUMIF(Timing!$J$5:$AG$5,M$8,IFS!$J45:$AG45)</f>
        <v>2916.6666666666665</v>
      </c>
      <c r="N44" s="139">
        <f>SUMIF(Timing!$J$5:$AG$5,N$8,IFS!$J45:$AG45)</f>
        <v>2916.6666666666665</v>
      </c>
      <c r="O44" s="156">
        <f>SUMIF(Timing!$J$5:$AG$5,O$8,IFS!$J45:$AG45)</f>
        <v>2916.6666666666665</v>
      </c>
      <c r="P44" s="157">
        <f>SUMIF(Timing!$J$5:$AG$5,P$8,IFS!$J45:$AG45)</f>
        <v>2916.6666666666665</v>
      </c>
      <c r="Q44" s="139">
        <f>SUMIF(Timing!$J$5:$AG$5,Q$8,IFS!$J45:$AG45)</f>
        <v>2916.6666666666665</v>
      </c>
      <c r="R44" s="156">
        <f>SUMIF(Timing!$J$5:$AG$5,R$8,IFS!$J45:$AG45)</f>
        <v>2916.6666666666665</v>
      </c>
      <c r="S44" s="157">
        <f>SUMIF(Timing!$J$5:$AG$5,S$8,IFS!$J45:$AG45)</f>
        <v>8333.3333333333321</v>
      </c>
      <c r="T44" s="139">
        <f>SUMIF(Timing!$J$5:$AG$5,T$8,IFS!$J45:$AG45)</f>
        <v>8333.3333333333321</v>
      </c>
      <c r="U44" s="139">
        <f>SUMIF(Timing!$J$5:$AG$5,U$8,IFS!$J45:$AG45)</f>
        <v>8333.3333333333321</v>
      </c>
      <c r="V44" s="140">
        <f t="shared" si="17"/>
        <v>45416.666666666657</v>
      </c>
      <c r="W44" s="162">
        <f>SUMPRODUCT((Timing!$J$29:$AG$29=1)*(Timing!$J$15:$AG$15=2)*(IFS!$J45:$AG45))</f>
        <v>25166.666666666668</v>
      </c>
      <c r="X44" s="168">
        <f>SUMPRODUCT((Timing!$J$29:$AG$29=2)*(Timing!$J$15:$AG$15=2)*(IFS!$J45:$AG45))</f>
        <v>25250.000000000004</v>
      </c>
      <c r="Y44" s="168">
        <f>SUMPRODUCT((Timing!$J$29:$AG$29=3)*(Timing!$J$15:$AG$15=2)*(IFS!$J45:$AG45))</f>
        <v>28195.833333333336</v>
      </c>
      <c r="Z44" s="163">
        <f>SUMPRODUCT((Timing!$J$29:$AG$29=4)*(Timing!$J$15:$AG$15=2)*(IFS!$J45:$AG45))</f>
        <v>34087.5</v>
      </c>
      <c r="AA44" s="140">
        <f t="shared" si="18"/>
        <v>112700</v>
      </c>
    </row>
    <row r="45" spans="1:27" s="878" customFormat="1" ht="16.5" customHeight="1" outlineLevel="2">
      <c r="A45" s="800"/>
      <c r="B45" s="800"/>
      <c r="C45" s="1018" t="str">
        <f>IF(IFS!C46="","",IFS!C46)</f>
        <v>Social security contributions and taxes</v>
      </c>
      <c r="J45" s="139">
        <f>SUMIF(Timing!$J$5:$AG$5,J$8,IFS!$J46:$AG46)</f>
        <v>0</v>
      </c>
      <c r="K45" s="139">
        <f>SUMIF(Timing!$J$5:$AG$5,K$8,IFS!$J46:$AG46)</f>
        <v>0</v>
      </c>
      <c r="L45" s="156">
        <f>SUMIF(Timing!$J$5:$AG$5,L$8,IFS!$J46:$AG46)</f>
        <v>583.33333333333337</v>
      </c>
      <c r="M45" s="157">
        <f>SUMIF(Timing!$J$5:$AG$5,M$8,IFS!$J46:$AG46)</f>
        <v>583.33333333333337</v>
      </c>
      <c r="N45" s="139">
        <f>SUMIF(Timing!$J$5:$AG$5,N$8,IFS!$J46:$AG46)</f>
        <v>583.33333333333337</v>
      </c>
      <c r="O45" s="156">
        <f>SUMIF(Timing!$J$5:$AG$5,O$8,IFS!$J46:$AG46)</f>
        <v>583.33333333333337</v>
      </c>
      <c r="P45" s="157">
        <f>SUMIF(Timing!$J$5:$AG$5,P$8,IFS!$J46:$AG46)</f>
        <v>583.33333333333337</v>
      </c>
      <c r="Q45" s="139">
        <f>SUMIF(Timing!$J$5:$AG$5,Q$8,IFS!$J46:$AG46)</f>
        <v>583.33333333333337</v>
      </c>
      <c r="R45" s="156">
        <f>SUMIF(Timing!$J$5:$AG$5,R$8,IFS!$J46:$AG46)</f>
        <v>583.33333333333337</v>
      </c>
      <c r="S45" s="157">
        <f>SUMIF(Timing!$J$5:$AG$5,S$8,IFS!$J46:$AG46)</f>
        <v>1666.6666666666667</v>
      </c>
      <c r="T45" s="139">
        <f>SUMIF(Timing!$J$5:$AG$5,T$8,IFS!$J46:$AG46)</f>
        <v>1666.6666666666667</v>
      </c>
      <c r="U45" s="139">
        <f>SUMIF(Timing!$J$5:$AG$5,U$8,IFS!$J46:$AG46)</f>
        <v>1666.6666666666667</v>
      </c>
      <c r="V45" s="140">
        <f t="shared" si="17"/>
        <v>9083.3333333333339</v>
      </c>
      <c r="W45" s="162">
        <f>SUMPRODUCT((Timing!$J$29:$AG$29=1)*(Timing!$J$15:$AG$15=2)*(IFS!$J46:$AG46))</f>
        <v>5033.3333333333339</v>
      </c>
      <c r="X45" s="168">
        <f>SUMPRODUCT((Timing!$J$29:$AG$29=2)*(Timing!$J$15:$AG$15=2)*(IFS!$J46:$AG46))</f>
        <v>5050</v>
      </c>
      <c r="Y45" s="168">
        <f>SUMPRODUCT((Timing!$J$29:$AG$29=3)*(Timing!$J$15:$AG$15=2)*(IFS!$J46:$AG46))</f>
        <v>5639.166666666667</v>
      </c>
      <c r="Z45" s="163">
        <f>SUMPRODUCT((Timing!$J$29:$AG$29=4)*(Timing!$J$15:$AG$15=2)*(IFS!$J46:$AG46))</f>
        <v>6817.5</v>
      </c>
      <c r="AA45" s="140">
        <f t="shared" si="18"/>
        <v>22540</v>
      </c>
    </row>
    <row r="46" spans="1:27" s="878" customFormat="1" ht="16.5" customHeight="1" outlineLevel="2">
      <c r="A46" s="800"/>
      <c r="B46" s="800"/>
      <c r="C46" s="1018" t="str">
        <f>IF(IFS!C47="","",IFS!C47)</f>
        <v>Other Staff Costs</v>
      </c>
      <c r="J46" s="139">
        <f>SUMIF(Timing!$J$5:$AG$5,J$8,IFS!$J47:$AG47)</f>
        <v>0</v>
      </c>
      <c r="K46" s="139">
        <f>SUMIF(Timing!$J$5:$AG$5,K$8,IFS!$J47:$AG47)</f>
        <v>0</v>
      </c>
      <c r="L46" s="156">
        <f>SUMIF(Timing!$J$5:$AG$5,L$8,IFS!$J47:$AG47)</f>
        <v>625</v>
      </c>
      <c r="M46" s="157">
        <f>SUMIF(Timing!$J$5:$AG$5,M$8,IFS!$J47:$AG47)</f>
        <v>325</v>
      </c>
      <c r="N46" s="139">
        <f>SUMIF(Timing!$J$5:$AG$5,N$8,IFS!$J47:$AG47)</f>
        <v>325</v>
      </c>
      <c r="O46" s="156">
        <f>SUMIF(Timing!$J$5:$AG$5,O$8,IFS!$J47:$AG47)</f>
        <v>325</v>
      </c>
      <c r="P46" s="157">
        <f>SUMIF(Timing!$J$5:$AG$5,P$8,IFS!$J47:$AG47)</f>
        <v>325</v>
      </c>
      <c r="Q46" s="139">
        <f>SUMIF(Timing!$J$5:$AG$5,Q$8,IFS!$J47:$AG47)</f>
        <v>325</v>
      </c>
      <c r="R46" s="156">
        <f>SUMIF(Timing!$J$5:$AG$5,R$8,IFS!$J47:$AG47)</f>
        <v>325</v>
      </c>
      <c r="S46" s="157">
        <f>SUMIF(Timing!$J$5:$AG$5,S$8,IFS!$J47:$AG47)</f>
        <v>1550</v>
      </c>
      <c r="T46" s="139">
        <f>SUMIF(Timing!$J$5:$AG$5,T$8,IFS!$J47:$AG47)</f>
        <v>950</v>
      </c>
      <c r="U46" s="139">
        <f>SUMIF(Timing!$J$5:$AG$5,U$8,IFS!$J47:$AG47)</f>
        <v>950</v>
      </c>
      <c r="V46" s="140">
        <f t="shared" si="17"/>
        <v>6025</v>
      </c>
      <c r="W46" s="162">
        <f>SUMPRODUCT((Timing!$J$29:$AG$29=1)*(Timing!$J$15:$AG$15=2)*(IFS!$J47:$AG47))</f>
        <v>2860</v>
      </c>
      <c r="X46" s="168">
        <f>SUMPRODUCT((Timing!$J$29:$AG$29=2)*(Timing!$J$15:$AG$15=2)*(IFS!$J47:$AG47))</f>
        <v>2865</v>
      </c>
      <c r="Y46" s="168">
        <f>SUMPRODUCT((Timing!$J$29:$AG$29=3)*(Timing!$J$15:$AG$15=2)*(IFS!$J47:$AG47))</f>
        <v>3491.75</v>
      </c>
      <c r="Z46" s="163">
        <f>SUMPRODUCT((Timing!$J$29:$AG$29=4)*(Timing!$J$15:$AG$15=2)*(IFS!$J47:$AG47))</f>
        <v>3845.25</v>
      </c>
      <c r="AA46" s="140">
        <f t="shared" si="18"/>
        <v>13062</v>
      </c>
    </row>
    <row r="47" spans="1:27" s="878" customFormat="1" ht="16.5" customHeight="1" outlineLevel="2">
      <c r="A47" s="800"/>
      <c r="B47" s="800"/>
      <c r="C47" s="1018" t="str">
        <f>IF(IFS!C48="","",IFS!C48)</f>
        <v>Consultancy</v>
      </c>
      <c r="J47" s="139">
        <f>SUMIF(Timing!$J$5:$AG$5,J$8,IFS!$J48:$AG48)</f>
        <v>0</v>
      </c>
      <c r="K47" s="139">
        <f>SUMIF(Timing!$J$5:$AG$5,K$8,IFS!$J48:$AG48)</f>
        <v>0</v>
      </c>
      <c r="L47" s="156">
        <f>SUMIF(Timing!$J$5:$AG$5,L$8,IFS!$J48:$AG48)</f>
        <v>1500</v>
      </c>
      <c r="M47" s="157">
        <f>SUMIF(Timing!$J$5:$AG$5,M$8,IFS!$J48:$AG48)</f>
        <v>1515</v>
      </c>
      <c r="N47" s="139">
        <f>SUMIF(Timing!$J$5:$AG$5,N$8,IFS!$J48:$AG48)</f>
        <v>1530.15</v>
      </c>
      <c r="O47" s="156">
        <f>SUMIF(Timing!$J$5:$AG$5,O$8,IFS!$J48:$AG48)</f>
        <v>1545.4515000000001</v>
      </c>
      <c r="P47" s="157">
        <f>SUMIF(Timing!$J$5:$AG$5,P$8,IFS!$J48:$AG48)</f>
        <v>1560.9060150000003</v>
      </c>
      <c r="Q47" s="139">
        <f>SUMIF(Timing!$J$5:$AG$5,Q$8,IFS!$J48:$AG48)</f>
        <v>1576.5150751500003</v>
      </c>
      <c r="R47" s="156">
        <f>SUMIF(Timing!$J$5:$AG$5,R$8,IFS!$J48:$AG48)</f>
        <v>1592.2802259015002</v>
      </c>
      <c r="S47" s="157">
        <f>SUMIF(Timing!$J$5:$AG$5,S$8,IFS!$J48:$AG48)</f>
        <v>1608.2030281605153</v>
      </c>
      <c r="T47" s="139">
        <f>SUMIF(Timing!$J$5:$AG$5,T$8,IFS!$J48:$AG48)</f>
        <v>1624.2850584421203</v>
      </c>
      <c r="U47" s="139">
        <f>SUMIF(Timing!$J$5:$AG$5,U$8,IFS!$J48:$AG48)</f>
        <v>1640.5279090265415</v>
      </c>
      <c r="V47" s="140">
        <f t="shared" si="17"/>
        <v>15693.318811680676</v>
      </c>
      <c r="W47" s="162">
        <f>SUMPRODUCT((Timing!$J$29:$AG$29=1)*(Timing!$J$15:$AG$15=2)*(IFS!$J48:$AG48))</f>
        <v>5020.673253312737</v>
      </c>
      <c r="X47" s="168">
        <f>SUMPRODUCT((Timing!$J$29:$AG$29=2)*(Timing!$J$15:$AG$15=2)*(IFS!$J48:$AG48))</f>
        <v>5172.8046735613661</v>
      </c>
      <c r="Y47" s="168">
        <f>SUMPRODUCT((Timing!$J$29:$AG$29=3)*(Timing!$J$15:$AG$15=2)*(IFS!$J48:$AG48))</f>
        <v>5329.5458279749491</v>
      </c>
      <c r="Z47" s="163">
        <f>SUMPRODUCT((Timing!$J$29:$AG$29=4)*(Timing!$J$15:$AG$15=2)*(IFS!$J48:$AG48))</f>
        <v>5491.0363961084176</v>
      </c>
      <c r="AA47" s="140">
        <f t="shared" si="18"/>
        <v>21014.06015095747</v>
      </c>
    </row>
    <row r="48" spans="1:27" s="878" customFormat="1" ht="16.5" customHeight="1" outlineLevel="2">
      <c r="A48" s="800"/>
      <c r="B48" s="800"/>
      <c r="C48" s="1018" t="str">
        <f>IF(IFS!C49="","",IFS!C49)</f>
        <v>Design, construction &amp; testing of prototypes</v>
      </c>
      <c r="J48" s="139">
        <f>SUMIF(Timing!$J$5:$AG$5,J$8,IFS!$J49:$AG49)</f>
        <v>0</v>
      </c>
      <c r="K48" s="139">
        <f>SUMIF(Timing!$J$5:$AG$5,K$8,IFS!$J49:$AG49)</f>
        <v>0</v>
      </c>
      <c r="L48" s="156">
        <f>SUMIF(Timing!$J$5:$AG$5,L$8,IFS!$J49:$AG49)</f>
        <v>0</v>
      </c>
      <c r="M48" s="157">
        <f>SUMIF(Timing!$J$5:$AG$5,M$8,IFS!$J49:$AG49)</f>
        <v>0</v>
      </c>
      <c r="N48" s="139">
        <f>SUMIF(Timing!$J$5:$AG$5,N$8,IFS!$J49:$AG49)</f>
        <v>0</v>
      </c>
      <c r="O48" s="156">
        <f>SUMIF(Timing!$J$5:$AG$5,O$8,IFS!$J49:$AG49)</f>
        <v>0</v>
      </c>
      <c r="P48" s="157">
        <f>SUMIF(Timing!$J$5:$AG$5,P$8,IFS!$J49:$AG49)</f>
        <v>0</v>
      </c>
      <c r="Q48" s="139">
        <f>SUMIF(Timing!$J$5:$AG$5,Q$8,IFS!$J49:$AG49)</f>
        <v>0</v>
      </c>
      <c r="R48" s="156">
        <f>SUMIF(Timing!$J$5:$AG$5,R$8,IFS!$J49:$AG49)</f>
        <v>0</v>
      </c>
      <c r="S48" s="157">
        <f>SUMIF(Timing!$J$5:$AG$5,S$8,IFS!$J49:$AG49)</f>
        <v>0</v>
      </c>
      <c r="T48" s="139">
        <f>SUMIF(Timing!$J$5:$AG$5,T$8,IFS!$J49:$AG49)</f>
        <v>0</v>
      </c>
      <c r="U48" s="139">
        <f>SUMIF(Timing!$J$5:$AG$5,U$8,IFS!$J49:$AG49)</f>
        <v>0</v>
      </c>
      <c r="V48" s="140">
        <f t="shared" si="17"/>
        <v>0</v>
      </c>
      <c r="W48" s="162">
        <f>SUMPRODUCT((Timing!$J$29:$AG$29=1)*(Timing!$J$15:$AG$15=2)*(IFS!$J49:$AG49))</f>
        <v>0</v>
      </c>
      <c r="X48" s="168">
        <f>SUMPRODUCT((Timing!$J$29:$AG$29=2)*(Timing!$J$15:$AG$15=2)*(IFS!$J49:$AG49))</f>
        <v>0</v>
      </c>
      <c r="Y48" s="168">
        <f>SUMPRODUCT((Timing!$J$29:$AG$29=3)*(Timing!$J$15:$AG$15=2)*(IFS!$J49:$AG49))</f>
        <v>0</v>
      </c>
      <c r="Z48" s="163">
        <f>SUMPRODUCT((Timing!$J$29:$AG$29=4)*(Timing!$J$15:$AG$15=2)*(IFS!$J49:$AG49))</f>
        <v>0</v>
      </c>
      <c r="AA48" s="140">
        <f t="shared" si="18"/>
        <v>0</v>
      </c>
    </row>
    <row r="49" spans="1:27" s="878" customFormat="1" ht="16.5" customHeight="1" outlineLevel="2">
      <c r="A49" s="800"/>
      <c r="B49" s="800"/>
      <c r="C49" s="1018" t="str">
        <f>IF(IFS!C50="","",IFS!C50)</f>
        <v>Materials</v>
      </c>
      <c r="J49" s="139">
        <f>SUMIF(Timing!$J$5:$AG$5,J$8,IFS!$J50:$AG50)</f>
        <v>0</v>
      </c>
      <c r="K49" s="139">
        <f>SUMIF(Timing!$J$5:$AG$5,K$8,IFS!$J50:$AG50)</f>
        <v>0</v>
      </c>
      <c r="L49" s="156">
        <f>SUMIF(Timing!$J$5:$AG$5,L$8,IFS!$J50:$AG50)</f>
        <v>0</v>
      </c>
      <c r="M49" s="157">
        <f>SUMIF(Timing!$J$5:$AG$5,M$8,IFS!$J50:$AG50)</f>
        <v>0</v>
      </c>
      <c r="N49" s="139">
        <f>SUMIF(Timing!$J$5:$AG$5,N$8,IFS!$J50:$AG50)</f>
        <v>0</v>
      </c>
      <c r="O49" s="156">
        <f>SUMIF(Timing!$J$5:$AG$5,O$8,IFS!$J50:$AG50)</f>
        <v>0</v>
      </c>
      <c r="P49" s="157">
        <f>SUMIF(Timing!$J$5:$AG$5,P$8,IFS!$J50:$AG50)</f>
        <v>0</v>
      </c>
      <c r="Q49" s="139">
        <f>SUMIF(Timing!$J$5:$AG$5,Q$8,IFS!$J50:$AG50)</f>
        <v>0</v>
      </c>
      <c r="R49" s="156">
        <f>SUMIF(Timing!$J$5:$AG$5,R$8,IFS!$J50:$AG50)</f>
        <v>0</v>
      </c>
      <c r="S49" s="157">
        <f>SUMIF(Timing!$J$5:$AG$5,S$8,IFS!$J50:$AG50)</f>
        <v>0</v>
      </c>
      <c r="T49" s="139">
        <f>SUMIF(Timing!$J$5:$AG$5,T$8,IFS!$J50:$AG50)</f>
        <v>0</v>
      </c>
      <c r="U49" s="139">
        <f>SUMIF(Timing!$J$5:$AG$5,U$8,IFS!$J50:$AG50)</f>
        <v>0</v>
      </c>
      <c r="V49" s="140">
        <f t="shared" si="17"/>
        <v>0</v>
      </c>
      <c r="W49" s="162">
        <f>SUMPRODUCT((Timing!$J$29:$AG$29=1)*(Timing!$J$15:$AG$15=2)*(IFS!$J50:$AG50))</f>
        <v>0</v>
      </c>
      <c r="X49" s="168">
        <f>SUMPRODUCT((Timing!$J$29:$AG$29=2)*(Timing!$J$15:$AG$15=2)*(IFS!$J50:$AG50))</f>
        <v>0</v>
      </c>
      <c r="Y49" s="168">
        <f>SUMPRODUCT((Timing!$J$29:$AG$29=3)*(Timing!$J$15:$AG$15=2)*(IFS!$J50:$AG50))</f>
        <v>0</v>
      </c>
      <c r="Z49" s="163">
        <f>SUMPRODUCT((Timing!$J$29:$AG$29=4)*(Timing!$J$15:$AG$15=2)*(IFS!$J50:$AG50))</f>
        <v>0</v>
      </c>
      <c r="AA49" s="140">
        <f t="shared" si="18"/>
        <v>0</v>
      </c>
    </row>
    <row r="50" spans="1:27" s="878" customFormat="1" ht="16.5" customHeight="1" outlineLevel="2">
      <c r="A50" s="800"/>
      <c r="B50" s="800"/>
      <c r="C50" s="1018" t="str">
        <f>IF(IFS!C51="","",IFS!C51)</f>
        <v>Miscellaneous 01</v>
      </c>
      <c r="J50" s="139">
        <f>SUMIF(Timing!$J$5:$AG$5,J$8,IFS!$J51:$AG51)</f>
        <v>0</v>
      </c>
      <c r="K50" s="139">
        <f>SUMIF(Timing!$J$5:$AG$5,K$8,IFS!$J51:$AG51)</f>
        <v>0</v>
      </c>
      <c r="L50" s="156">
        <f>SUMIF(Timing!$J$5:$AG$5,L$8,IFS!$J51:$AG51)</f>
        <v>0</v>
      </c>
      <c r="M50" s="157">
        <f>SUMIF(Timing!$J$5:$AG$5,M$8,IFS!$J51:$AG51)</f>
        <v>0</v>
      </c>
      <c r="N50" s="139">
        <f>SUMIF(Timing!$J$5:$AG$5,N$8,IFS!$J51:$AG51)</f>
        <v>0</v>
      </c>
      <c r="O50" s="156">
        <f>SUMIF(Timing!$J$5:$AG$5,O$8,IFS!$J51:$AG51)</f>
        <v>0</v>
      </c>
      <c r="P50" s="157">
        <f>SUMIF(Timing!$J$5:$AG$5,P$8,IFS!$J51:$AG51)</f>
        <v>0</v>
      </c>
      <c r="Q50" s="139">
        <f>SUMIF(Timing!$J$5:$AG$5,Q$8,IFS!$J51:$AG51)</f>
        <v>0</v>
      </c>
      <c r="R50" s="156">
        <f>SUMIF(Timing!$J$5:$AG$5,R$8,IFS!$J51:$AG51)</f>
        <v>0</v>
      </c>
      <c r="S50" s="157">
        <f>SUMIF(Timing!$J$5:$AG$5,S$8,IFS!$J51:$AG51)</f>
        <v>0</v>
      </c>
      <c r="T50" s="139">
        <f>SUMIF(Timing!$J$5:$AG$5,T$8,IFS!$J51:$AG51)</f>
        <v>0</v>
      </c>
      <c r="U50" s="139">
        <f>SUMIF(Timing!$J$5:$AG$5,U$8,IFS!$J51:$AG51)</f>
        <v>0</v>
      </c>
      <c r="V50" s="140">
        <f t="shared" si="17"/>
        <v>0</v>
      </c>
      <c r="W50" s="162">
        <f>SUMPRODUCT((Timing!$J$29:$AG$29=1)*(Timing!$J$15:$AG$15=2)*(IFS!$J51:$AG51))</f>
        <v>0</v>
      </c>
      <c r="X50" s="168">
        <f>SUMPRODUCT((Timing!$J$29:$AG$29=2)*(Timing!$J$15:$AG$15=2)*(IFS!$J51:$AG51))</f>
        <v>0</v>
      </c>
      <c r="Y50" s="168">
        <f>SUMPRODUCT((Timing!$J$29:$AG$29=3)*(Timing!$J$15:$AG$15=2)*(IFS!$J51:$AG51))</f>
        <v>0</v>
      </c>
      <c r="Z50" s="163">
        <f>SUMPRODUCT((Timing!$J$29:$AG$29=4)*(Timing!$J$15:$AG$15=2)*(IFS!$J51:$AG51))</f>
        <v>0</v>
      </c>
      <c r="AA50" s="140">
        <f t="shared" si="18"/>
        <v>0</v>
      </c>
    </row>
    <row r="51" spans="1:27" s="878" customFormat="1" ht="16.5" customHeight="1" outlineLevel="2">
      <c r="A51" s="800"/>
      <c r="B51" s="800"/>
      <c r="C51" s="1018" t="str">
        <f>IF(IFS!C52="","",IFS!C52)</f>
        <v>Miscellaneous 02</v>
      </c>
      <c r="J51" s="139">
        <f>SUMIF(Timing!$J$5:$AG$5,J$8,IFS!$J52:$AG52)</f>
        <v>0</v>
      </c>
      <c r="K51" s="139">
        <f>SUMIF(Timing!$J$5:$AG$5,K$8,IFS!$J52:$AG52)</f>
        <v>0</v>
      </c>
      <c r="L51" s="156">
        <f>SUMIF(Timing!$J$5:$AG$5,L$8,IFS!$J52:$AG52)</f>
        <v>0</v>
      </c>
      <c r="M51" s="157">
        <f>SUMIF(Timing!$J$5:$AG$5,M$8,IFS!$J52:$AG52)</f>
        <v>0</v>
      </c>
      <c r="N51" s="139">
        <f>SUMIF(Timing!$J$5:$AG$5,N$8,IFS!$J52:$AG52)</f>
        <v>0</v>
      </c>
      <c r="O51" s="156">
        <f>SUMIF(Timing!$J$5:$AG$5,O$8,IFS!$J52:$AG52)</f>
        <v>0</v>
      </c>
      <c r="P51" s="157">
        <f>SUMIF(Timing!$J$5:$AG$5,P$8,IFS!$J52:$AG52)</f>
        <v>0</v>
      </c>
      <c r="Q51" s="139">
        <f>SUMIF(Timing!$J$5:$AG$5,Q$8,IFS!$J52:$AG52)</f>
        <v>0</v>
      </c>
      <c r="R51" s="156">
        <f>SUMIF(Timing!$J$5:$AG$5,R$8,IFS!$J52:$AG52)</f>
        <v>0</v>
      </c>
      <c r="S51" s="157">
        <f>SUMIF(Timing!$J$5:$AG$5,S$8,IFS!$J52:$AG52)</f>
        <v>0</v>
      </c>
      <c r="T51" s="139">
        <f>SUMIF(Timing!$J$5:$AG$5,T$8,IFS!$J52:$AG52)</f>
        <v>0</v>
      </c>
      <c r="U51" s="139">
        <f>SUMIF(Timing!$J$5:$AG$5,U$8,IFS!$J52:$AG52)</f>
        <v>0</v>
      </c>
      <c r="V51" s="140">
        <f t="shared" si="17"/>
        <v>0</v>
      </c>
      <c r="W51" s="162">
        <f>SUMPRODUCT((Timing!$J$29:$AG$29=1)*(Timing!$J$15:$AG$15=2)*(IFS!$J52:$AG52))</f>
        <v>0</v>
      </c>
      <c r="X51" s="168">
        <f>SUMPRODUCT((Timing!$J$29:$AG$29=2)*(Timing!$J$15:$AG$15=2)*(IFS!$J52:$AG52))</f>
        <v>0</v>
      </c>
      <c r="Y51" s="168">
        <f>SUMPRODUCT((Timing!$J$29:$AG$29=3)*(Timing!$J$15:$AG$15=2)*(IFS!$J52:$AG52))</f>
        <v>0</v>
      </c>
      <c r="Z51" s="163">
        <f>SUMPRODUCT((Timing!$J$29:$AG$29=4)*(Timing!$J$15:$AG$15=2)*(IFS!$J52:$AG52))</f>
        <v>0</v>
      </c>
      <c r="AA51" s="140">
        <f t="shared" si="18"/>
        <v>0</v>
      </c>
    </row>
    <row r="52" spans="1:27" s="878" customFormat="1" ht="16.5" customHeight="1" outlineLevel="2">
      <c r="A52" s="800"/>
      <c r="B52" s="800"/>
      <c r="C52" s="1018" t="str">
        <f>IF(IFS!C53="","",IFS!C53)</f>
        <v>Miscellaneous 03</v>
      </c>
      <c r="J52" s="139">
        <f>SUMIF(Timing!$J$5:$AG$5,J$8,IFS!$J53:$AG53)</f>
        <v>0</v>
      </c>
      <c r="K52" s="139">
        <f>SUMIF(Timing!$J$5:$AG$5,K$8,IFS!$J53:$AG53)</f>
        <v>0</v>
      </c>
      <c r="L52" s="156">
        <f>SUMIF(Timing!$J$5:$AG$5,L$8,IFS!$J53:$AG53)</f>
        <v>0</v>
      </c>
      <c r="M52" s="157">
        <f>SUMIF(Timing!$J$5:$AG$5,M$8,IFS!$J53:$AG53)</f>
        <v>0</v>
      </c>
      <c r="N52" s="139">
        <f>SUMIF(Timing!$J$5:$AG$5,N$8,IFS!$J53:$AG53)</f>
        <v>0</v>
      </c>
      <c r="O52" s="156">
        <f>SUMIF(Timing!$J$5:$AG$5,O$8,IFS!$J53:$AG53)</f>
        <v>0</v>
      </c>
      <c r="P52" s="157">
        <f>SUMIF(Timing!$J$5:$AG$5,P$8,IFS!$J53:$AG53)</f>
        <v>0</v>
      </c>
      <c r="Q52" s="139">
        <f>SUMIF(Timing!$J$5:$AG$5,Q$8,IFS!$J53:$AG53)</f>
        <v>0</v>
      </c>
      <c r="R52" s="156">
        <f>SUMIF(Timing!$J$5:$AG$5,R$8,IFS!$J53:$AG53)</f>
        <v>0</v>
      </c>
      <c r="S52" s="157">
        <f>SUMIF(Timing!$J$5:$AG$5,S$8,IFS!$J53:$AG53)</f>
        <v>0</v>
      </c>
      <c r="T52" s="139">
        <f>SUMIF(Timing!$J$5:$AG$5,T$8,IFS!$J53:$AG53)</f>
        <v>0</v>
      </c>
      <c r="U52" s="139">
        <f>SUMIF(Timing!$J$5:$AG$5,U$8,IFS!$J53:$AG53)</f>
        <v>0</v>
      </c>
      <c r="V52" s="140">
        <f t="shared" si="17"/>
        <v>0</v>
      </c>
      <c r="W52" s="162">
        <f>SUMPRODUCT((Timing!$J$29:$AG$29=1)*(Timing!$J$15:$AG$15=2)*(IFS!$J53:$AG53))</f>
        <v>0</v>
      </c>
      <c r="X52" s="168">
        <f>SUMPRODUCT((Timing!$J$29:$AG$29=2)*(Timing!$J$15:$AG$15=2)*(IFS!$J53:$AG53))</f>
        <v>0</v>
      </c>
      <c r="Y52" s="168">
        <f>SUMPRODUCT((Timing!$J$29:$AG$29=3)*(Timing!$J$15:$AG$15=2)*(IFS!$J53:$AG53))</f>
        <v>0</v>
      </c>
      <c r="Z52" s="163">
        <f>SUMPRODUCT((Timing!$J$29:$AG$29=4)*(Timing!$J$15:$AG$15=2)*(IFS!$J53:$AG53))</f>
        <v>0</v>
      </c>
      <c r="AA52" s="140">
        <f t="shared" si="18"/>
        <v>0</v>
      </c>
    </row>
    <row r="53" spans="1:27" s="878" customFormat="1" ht="16.5" customHeight="1" outlineLevel="2">
      <c r="A53" s="800"/>
      <c r="B53" s="800"/>
      <c r="C53" s="1018" t="str">
        <f>IF(IFS!C54="","",IFS!C54)</f>
        <v>Miscellaneous 04</v>
      </c>
      <c r="J53" s="139">
        <f>SUMIF(Timing!$J$5:$AG$5,J$8,IFS!$J54:$AG54)</f>
        <v>0</v>
      </c>
      <c r="K53" s="139">
        <f>SUMIF(Timing!$J$5:$AG$5,K$8,IFS!$J54:$AG54)</f>
        <v>0</v>
      </c>
      <c r="L53" s="156">
        <f>SUMIF(Timing!$J$5:$AG$5,L$8,IFS!$J54:$AG54)</f>
        <v>0</v>
      </c>
      <c r="M53" s="157">
        <f>SUMIF(Timing!$J$5:$AG$5,M$8,IFS!$J54:$AG54)</f>
        <v>0</v>
      </c>
      <c r="N53" s="139">
        <f>SUMIF(Timing!$J$5:$AG$5,N$8,IFS!$J54:$AG54)</f>
        <v>0</v>
      </c>
      <c r="O53" s="156">
        <f>SUMIF(Timing!$J$5:$AG$5,O$8,IFS!$J54:$AG54)</f>
        <v>0</v>
      </c>
      <c r="P53" s="157">
        <f>SUMIF(Timing!$J$5:$AG$5,P$8,IFS!$J54:$AG54)</f>
        <v>0</v>
      </c>
      <c r="Q53" s="139">
        <f>SUMIF(Timing!$J$5:$AG$5,Q$8,IFS!$J54:$AG54)</f>
        <v>0</v>
      </c>
      <c r="R53" s="156">
        <f>SUMIF(Timing!$J$5:$AG$5,R$8,IFS!$J54:$AG54)</f>
        <v>0</v>
      </c>
      <c r="S53" s="157">
        <f>SUMIF(Timing!$J$5:$AG$5,S$8,IFS!$J54:$AG54)</f>
        <v>0</v>
      </c>
      <c r="T53" s="139">
        <f>SUMIF(Timing!$J$5:$AG$5,T$8,IFS!$J54:$AG54)</f>
        <v>0</v>
      </c>
      <c r="U53" s="139">
        <f>SUMIF(Timing!$J$5:$AG$5,U$8,IFS!$J54:$AG54)</f>
        <v>0</v>
      </c>
      <c r="V53" s="140">
        <f t="shared" si="17"/>
        <v>0</v>
      </c>
      <c r="W53" s="162">
        <f>SUMPRODUCT((Timing!$J$29:$AG$29=1)*(Timing!$J$15:$AG$15=2)*(IFS!$J54:$AG54))</f>
        <v>0</v>
      </c>
      <c r="X53" s="168">
        <f>SUMPRODUCT((Timing!$J$29:$AG$29=2)*(Timing!$J$15:$AG$15=2)*(IFS!$J54:$AG54))</f>
        <v>0</v>
      </c>
      <c r="Y53" s="168">
        <f>SUMPRODUCT((Timing!$J$29:$AG$29=3)*(Timing!$J$15:$AG$15=2)*(IFS!$J54:$AG54))</f>
        <v>0</v>
      </c>
      <c r="Z53" s="163">
        <f>SUMPRODUCT((Timing!$J$29:$AG$29=4)*(Timing!$J$15:$AG$15=2)*(IFS!$J54:$AG54))</f>
        <v>0</v>
      </c>
      <c r="AA53" s="140">
        <f t="shared" si="18"/>
        <v>0</v>
      </c>
    </row>
    <row r="54" spans="1:27" s="878" customFormat="1" ht="16.5" customHeight="1" outlineLevel="2">
      <c r="A54" s="800"/>
      <c r="B54" s="800"/>
      <c r="C54" s="1018" t="str">
        <f>IF(IFS!C55="","",IFS!C55)</f>
        <v>Miscellaneous 05</v>
      </c>
      <c r="J54" s="139">
        <f>SUMIF(Timing!$J$5:$AG$5,J$8,IFS!$J55:$AG55)</f>
        <v>0</v>
      </c>
      <c r="K54" s="139">
        <f>SUMIF(Timing!$J$5:$AG$5,K$8,IFS!$J55:$AG55)</f>
        <v>0</v>
      </c>
      <c r="L54" s="156">
        <f>SUMIF(Timing!$J$5:$AG$5,L$8,IFS!$J55:$AG55)</f>
        <v>0</v>
      </c>
      <c r="M54" s="157">
        <f>SUMIF(Timing!$J$5:$AG$5,M$8,IFS!$J55:$AG55)</f>
        <v>0</v>
      </c>
      <c r="N54" s="139">
        <f>SUMIF(Timing!$J$5:$AG$5,N$8,IFS!$J55:$AG55)</f>
        <v>0</v>
      </c>
      <c r="O54" s="156">
        <f>SUMIF(Timing!$J$5:$AG$5,O$8,IFS!$J55:$AG55)</f>
        <v>0</v>
      </c>
      <c r="P54" s="157">
        <f>SUMIF(Timing!$J$5:$AG$5,P$8,IFS!$J55:$AG55)</f>
        <v>0</v>
      </c>
      <c r="Q54" s="139">
        <f>SUMIF(Timing!$J$5:$AG$5,Q$8,IFS!$J55:$AG55)</f>
        <v>0</v>
      </c>
      <c r="R54" s="156">
        <f>SUMIF(Timing!$J$5:$AG$5,R$8,IFS!$J55:$AG55)</f>
        <v>0</v>
      </c>
      <c r="S54" s="157">
        <f>SUMIF(Timing!$J$5:$AG$5,S$8,IFS!$J55:$AG55)</f>
        <v>0</v>
      </c>
      <c r="T54" s="139">
        <f>SUMIF(Timing!$J$5:$AG$5,T$8,IFS!$J55:$AG55)</f>
        <v>0</v>
      </c>
      <c r="U54" s="139">
        <f>SUMIF(Timing!$J$5:$AG$5,U$8,IFS!$J55:$AG55)</f>
        <v>0</v>
      </c>
      <c r="V54" s="140">
        <f t="shared" si="17"/>
        <v>0</v>
      </c>
      <c r="W54" s="162">
        <f>SUMPRODUCT((Timing!$J$29:$AG$29=1)*(Timing!$J$15:$AG$15=2)*(IFS!$J55:$AG55))</f>
        <v>0</v>
      </c>
      <c r="X54" s="168">
        <f>SUMPRODUCT((Timing!$J$29:$AG$29=2)*(Timing!$J$15:$AG$15=2)*(IFS!$J55:$AG55))</f>
        <v>0</v>
      </c>
      <c r="Y54" s="168">
        <f>SUMPRODUCT((Timing!$J$29:$AG$29=3)*(Timing!$J$15:$AG$15=2)*(IFS!$J55:$AG55))</f>
        <v>0</v>
      </c>
      <c r="Z54" s="163">
        <f>SUMPRODUCT((Timing!$J$29:$AG$29=4)*(Timing!$J$15:$AG$15=2)*(IFS!$J55:$AG55))</f>
        <v>0</v>
      </c>
      <c r="AA54" s="140">
        <f t="shared" si="18"/>
        <v>0</v>
      </c>
    </row>
    <row r="55" spans="1:27" s="878" customFormat="1" ht="16.5" customHeight="1" outlineLevel="2">
      <c r="A55" s="800"/>
      <c r="B55" s="800"/>
      <c r="C55" s="1018" t="str">
        <f>IF(IFS!C56="","",IFS!C56)</f>
        <v>Miscellaneous 06</v>
      </c>
      <c r="J55" s="139">
        <f>SUMIF(Timing!$J$5:$AG$5,J$8,IFS!$J56:$AG56)</f>
        <v>0</v>
      </c>
      <c r="K55" s="139">
        <f>SUMIF(Timing!$J$5:$AG$5,K$8,IFS!$J56:$AG56)</f>
        <v>0</v>
      </c>
      <c r="L55" s="156">
        <f>SUMIF(Timing!$J$5:$AG$5,L$8,IFS!$J56:$AG56)</f>
        <v>0</v>
      </c>
      <c r="M55" s="157">
        <f>SUMIF(Timing!$J$5:$AG$5,M$8,IFS!$J56:$AG56)</f>
        <v>0</v>
      </c>
      <c r="N55" s="139">
        <f>SUMIF(Timing!$J$5:$AG$5,N$8,IFS!$J56:$AG56)</f>
        <v>0</v>
      </c>
      <c r="O55" s="156">
        <f>SUMIF(Timing!$J$5:$AG$5,O$8,IFS!$J56:$AG56)</f>
        <v>0</v>
      </c>
      <c r="P55" s="157">
        <f>SUMIF(Timing!$J$5:$AG$5,P$8,IFS!$J56:$AG56)</f>
        <v>0</v>
      </c>
      <c r="Q55" s="139">
        <f>SUMIF(Timing!$J$5:$AG$5,Q$8,IFS!$J56:$AG56)</f>
        <v>0</v>
      </c>
      <c r="R55" s="156">
        <f>SUMIF(Timing!$J$5:$AG$5,R$8,IFS!$J56:$AG56)</f>
        <v>0</v>
      </c>
      <c r="S55" s="157">
        <f>SUMIF(Timing!$J$5:$AG$5,S$8,IFS!$J56:$AG56)</f>
        <v>0</v>
      </c>
      <c r="T55" s="139">
        <f>SUMIF(Timing!$J$5:$AG$5,T$8,IFS!$J56:$AG56)</f>
        <v>0</v>
      </c>
      <c r="U55" s="139">
        <f>SUMIF(Timing!$J$5:$AG$5,U$8,IFS!$J56:$AG56)</f>
        <v>0</v>
      </c>
      <c r="V55" s="140">
        <f t="shared" si="17"/>
        <v>0</v>
      </c>
      <c r="W55" s="162">
        <f>SUMPRODUCT((Timing!$J$29:$AG$29=1)*(Timing!$J$15:$AG$15=2)*(IFS!$J56:$AG56))</f>
        <v>0</v>
      </c>
      <c r="X55" s="168">
        <f>SUMPRODUCT((Timing!$J$29:$AG$29=2)*(Timing!$J$15:$AG$15=2)*(IFS!$J56:$AG56))</f>
        <v>0</v>
      </c>
      <c r="Y55" s="168">
        <f>SUMPRODUCT((Timing!$J$29:$AG$29=3)*(Timing!$J$15:$AG$15=2)*(IFS!$J56:$AG56))</f>
        <v>0</v>
      </c>
      <c r="Z55" s="163">
        <f>SUMPRODUCT((Timing!$J$29:$AG$29=4)*(Timing!$J$15:$AG$15=2)*(IFS!$J56:$AG56))</f>
        <v>0</v>
      </c>
      <c r="AA55" s="140">
        <f t="shared" si="18"/>
        <v>0</v>
      </c>
    </row>
    <row r="56" spans="1:27" s="878" customFormat="1" ht="16.5" customHeight="1" outlineLevel="2">
      <c r="A56" s="800"/>
      <c r="B56" s="800"/>
      <c r="C56" s="1018" t="str">
        <f>IF(IFS!C57="","",IFS!C57)</f>
        <v>Miscellaneous 07</v>
      </c>
      <c r="J56" s="139">
        <f>SUMIF(Timing!$J$5:$AG$5,J$8,IFS!$J57:$AG57)</f>
        <v>0</v>
      </c>
      <c r="K56" s="139">
        <f>SUMIF(Timing!$J$5:$AG$5,K$8,IFS!$J57:$AG57)</f>
        <v>0</v>
      </c>
      <c r="L56" s="156">
        <f>SUMIF(Timing!$J$5:$AG$5,L$8,IFS!$J57:$AG57)</f>
        <v>0</v>
      </c>
      <c r="M56" s="157">
        <f>SUMIF(Timing!$J$5:$AG$5,M$8,IFS!$J57:$AG57)</f>
        <v>0</v>
      </c>
      <c r="N56" s="139">
        <f>SUMIF(Timing!$J$5:$AG$5,N$8,IFS!$J57:$AG57)</f>
        <v>0</v>
      </c>
      <c r="O56" s="156">
        <f>SUMIF(Timing!$J$5:$AG$5,O$8,IFS!$J57:$AG57)</f>
        <v>0</v>
      </c>
      <c r="P56" s="157">
        <f>SUMIF(Timing!$J$5:$AG$5,P$8,IFS!$J57:$AG57)</f>
        <v>0</v>
      </c>
      <c r="Q56" s="139">
        <f>SUMIF(Timing!$J$5:$AG$5,Q$8,IFS!$J57:$AG57)</f>
        <v>0</v>
      </c>
      <c r="R56" s="156">
        <f>SUMIF(Timing!$J$5:$AG$5,R$8,IFS!$J57:$AG57)</f>
        <v>0</v>
      </c>
      <c r="S56" s="157">
        <f>SUMIF(Timing!$J$5:$AG$5,S$8,IFS!$J57:$AG57)</f>
        <v>0</v>
      </c>
      <c r="T56" s="139">
        <f>SUMIF(Timing!$J$5:$AG$5,T$8,IFS!$J57:$AG57)</f>
        <v>0</v>
      </c>
      <c r="U56" s="139">
        <f>SUMIF(Timing!$J$5:$AG$5,U$8,IFS!$J57:$AG57)</f>
        <v>0</v>
      </c>
      <c r="V56" s="140">
        <f t="shared" si="17"/>
        <v>0</v>
      </c>
      <c r="W56" s="162">
        <f>SUMPRODUCT((Timing!$J$29:$AG$29=1)*(Timing!$J$15:$AG$15=2)*(IFS!$J57:$AG57))</f>
        <v>0</v>
      </c>
      <c r="X56" s="168">
        <f>SUMPRODUCT((Timing!$J$29:$AG$29=2)*(Timing!$J$15:$AG$15=2)*(IFS!$J57:$AG57))</f>
        <v>0</v>
      </c>
      <c r="Y56" s="168">
        <f>SUMPRODUCT((Timing!$J$29:$AG$29=3)*(Timing!$J$15:$AG$15=2)*(IFS!$J57:$AG57))</f>
        <v>0</v>
      </c>
      <c r="Z56" s="163">
        <f>SUMPRODUCT((Timing!$J$29:$AG$29=4)*(Timing!$J$15:$AG$15=2)*(IFS!$J57:$AG57))</f>
        <v>0</v>
      </c>
      <c r="AA56" s="140">
        <f t="shared" si="18"/>
        <v>0</v>
      </c>
    </row>
    <row r="57" spans="1:27" s="878" customFormat="1" ht="16.5" customHeight="1" outlineLevel="2">
      <c r="A57" s="800"/>
      <c r="B57" s="800"/>
      <c r="C57" s="1018" t="str">
        <f>IF(IFS!C58="","",IFS!C58)</f>
        <v>Miscellaneous 08</v>
      </c>
      <c r="J57" s="139">
        <f>SUMIF(Timing!$J$5:$AG$5,J$8,IFS!$J58:$AG58)</f>
        <v>0</v>
      </c>
      <c r="K57" s="139">
        <f>SUMIF(Timing!$J$5:$AG$5,K$8,IFS!$J58:$AG58)</f>
        <v>0</v>
      </c>
      <c r="L57" s="156">
        <f>SUMIF(Timing!$J$5:$AG$5,L$8,IFS!$J58:$AG58)</f>
        <v>0</v>
      </c>
      <c r="M57" s="157">
        <f>SUMIF(Timing!$J$5:$AG$5,M$8,IFS!$J58:$AG58)</f>
        <v>0</v>
      </c>
      <c r="N57" s="139">
        <f>SUMIF(Timing!$J$5:$AG$5,N$8,IFS!$J58:$AG58)</f>
        <v>0</v>
      </c>
      <c r="O57" s="156">
        <f>SUMIF(Timing!$J$5:$AG$5,O$8,IFS!$J58:$AG58)</f>
        <v>0</v>
      </c>
      <c r="P57" s="157">
        <f>SUMIF(Timing!$J$5:$AG$5,P$8,IFS!$J58:$AG58)</f>
        <v>0</v>
      </c>
      <c r="Q57" s="139">
        <f>SUMIF(Timing!$J$5:$AG$5,Q$8,IFS!$J58:$AG58)</f>
        <v>0</v>
      </c>
      <c r="R57" s="156">
        <f>SUMIF(Timing!$J$5:$AG$5,R$8,IFS!$J58:$AG58)</f>
        <v>0</v>
      </c>
      <c r="S57" s="157">
        <f>SUMIF(Timing!$J$5:$AG$5,S$8,IFS!$J58:$AG58)</f>
        <v>0</v>
      </c>
      <c r="T57" s="139">
        <f>SUMIF(Timing!$J$5:$AG$5,T$8,IFS!$J58:$AG58)</f>
        <v>0</v>
      </c>
      <c r="U57" s="139">
        <f>SUMIF(Timing!$J$5:$AG$5,U$8,IFS!$J58:$AG58)</f>
        <v>0</v>
      </c>
      <c r="V57" s="140">
        <f t="shared" si="17"/>
        <v>0</v>
      </c>
      <c r="W57" s="162">
        <f>SUMPRODUCT((Timing!$J$29:$AG$29=1)*(Timing!$J$15:$AG$15=2)*(IFS!$J58:$AG58))</f>
        <v>0</v>
      </c>
      <c r="X57" s="168">
        <f>SUMPRODUCT((Timing!$J$29:$AG$29=2)*(Timing!$J$15:$AG$15=2)*(IFS!$J58:$AG58))</f>
        <v>0</v>
      </c>
      <c r="Y57" s="168">
        <f>SUMPRODUCT((Timing!$J$29:$AG$29=3)*(Timing!$J$15:$AG$15=2)*(IFS!$J58:$AG58))</f>
        <v>0</v>
      </c>
      <c r="Z57" s="163">
        <f>SUMPRODUCT((Timing!$J$29:$AG$29=4)*(Timing!$J$15:$AG$15=2)*(IFS!$J58:$AG58))</f>
        <v>0</v>
      </c>
      <c r="AA57" s="140">
        <f t="shared" si="18"/>
        <v>0</v>
      </c>
    </row>
    <row r="58" spans="1:27" s="878" customFormat="1" ht="16.5" customHeight="1" outlineLevel="2">
      <c r="A58" s="800"/>
      <c r="B58" s="800"/>
      <c r="C58" s="1018" t="str">
        <f>IF(IFS!C59="","",IFS!C59)</f>
        <v>Miscellaneous 09</v>
      </c>
      <c r="J58" s="139">
        <f>SUMIF(Timing!$J$5:$AG$5,J$8,IFS!$J59:$AG59)</f>
        <v>0</v>
      </c>
      <c r="K58" s="139">
        <f>SUMIF(Timing!$J$5:$AG$5,K$8,IFS!$J59:$AG59)</f>
        <v>0</v>
      </c>
      <c r="L58" s="156">
        <f>SUMIF(Timing!$J$5:$AG$5,L$8,IFS!$J59:$AG59)</f>
        <v>0</v>
      </c>
      <c r="M58" s="157">
        <f>SUMIF(Timing!$J$5:$AG$5,M$8,IFS!$J59:$AG59)</f>
        <v>0</v>
      </c>
      <c r="N58" s="139">
        <f>SUMIF(Timing!$J$5:$AG$5,N$8,IFS!$J59:$AG59)</f>
        <v>0</v>
      </c>
      <c r="O58" s="156">
        <f>SUMIF(Timing!$J$5:$AG$5,O$8,IFS!$J59:$AG59)</f>
        <v>0</v>
      </c>
      <c r="P58" s="157">
        <f>SUMIF(Timing!$J$5:$AG$5,P$8,IFS!$J59:$AG59)</f>
        <v>0</v>
      </c>
      <c r="Q58" s="139">
        <f>SUMIF(Timing!$J$5:$AG$5,Q$8,IFS!$J59:$AG59)</f>
        <v>0</v>
      </c>
      <c r="R58" s="156">
        <f>SUMIF(Timing!$J$5:$AG$5,R$8,IFS!$J59:$AG59)</f>
        <v>0</v>
      </c>
      <c r="S58" s="157">
        <f>SUMIF(Timing!$J$5:$AG$5,S$8,IFS!$J59:$AG59)</f>
        <v>0</v>
      </c>
      <c r="T58" s="139">
        <f>SUMIF(Timing!$J$5:$AG$5,T$8,IFS!$J59:$AG59)</f>
        <v>0</v>
      </c>
      <c r="U58" s="139">
        <f>SUMIF(Timing!$J$5:$AG$5,U$8,IFS!$J59:$AG59)</f>
        <v>0</v>
      </c>
      <c r="V58" s="140">
        <f t="shared" si="17"/>
        <v>0</v>
      </c>
      <c r="W58" s="162">
        <f>SUMPRODUCT((Timing!$J$29:$AG$29=1)*(Timing!$J$15:$AG$15=2)*(IFS!$J59:$AG59))</f>
        <v>0</v>
      </c>
      <c r="X58" s="168">
        <f>SUMPRODUCT((Timing!$J$29:$AG$29=2)*(Timing!$J$15:$AG$15=2)*(IFS!$J59:$AG59))</f>
        <v>0</v>
      </c>
      <c r="Y58" s="168">
        <f>SUMPRODUCT((Timing!$J$29:$AG$29=3)*(Timing!$J$15:$AG$15=2)*(IFS!$J59:$AG59))</f>
        <v>0</v>
      </c>
      <c r="Z58" s="163">
        <f>SUMPRODUCT((Timing!$J$29:$AG$29=4)*(Timing!$J$15:$AG$15=2)*(IFS!$J59:$AG59))</f>
        <v>0</v>
      </c>
      <c r="AA58" s="140">
        <f t="shared" si="18"/>
        <v>0</v>
      </c>
    </row>
    <row r="59" spans="1:27" s="878" customFormat="1" ht="16.5" customHeight="1" outlineLevel="1">
      <c r="A59" s="800"/>
      <c r="B59" s="800"/>
      <c r="C59" s="878" t="str">
        <f>IF(IFS!C60="","",IFS!C60)</f>
        <v xml:space="preserve">  -  General and Administration</v>
      </c>
      <c r="J59" s="139">
        <f>SUM(J60:J74)</f>
        <v>0</v>
      </c>
      <c r="K59" s="139">
        <f t="shared" ref="K59" si="30">SUM(K60:K74)</f>
        <v>0</v>
      </c>
      <c r="L59" s="156">
        <f t="shared" ref="L59" si="31">SUM(L60:L74)</f>
        <v>8354.1666666666679</v>
      </c>
      <c r="M59" s="157">
        <f t="shared" ref="M59" si="32">SUM(M60:M74)</f>
        <v>8104.166666666667</v>
      </c>
      <c r="N59" s="139">
        <f t="shared" ref="N59" si="33">SUM(N60:N74)</f>
        <v>8104.166666666667</v>
      </c>
      <c r="O59" s="156">
        <f t="shared" ref="O59" si="34">SUM(O60:O74)</f>
        <v>8104.166666666667</v>
      </c>
      <c r="P59" s="157">
        <f t="shared" ref="P59" si="35">SUM(P60:P74)</f>
        <v>9604.1666666666679</v>
      </c>
      <c r="Q59" s="139">
        <f t="shared" ref="Q59" si="36">SUM(Q60:Q74)</f>
        <v>12558.333333333334</v>
      </c>
      <c r="R59" s="156">
        <f t="shared" ref="R59" si="37">SUM(R60:R74)</f>
        <v>12308.333333333334</v>
      </c>
      <c r="S59" s="157">
        <f t="shared" ref="S59" si="38">SUM(S60:S74)</f>
        <v>12308.333333333334</v>
      </c>
      <c r="T59" s="139">
        <f t="shared" ref="T59" si="39">SUM(T60:T74)</f>
        <v>12308.333333333334</v>
      </c>
      <c r="U59" s="139">
        <f t="shared" ref="U59" si="40">SUM(U60:U74)</f>
        <v>13808.333333333334</v>
      </c>
      <c r="V59" s="140">
        <f t="shared" ref="V59" si="41">SUM(J59:U59)</f>
        <v>105562.5</v>
      </c>
      <c r="W59" s="162">
        <f>SUM(W60:W74)</f>
        <v>37073.166666666672</v>
      </c>
      <c r="X59" s="168">
        <f>SUM(X60:X74)</f>
        <v>51620.875</v>
      </c>
      <c r="Y59" s="168">
        <f>SUM(Y60:Y74)</f>
        <v>53770.875</v>
      </c>
      <c r="Z59" s="163">
        <f>SUM(Z60:Z74)</f>
        <v>59762.083333333336</v>
      </c>
      <c r="AA59" s="140">
        <f t="shared" ref="AA59" si="42">SUM(W59:Z59)</f>
        <v>202227.00000000003</v>
      </c>
    </row>
    <row r="60" spans="1:27" s="878" customFormat="1" ht="16.5" customHeight="1" outlineLevel="2">
      <c r="A60" s="800"/>
      <c r="B60" s="800"/>
      <c r="C60" s="1018" t="str">
        <f>IF(IFS!C61="","",IFS!C61)</f>
        <v>Wages &amp; Salaries</v>
      </c>
      <c r="J60" s="139">
        <f>SUMIF(Timing!$J$5:$AG$5,J$8,IFS!$J61:$AG61)</f>
        <v>0</v>
      </c>
      <c r="K60" s="139">
        <f>SUMIF(Timing!$J$5:$AG$5,K$8,IFS!$J61:$AG61)</f>
        <v>0</v>
      </c>
      <c r="L60" s="156">
        <f>SUMIF(Timing!$J$5:$AG$5,L$8,IFS!$J61:$AG61)</f>
        <v>2916.6666666666665</v>
      </c>
      <c r="M60" s="157">
        <f>SUMIF(Timing!$J$5:$AG$5,M$8,IFS!$J61:$AG61)</f>
        <v>2916.6666666666665</v>
      </c>
      <c r="N60" s="139">
        <f>SUMIF(Timing!$J$5:$AG$5,N$8,IFS!$J61:$AG61)</f>
        <v>2916.6666666666665</v>
      </c>
      <c r="O60" s="156">
        <f>SUMIF(Timing!$J$5:$AG$5,O$8,IFS!$J61:$AG61)</f>
        <v>2916.6666666666665</v>
      </c>
      <c r="P60" s="157">
        <f>SUMIF(Timing!$J$5:$AG$5,P$8,IFS!$J61:$AG61)</f>
        <v>2916.6666666666665</v>
      </c>
      <c r="Q60" s="139">
        <f>SUMIF(Timing!$J$5:$AG$5,Q$8,IFS!$J61:$AG61)</f>
        <v>5833.333333333333</v>
      </c>
      <c r="R60" s="156">
        <f>SUMIF(Timing!$J$5:$AG$5,R$8,IFS!$J61:$AG61)</f>
        <v>5833.333333333333</v>
      </c>
      <c r="S60" s="157">
        <f>SUMIF(Timing!$J$5:$AG$5,S$8,IFS!$J61:$AG61)</f>
        <v>5833.333333333333</v>
      </c>
      <c r="T60" s="139">
        <f>SUMIF(Timing!$J$5:$AG$5,T$8,IFS!$J61:$AG61)</f>
        <v>5833.333333333333</v>
      </c>
      <c r="U60" s="139">
        <f>SUMIF(Timing!$J$5:$AG$5,U$8,IFS!$J61:$AG61)</f>
        <v>5833.333333333333</v>
      </c>
      <c r="V60" s="140">
        <f t="shared" si="17"/>
        <v>43750</v>
      </c>
      <c r="W60" s="162">
        <f>SUMPRODUCT((Timing!$J$29:$AG$29=1)*(Timing!$J$15:$AG$15=2)*(IFS!$J61:$AG61))</f>
        <v>17616.666666666668</v>
      </c>
      <c r="X60" s="168">
        <f>SUMPRODUCT((Timing!$J$29:$AG$29=2)*(Timing!$J$15:$AG$15=2)*(IFS!$J61:$AG61))</f>
        <v>26512.5</v>
      </c>
      <c r="Y60" s="168">
        <f>SUMPRODUCT((Timing!$J$29:$AG$29=3)*(Timing!$J$15:$AG$15=2)*(IFS!$J61:$AG61))</f>
        <v>26512.5</v>
      </c>
      <c r="Z60" s="163">
        <f>SUMPRODUCT((Timing!$J$29:$AG$29=4)*(Timing!$J$15:$AG$15=2)*(IFS!$J61:$AG61))</f>
        <v>29458.333333333336</v>
      </c>
      <c r="AA60" s="140">
        <f t="shared" si="18"/>
        <v>100100</v>
      </c>
    </row>
    <row r="61" spans="1:27" s="878" customFormat="1" ht="16.5" customHeight="1" outlineLevel="2">
      <c r="A61" s="800"/>
      <c r="B61" s="800"/>
      <c r="C61" s="1018" t="str">
        <f>IF(IFS!C62="","",IFS!C62)</f>
        <v>Social security contributions and taxes</v>
      </c>
      <c r="J61" s="139">
        <f>SUMIF(Timing!$J$5:$AG$5,J$8,IFS!$J62:$AG62)</f>
        <v>0</v>
      </c>
      <c r="K61" s="139">
        <f>SUMIF(Timing!$J$5:$AG$5,K$8,IFS!$J62:$AG62)</f>
        <v>0</v>
      </c>
      <c r="L61" s="156">
        <f>SUMIF(Timing!$J$5:$AG$5,L$8,IFS!$J62:$AG62)</f>
        <v>583.33333333333337</v>
      </c>
      <c r="M61" s="157">
        <f>SUMIF(Timing!$J$5:$AG$5,M$8,IFS!$J62:$AG62)</f>
        <v>583.33333333333337</v>
      </c>
      <c r="N61" s="139">
        <f>SUMIF(Timing!$J$5:$AG$5,N$8,IFS!$J62:$AG62)</f>
        <v>583.33333333333337</v>
      </c>
      <c r="O61" s="156">
        <f>SUMIF(Timing!$J$5:$AG$5,O$8,IFS!$J62:$AG62)</f>
        <v>583.33333333333337</v>
      </c>
      <c r="P61" s="157">
        <f>SUMIF(Timing!$J$5:$AG$5,P$8,IFS!$J62:$AG62)</f>
        <v>583.33333333333337</v>
      </c>
      <c r="Q61" s="139">
        <f>SUMIF(Timing!$J$5:$AG$5,Q$8,IFS!$J62:$AG62)</f>
        <v>1166.6666666666667</v>
      </c>
      <c r="R61" s="156">
        <f>SUMIF(Timing!$J$5:$AG$5,R$8,IFS!$J62:$AG62)</f>
        <v>1166.6666666666667</v>
      </c>
      <c r="S61" s="157">
        <f>SUMIF(Timing!$J$5:$AG$5,S$8,IFS!$J62:$AG62)</f>
        <v>1166.6666666666667</v>
      </c>
      <c r="T61" s="139">
        <f>SUMIF(Timing!$J$5:$AG$5,T$8,IFS!$J62:$AG62)</f>
        <v>1166.6666666666667</v>
      </c>
      <c r="U61" s="139">
        <f>SUMIF(Timing!$J$5:$AG$5,U$8,IFS!$J62:$AG62)</f>
        <v>1166.6666666666667</v>
      </c>
      <c r="V61" s="140">
        <f t="shared" si="17"/>
        <v>8750.0000000000018</v>
      </c>
      <c r="W61" s="162">
        <f>SUMPRODUCT((Timing!$J$29:$AG$29=1)*(Timing!$J$15:$AG$15=2)*(IFS!$J62:$AG62))</f>
        <v>3523.3333333333335</v>
      </c>
      <c r="X61" s="168">
        <f>SUMPRODUCT((Timing!$J$29:$AG$29=2)*(Timing!$J$15:$AG$15=2)*(IFS!$J62:$AG62))</f>
        <v>5302.5</v>
      </c>
      <c r="Y61" s="168">
        <f>SUMPRODUCT((Timing!$J$29:$AG$29=3)*(Timing!$J$15:$AG$15=2)*(IFS!$J62:$AG62))</f>
        <v>5302.5</v>
      </c>
      <c r="Z61" s="163">
        <f>SUMPRODUCT((Timing!$J$29:$AG$29=4)*(Timing!$J$15:$AG$15=2)*(IFS!$J62:$AG62))</f>
        <v>5891.666666666667</v>
      </c>
      <c r="AA61" s="140">
        <f t="shared" si="18"/>
        <v>20020</v>
      </c>
    </row>
    <row r="62" spans="1:27" s="878" customFormat="1" ht="16.5" customHeight="1" outlineLevel="2">
      <c r="A62" s="800"/>
      <c r="B62" s="800"/>
      <c r="C62" s="1018" t="str">
        <f>IF(IFS!C63="","",IFS!C63)</f>
        <v>Other Staff Costs</v>
      </c>
      <c r="J62" s="139">
        <f>SUMIF(Timing!$J$5:$AG$5,J$8,IFS!$J63:$AG63)</f>
        <v>0</v>
      </c>
      <c r="K62" s="139">
        <f>SUMIF(Timing!$J$5:$AG$5,K$8,IFS!$J63:$AG63)</f>
        <v>0</v>
      </c>
      <c r="L62" s="156">
        <f>SUMIF(Timing!$J$5:$AG$5,L$8,IFS!$J63:$AG63)</f>
        <v>954.16666666666663</v>
      </c>
      <c r="M62" s="157">
        <f>SUMIF(Timing!$J$5:$AG$5,M$8,IFS!$J63:$AG63)</f>
        <v>704.16666666666663</v>
      </c>
      <c r="N62" s="139">
        <f>SUMIF(Timing!$J$5:$AG$5,N$8,IFS!$J63:$AG63)</f>
        <v>704.16666666666663</v>
      </c>
      <c r="O62" s="156">
        <f>SUMIF(Timing!$J$5:$AG$5,O$8,IFS!$J63:$AG63)</f>
        <v>704.16666666666663</v>
      </c>
      <c r="P62" s="157">
        <f>SUMIF(Timing!$J$5:$AG$5,P$8,IFS!$J63:$AG63)</f>
        <v>704.16666666666663</v>
      </c>
      <c r="Q62" s="139">
        <f>SUMIF(Timing!$J$5:$AG$5,Q$8,IFS!$J63:$AG63)</f>
        <v>1658.3333333333333</v>
      </c>
      <c r="R62" s="156">
        <f>SUMIF(Timing!$J$5:$AG$5,R$8,IFS!$J63:$AG63)</f>
        <v>1408.3333333333333</v>
      </c>
      <c r="S62" s="157">
        <f>SUMIF(Timing!$J$5:$AG$5,S$8,IFS!$J63:$AG63)</f>
        <v>1408.3333333333333</v>
      </c>
      <c r="T62" s="139">
        <f>SUMIF(Timing!$J$5:$AG$5,T$8,IFS!$J63:$AG63)</f>
        <v>1408.3333333333333</v>
      </c>
      <c r="U62" s="139">
        <f>SUMIF(Timing!$J$5:$AG$5,U$8,IFS!$J63:$AG63)</f>
        <v>1408.3333333333333</v>
      </c>
      <c r="V62" s="140">
        <f t="shared" si="17"/>
        <v>11062.5</v>
      </c>
      <c r="W62" s="162">
        <f>SUMPRODUCT((Timing!$J$29:$AG$29=1)*(Timing!$J$15:$AG$15=2)*(IFS!$J63:$AG63))</f>
        <v>4233.166666666667</v>
      </c>
      <c r="X62" s="168">
        <f>SUMPRODUCT((Timing!$J$29:$AG$29=2)*(Timing!$J$15:$AG$15=2)*(IFS!$J63:$AG63))</f>
        <v>6605.875</v>
      </c>
      <c r="Y62" s="168">
        <f>SUMPRODUCT((Timing!$J$29:$AG$29=3)*(Timing!$J$15:$AG$15=2)*(IFS!$J63:$AG63))</f>
        <v>6355.875</v>
      </c>
      <c r="Z62" s="163">
        <f>SUMPRODUCT((Timing!$J$29:$AG$29=4)*(Timing!$J$15:$AG$15=2)*(IFS!$J63:$AG63))</f>
        <v>7312.0833333333339</v>
      </c>
      <c r="AA62" s="140">
        <f t="shared" si="18"/>
        <v>24507</v>
      </c>
    </row>
    <row r="63" spans="1:27" s="878" customFormat="1" ht="16.5" customHeight="1" outlineLevel="2">
      <c r="A63" s="800"/>
      <c r="B63" s="800"/>
      <c r="C63" s="1018" t="str">
        <f>IF(IFS!C64="","",IFS!C64)</f>
        <v>Rent and rates</v>
      </c>
      <c r="J63" s="139">
        <f>SUMIF(Timing!$J$5:$AG$5,J$8,IFS!$J64:$AG64)</f>
        <v>0</v>
      </c>
      <c r="K63" s="139">
        <f>SUMIF(Timing!$J$5:$AG$5,K$8,IFS!$J64:$AG64)</f>
        <v>0</v>
      </c>
      <c r="L63" s="156">
        <f>SUMIF(Timing!$J$5:$AG$5,L$8,IFS!$J64:$AG64)</f>
        <v>3000</v>
      </c>
      <c r="M63" s="157">
        <f>SUMIF(Timing!$J$5:$AG$5,M$8,IFS!$J64:$AG64)</f>
        <v>3000</v>
      </c>
      <c r="N63" s="139">
        <f>SUMIF(Timing!$J$5:$AG$5,N$8,IFS!$J64:$AG64)</f>
        <v>3000</v>
      </c>
      <c r="O63" s="156">
        <f>SUMIF(Timing!$J$5:$AG$5,O$8,IFS!$J64:$AG64)</f>
        <v>3000</v>
      </c>
      <c r="P63" s="157">
        <f>SUMIF(Timing!$J$5:$AG$5,P$8,IFS!$J64:$AG64)</f>
        <v>3000</v>
      </c>
      <c r="Q63" s="139">
        <f>SUMIF(Timing!$J$5:$AG$5,Q$8,IFS!$J64:$AG64)</f>
        <v>3000</v>
      </c>
      <c r="R63" s="156">
        <f>SUMIF(Timing!$J$5:$AG$5,R$8,IFS!$J64:$AG64)</f>
        <v>3000</v>
      </c>
      <c r="S63" s="157">
        <f>SUMIF(Timing!$J$5:$AG$5,S$8,IFS!$J64:$AG64)</f>
        <v>3000</v>
      </c>
      <c r="T63" s="139">
        <f>SUMIF(Timing!$J$5:$AG$5,T$8,IFS!$J64:$AG64)</f>
        <v>3000</v>
      </c>
      <c r="U63" s="139">
        <f>SUMIF(Timing!$J$5:$AG$5,U$8,IFS!$J64:$AG64)</f>
        <v>3000</v>
      </c>
      <c r="V63" s="140">
        <f t="shared" si="17"/>
        <v>30000</v>
      </c>
      <c r="W63" s="162">
        <f>SUMPRODUCT((Timing!$J$29:$AG$29=1)*(Timing!$J$15:$AG$15=2)*(IFS!$J64:$AG64))</f>
        <v>9000</v>
      </c>
      <c r="X63" s="168">
        <f>SUMPRODUCT((Timing!$J$29:$AG$29=2)*(Timing!$J$15:$AG$15=2)*(IFS!$J64:$AG64))</f>
        <v>9000</v>
      </c>
      <c r="Y63" s="168">
        <f>SUMPRODUCT((Timing!$J$29:$AG$29=3)*(Timing!$J$15:$AG$15=2)*(IFS!$J64:$AG64))</f>
        <v>12000</v>
      </c>
      <c r="Z63" s="163">
        <f>SUMPRODUCT((Timing!$J$29:$AG$29=4)*(Timing!$J$15:$AG$15=2)*(IFS!$J64:$AG64))</f>
        <v>12000</v>
      </c>
      <c r="AA63" s="140">
        <f t="shared" si="18"/>
        <v>42000</v>
      </c>
    </row>
    <row r="64" spans="1:27" s="878" customFormat="1" ht="16.5" customHeight="1" outlineLevel="2">
      <c r="A64" s="800"/>
      <c r="B64" s="800"/>
      <c r="C64" s="1018" t="str">
        <f>IF(IFS!C65="","",IFS!C65)</f>
        <v>Additional property expenses (Power, Heat, Light etc.)</v>
      </c>
      <c r="J64" s="139">
        <f>SUMIF(Timing!$J$5:$AG$5,J$8,IFS!$J65:$AG65)</f>
        <v>0</v>
      </c>
      <c r="K64" s="139">
        <f>SUMIF(Timing!$J$5:$AG$5,K$8,IFS!$J65:$AG65)</f>
        <v>0</v>
      </c>
      <c r="L64" s="156">
        <f>SUMIF(Timing!$J$5:$AG$5,L$8,IFS!$J65:$AG65)</f>
        <v>900</v>
      </c>
      <c r="M64" s="157">
        <f>SUMIF(Timing!$J$5:$AG$5,M$8,IFS!$J65:$AG65)</f>
        <v>900</v>
      </c>
      <c r="N64" s="139">
        <f>SUMIF(Timing!$J$5:$AG$5,N$8,IFS!$J65:$AG65)</f>
        <v>900</v>
      </c>
      <c r="O64" s="156">
        <f>SUMIF(Timing!$J$5:$AG$5,O$8,IFS!$J65:$AG65)</f>
        <v>900</v>
      </c>
      <c r="P64" s="157">
        <f>SUMIF(Timing!$J$5:$AG$5,P$8,IFS!$J65:$AG65)</f>
        <v>900</v>
      </c>
      <c r="Q64" s="139">
        <f>SUMIF(Timing!$J$5:$AG$5,Q$8,IFS!$J65:$AG65)</f>
        <v>900</v>
      </c>
      <c r="R64" s="156">
        <f>SUMIF(Timing!$J$5:$AG$5,R$8,IFS!$J65:$AG65)</f>
        <v>900</v>
      </c>
      <c r="S64" s="157">
        <f>SUMIF(Timing!$J$5:$AG$5,S$8,IFS!$J65:$AG65)</f>
        <v>900</v>
      </c>
      <c r="T64" s="139">
        <f>SUMIF(Timing!$J$5:$AG$5,T$8,IFS!$J65:$AG65)</f>
        <v>900</v>
      </c>
      <c r="U64" s="139">
        <f>SUMIF(Timing!$J$5:$AG$5,U$8,IFS!$J65:$AG65)</f>
        <v>900</v>
      </c>
      <c r="V64" s="140">
        <f t="shared" si="17"/>
        <v>9000</v>
      </c>
      <c r="W64" s="162">
        <f>SUMPRODUCT((Timing!$J$29:$AG$29=1)*(Timing!$J$15:$AG$15=2)*(IFS!$J65:$AG65))</f>
        <v>2700</v>
      </c>
      <c r="X64" s="168">
        <f>SUMPRODUCT((Timing!$J$29:$AG$29=2)*(Timing!$J$15:$AG$15=2)*(IFS!$J65:$AG65))</f>
        <v>2700</v>
      </c>
      <c r="Y64" s="168">
        <f>SUMPRODUCT((Timing!$J$29:$AG$29=3)*(Timing!$J$15:$AG$15=2)*(IFS!$J65:$AG65))</f>
        <v>3600</v>
      </c>
      <c r="Z64" s="163">
        <f>SUMPRODUCT((Timing!$J$29:$AG$29=4)*(Timing!$J$15:$AG$15=2)*(IFS!$J65:$AG65))</f>
        <v>3600</v>
      </c>
      <c r="AA64" s="140">
        <f t="shared" si="18"/>
        <v>12600</v>
      </c>
    </row>
    <row r="65" spans="1:27" s="878" customFormat="1" ht="16.5" customHeight="1" outlineLevel="2">
      <c r="A65" s="800"/>
      <c r="B65" s="800"/>
      <c r="C65" s="1018" t="str">
        <f>IF(IFS!C66="","",IFS!C66)</f>
        <v>Professional fees (Legal, Tax, Audit etc.)</v>
      </c>
      <c r="J65" s="139">
        <f>SUMIF(Timing!$J$5:$AG$5,J$8,IFS!$J66:$AG66)</f>
        <v>0</v>
      </c>
      <c r="K65" s="139">
        <f>SUMIF(Timing!$J$5:$AG$5,K$8,IFS!$J66:$AG66)</f>
        <v>0</v>
      </c>
      <c r="L65" s="156">
        <f>SUMIF(Timing!$J$5:$AG$5,L$8,IFS!$J66:$AG66)</f>
        <v>0</v>
      </c>
      <c r="M65" s="157">
        <f>SUMIF(Timing!$J$5:$AG$5,M$8,IFS!$J66:$AG66)</f>
        <v>0</v>
      </c>
      <c r="N65" s="139">
        <f>SUMIF(Timing!$J$5:$AG$5,N$8,IFS!$J66:$AG66)</f>
        <v>0</v>
      </c>
      <c r="O65" s="156">
        <f>SUMIF(Timing!$J$5:$AG$5,O$8,IFS!$J66:$AG66)</f>
        <v>0</v>
      </c>
      <c r="P65" s="157">
        <f>SUMIF(Timing!$J$5:$AG$5,P$8,IFS!$J66:$AG66)</f>
        <v>1500</v>
      </c>
      <c r="Q65" s="139">
        <f>SUMIF(Timing!$J$5:$AG$5,Q$8,IFS!$J66:$AG66)</f>
        <v>0</v>
      </c>
      <c r="R65" s="156">
        <f>SUMIF(Timing!$J$5:$AG$5,R$8,IFS!$J66:$AG66)</f>
        <v>0</v>
      </c>
      <c r="S65" s="157">
        <f>SUMIF(Timing!$J$5:$AG$5,S$8,IFS!$J66:$AG66)</f>
        <v>0</v>
      </c>
      <c r="T65" s="139">
        <f>SUMIF(Timing!$J$5:$AG$5,T$8,IFS!$J66:$AG66)</f>
        <v>0</v>
      </c>
      <c r="U65" s="139">
        <f>SUMIF(Timing!$J$5:$AG$5,U$8,IFS!$J66:$AG66)</f>
        <v>1500</v>
      </c>
      <c r="V65" s="140">
        <f t="shared" si="17"/>
        <v>3000</v>
      </c>
      <c r="W65" s="162">
        <f>SUMPRODUCT((Timing!$J$29:$AG$29=1)*(Timing!$J$15:$AG$15=2)*(IFS!$J66:$AG66))</f>
        <v>0</v>
      </c>
      <c r="X65" s="168">
        <f>SUMPRODUCT((Timing!$J$29:$AG$29=2)*(Timing!$J$15:$AG$15=2)*(IFS!$J66:$AG66))</f>
        <v>1500</v>
      </c>
      <c r="Y65" s="168">
        <f>SUMPRODUCT((Timing!$J$29:$AG$29=3)*(Timing!$J$15:$AG$15=2)*(IFS!$J66:$AG66))</f>
        <v>0</v>
      </c>
      <c r="Z65" s="163">
        <f>SUMPRODUCT((Timing!$J$29:$AG$29=4)*(Timing!$J$15:$AG$15=2)*(IFS!$J66:$AG66))</f>
        <v>1500</v>
      </c>
      <c r="AA65" s="140">
        <f t="shared" si="18"/>
        <v>3000</v>
      </c>
    </row>
    <row r="66" spans="1:27" s="878" customFormat="1" ht="16.5" customHeight="1" outlineLevel="2">
      <c r="A66" s="800"/>
      <c r="B66" s="800"/>
      <c r="C66" s="1018" t="str">
        <f>IF(IFS!C67="","",IFS!C67)</f>
        <v>Insurances  / charges / contributions</v>
      </c>
      <c r="J66" s="139">
        <f>SUMIF(Timing!$J$5:$AG$5,J$8,IFS!$J67:$AG67)</f>
        <v>0</v>
      </c>
      <c r="K66" s="139">
        <f>SUMIF(Timing!$J$5:$AG$5,K$8,IFS!$J67:$AG67)</f>
        <v>0</v>
      </c>
      <c r="L66" s="156">
        <f>SUMIF(Timing!$J$5:$AG$5,L$8,IFS!$J67:$AG67)</f>
        <v>0</v>
      </c>
      <c r="M66" s="157">
        <f>SUMIF(Timing!$J$5:$AG$5,M$8,IFS!$J67:$AG67)</f>
        <v>0</v>
      </c>
      <c r="N66" s="139">
        <f>SUMIF(Timing!$J$5:$AG$5,N$8,IFS!$J67:$AG67)</f>
        <v>0</v>
      </c>
      <c r="O66" s="156">
        <f>SUMIF(Timing!$J$5:$AG$5,O$8,IFS!$J67:$AG67)</f>
        <v>0</v>
      </c>
      <c r="P66" s="157">
        <f>SUMIF(Timing!$J$5:$AG$5,P$8,IFS!$J67:$AG67)</f>
        <v>0</v>
      </c>
      <c r="Q66" s="139">
        <f>SUMIF(Timing!$J$5:$AG$5,Q$8,IFS!$J67:$AG67)</f>
        <v>0</v>
      </c>
      <c r="R66" s="156">
        <f>SUMIF(Timing!$J$5:$AG$5,R$8,IFS!$J67:$AG67)</f>
        <v>0</v>
      </c>
      <c r="S66" s="157">
        <f>SUMIF(Timing!$J$5:$AG$5,S$8,IFS!$J67:$AG67)</f>
        <v>0</v>
      </c>
      <c r="T66" s="139">
        <f>SUMIF(Timing!$J$5:$AG$5,T$8,IFS!$J67:$AG67)</f>
        <v>0</v>
      </c>
      <c r="U66" s="139">
        <f>SUMIF(Timing!$J$5:$AG$5,U$8,IFS!$J67:$AG67)</f>
        <v>0</v>
      </c>
      <c r="V66" s="140">
        <f t="shared" si="17"/>
        <v>0</v>
      </c>
      <c r="W66" s="162">
        <f>SUMPRODUCT((Timing!$J$29:$AG$29=1)*(Timing!$J$15:$AG$15=2)*(IFS!$J67:$AG67))</f>
        <v>0</v>
      </c>
      <c r="X66" s="168">
        <f>SUMPRODUCT((Timing!$J$29:$AG$29=2)*(Timing!$J$15:$AG$15=2)*(IFS!$J67:$AG67))</f>
        <v>0</v>
      </c>
      <c r="Y66" s="168">
        <f>SUMPRODUCT((Timing!$J$29:$AG$29=3)*(Timing!$J$15:$AG$15=2)*(IFS!$J67:$AG67))</f>
        <v>0</v>
      </c>
      <c r="Z66" s="163">
        <f>SUMPRODUCT((Timing!$J$29:$AG$29=4)*(Timing!$J$15:$AG$15=2)*(IFS!$J67:$AG67))</f>
        <v>0</v>
      </c>
      <c r="AA66" s="140">
        <f t="shared" si="18"/>
        <v>0</v>
      </c>
    </row>
    <row r="67" spans="1:27" s="878" customFormat="1" ht="16.5" customHeight="1" outlineLevel="2">
      <c r="A67" s="800"/>
      <c r="B67" s="800"/>
      <c r="C67" s="1018" t="str">
        <f>IF(IFS!C68="","",IFS!C68)</f>
        <v>Patents, Trademarks and Licence Fees</v>
      </c>
      <c r="J67" s="139">
        <f>SUMIF(Timing!$J$5:$AG$5,J$8,IFS!$J68:$AG68)</f>
        <v>0</v>
      </c>
      <c r="K67" s="139">
        <f>SUMIF(Timing!$J$5:$AG$5,K$8,IFS!$J68:$AG68)</f>
        <v>0</v>
      </c>
      <c r="L67" s="156">
        <f>SUMIF(Timing!$J$5:$AG$5,L$8,IFS!$J68:$AG68)</f>
        <v>0</v>
      </c>
      <c r="M67" s="157">
        <f>SUMIF(Timing!$J$5:$AG$5,M$8,IFS!$J68:$AG68)</f>
        <v>0</v>
      </c>
      <c r="N67" s="139">
        <f>SUMIF(Timing!$J$5:$AG$5,N$8,IFS!$J68:$AG68)</f>
        <v>0</v>
      </c>
      <c r="O67" s="156">
        <f>SUMIF(Timing!$J$5:$AG$5,O$8,IFS!$J68:$AG68)</f>
        <v>0</v>
      </c>
      <c r="P67" s="157">
        <f>SUMIF(Timing!$J$5:$AG$5,P$8,IFS!$J68:$AG68)</f>
        <v>0</v>
      </c>
      <c r="Q67" s="139">
        <f>SUMIF(Timing!$J$5:$AG$5,Q$8,IFS!$J68:$AG68)</f>
        <v>0</v>
      </c>
      <c r="R67" s="156">
        <f>SUMIF(Timing!$J$5:$AG$5,R$8,IFS!$J68:$AG68)</f>
        <v>0</v>
      </c>
      <c r="S67" s="157">
        <f>SUMIF(Timing!$J$5:$AG$5,S$8,IFS!$J68:$AG68)</f>
        <v>0</v>
      </c>
      <c r="T67" s="139">
        <f>SUMIF(Timing!$J$5:$AG$5,T$8,IFS!$J68:$AG68)</f>
        <v>0</v>
      </c>
      <c r="U67" s="139">
        <f>SUMIF(Timing!$J$5:$AG$5,U$8,IFS!$J68:$AG68)</f>
        <v>0</v>
      </c>
      <c r="V67" s="140">
        <f t="shared" si="17"/>
        <v>0</v>
      </c>
      <c r="W67" s="162">
        <f>SUMPRODUCT((Timing!$J$29:$AG$29=1)*(Timing!$J$15:$AG$15=2)*(IFS!$J68:$AG68))</f>
        <v>0</v>
      </c>
      <c r="X67" s="168">
        <f>SUMPRODUCT((Timing!$J$29:$AG$29=2)*(Timing!$J$15:$AG$15=2)*(IFS!$J68:$AG68))</f>
        <v>0</v>
      </c>
      <c r="Y67" s="168">
        <f>SUMPRODUCT((Timing!$J$29:$AG$29=3)*(Timing!$J$15:$AG$15=2)*(IFS!$J68:$AG68))</f>
        <v>0</v>
      </c>
      <c r="Z67" s="163">
        <f>SUMPRODUCT((Timing!$J$29:$AG$29=4)*(Timing!$J$15:$AG$15=2)*(IFS!$J68:$AG68))</f>
        <v>0</v>
      </c>
      <c r="AA67" s="140">
        <f t="shared" si="18"/>
        <v>0</v>
      </c>
    </row>
    <row r="68" spans="1:27" s="878" customFormat="1" ht="16.5" customHeight="1" outlineLevel="2">
      <c r="A68" s="800"/>
      <c r="B68" s="800"/>
      <c r="C68" s="1018" t="str">
        <f>IF(IFS!C69="","",IFS!C69)</f>
        <v xml:space="preserve">Repairs and maintenance </v>
      </c>
      <c r="J68" s="139">
        <f>SUMIF(Timing!$J$5:$AG$5,J$8,IFS!$J69:$AG69)</f>
        <v>0</v>
      </c>
      <c r="K68" s="139">
        <f>SUMIF(Timing!$J$5:$AG$5,K$8,IFS!$J69:$AG69)</f>
        <v>0</v>
      </c>
      <c r="L68" s="156">
        <f>SUMIF(Timing!$J$5:$AG$5,L$8,IFS!$J69:$AG69)</f>
        <v>0</v>
      </c>
      <c r="M68" s="157">
        <f>SUMIF(Timing!$J$5:$AG$5,M$8,IFS!$J69:$AG69)</f>
        <v>0</v>
      </c>
      <c r="N68" s="139">
        <f>SUMIF(Timing!$J$5:$AG$5,N$8,IFS!$J69:$AG69)</f>
        <v>0</v>
      </c>
      <c r="O68" s="156">
        <f>SUMIF(Timing!$J$5:$AG$5,O$8,IFS!$J69:$AG69)</f>
        <v>0</v>
      </c>
      <c r="P68" s="157">
        <f>SUMIF(Timing!$J$5:$AG$5,P$8,IFS!$J69:$AG69)</f>
        <v>0</v>
      </c>
      <c r="Q68" s="139">
        <f>SUMIF(Timing!$J$5:$AG$5,Q$8,IFS!$J69:$AG69)</f>
        <v>0</v>
      </c>
      <c r="R68" s="156">
        <f>SUMIF(Timing!$J$5:$AG$5,R$8,IFS!$J69:$AG69)</f>
        <v>0</v>
      </c>
      <c r="S68" s="157">
        <f>SUMIF(Timing!$J$5:$AG$5,S$8,IFS!$J69:$AG69)</f>
        <v>0</v>
      </c>
      <c r="T68" s="139">
        <f>SUMIF(Timing!$J$5:$AG$5,T$8,IFS!$J69:$AG69)</f>
        <v>0</v>
      </c>
      <c r="U68" s="139">
        <f>SUMIF(Timing!$J$5:$AG$5,U$8,IFS!$J69:$AG69)</f>
        <v>0</v>
      </c>
      <c r="V68" s="140">
        <f t="shared" si="17"/>
        <v>0</v>
      </c>
      <c r="W68" s="162">
        <f>SUMPRODUCT((Timing!$J$29:$AG$29=1)*(Timing!$J$15:$AG$15=2)*(IFS!$J69:$AG69))</f>
        <v>0</v>
      </c>
      <c r="X68" s="168">
        <f>SUMPRODUCT((Timing!$J$29:$AG$29=2)*(Timing!$J$15:$AG$15=2)*(IFS!$J69:$AG69))</f>
        <v>0</v>
      </c>
      <c r="Y68" s="168">
        <f>SUMPRODUCT((Timing!$J$29:$AG$29=3)*(Timing!$J$15:$AG$15=2)*(IFS!$J69:$AG69))</f>
        <v>0</v>
      </c>
      <c r="Z68" s="163">
        <f>SUMPRODUCT((Timing!$J$29:$AG$29=4)*(Timing!$J$15:$AG$15=2)*(IFS!$J69:$AG69))</f>
        <v>0</v>
      </c>
      <c r="AA68" s="140">
        <f t="shared" si="18"/>
        <v>0</v>
      </c>
    </row>
    <row r="69" spans="1:27" s="878" customFormat="1" ht="16.5" customHeight="1" outlineLevel="2">
      <c r="A69" s="800"/>
      <c r="B69" s="800"/>
      <c r="C69" s="1018" t="str">
        <f>IF(IFS!C70="","",IFS!C70)</f>
        <v>Communication (Internet, Phone, Mobile etc.)</v>
      </c>
      <c r="J69" s="139">
        <f>SUMIF(Timing!$J$5:$AG$5,J$8,IFS!$J70:$AG70)</f>
        <v>0</v>
      </c>
      <c r="K69" s="139">
        <f>SUMIF(Timing!$J$5:$AG$5,K$8,IFS!$J70:$AG70)</f>
        <v>0</v>
      </c>
      <c r="L69" s="156">
        <f>SUMIF(Timing!$J$5:$AG$5,L$8,IFS!$J70:$AG70)</f>
        <v>0</v>
      </c>
      <c r="M69" s="157">
        <f>SUMIF(Timing!$J$5:$AG$5,M$8,IFS!$J70:$AG70)</f>
        <v>0</v>
      </c>
      <c r="N69" s="139">
        <f>SUMIF(Timing!$J$5:$AG$5,N$8,IFS!$J70:$AG70)</f>
        <v>0</v>
      </c>
      <c r="O69" s="156">
        <f>SUMIF(Timing!$J$5:$AG$5,O$8,IFS!$J70:$AG70)</f>
        <v>0</v>
      </c>
      <c r="P69" s="157">
        <f>SUMIF(Timing!$J$5:$AG$5,P$8,IFS!$J70:$AG70)</f>
        <v>0</v>
      </c>
      <c r="Q69" s="139">
        <f>SUMIF(Timing!$J$5:$AG$5,Q$8,IFS!$J70:$AG70)</f>
        <v>0</v>
      </c>
      <c r="R69" s="156">
        <f>SUMIF(Timing!$J$5:$AG$5,R$8,IFS!$J70:$AG70)</f>
        <v>0</v>
      </c>
      <c r="S69" s="157">
        <f>SUMIF(Timing!$J$5:$AG$5,S$8,IFS!$J70:$AG70)</f>
        <v>0</v>
      </c>
      <c r="T69" s="139">
        <f>SUMIF(Timing!$J$5:$AG$5,T$8,IFS!$J70:$AG70)</f>
        <v>0</v>
      </c>
      <c r="U69" s="139">
        <f>SUMIF(Timing!$J$5:$AG$5,U$8,IFS!$J70:$AG70)</f>
        <v>0</v>
      </c>
      <c r="V69" s="140">
        <f t="shared" si="17"/>
        <v>0</v>
      </c>
      <c r="W69" s="162">
        <f>SUMPRODUCT((Timing!$J$29:$AG$29=1)*(Timing!$J$15:$AG$15=2)*(IFS!$J70:$AG70))</f>
        <v>0</v>
      </c>
      <c r="X69" s="168">
        <f>SUMPRODUCT((Timing!$J$29:$AG$29=2)*(Timing!$J$15:$AG$15=2)*(IFS!$J70:$AG70))</f>
        <v>0</v>
      </c>
      <c r="Y69" s="168">
        <f>SUMPRODUCT((Timing!$J$29:$AG$29=3)*(Timing!$J$15:$AG$15=2)*(IFS!$J70:$AG70))</f>
        <v>0</v>
      </c>
      <c r="Z69" s="163">
        <f>SUMPRODUCT((Timing!$J$29:$AG$29=4)*(Timing!$J$15:$AG$15=2)*(IFS!$J70:$AG70))</f>
        <v>0</v>
      </c>
      <c r="AA69" s="140">
        <f t="shared" si="18"/>
        <v>0</v>
      </c>
    </row>
    <row r="70" spans="1:27" s="878" customFormat="1" ht="16.5" customHeight="1" outlineLevel="2">
      <c r="A70" s="800"/>
      <c r="B70" s="800"/>
      <c r="C70" s="1018" t="str">
        <f>IF(IFS!C71="","",IFS!C71)</f>
        <v>Office Supplies</v>
      </c>
      <c r="J70" s="139">
        <f>SUMIF(Timing!$J$5:$AG$5,J$8,IFS!$J71:$AG71)</f>
        <v>0</v>
      </c>
      <c r="K70" s="139">
        <f>SUMIF(Timing!$J$5:$AG$5,K$8,IFS!$J71:$AG71)</f>
        <v>0</v>
      </c>
      <c r="L70" s="156">
        <f>SUMIF(Timing!$J$5:$AG$5,L$8,IFS!$J71:$AG71)</f>
        <v>0</v>
      </c>
      <c r="M70" s="157">
        <f>SUMIF(Timing!$J$5:$AG$5,M$8,IFS!$J71:$AG71)</f>
        <v>0</v>
      </c>
      <c r="N70" s="139">
        <f>SUMIF(Timing!$J$5:$AG$5,N$8,IFS!$J71:$AG71)</f>
        <v>0</v>
      </c>
      <c r="O70" s="156">
        <f>SUMIF(Timing!$J$5:$AG$5,O$8,IFS!$J71:$AG71)</f>
        <v>0</v>
      </c>
      <c r="P70" s="157">
        <f>SUMIF(Timing!$J$5:$AG$5,P$8,IFS!$J71:$AG71)</f>
        <v>0</v>
      </c>
      <c r="Q70" s="139">
        <f>SUMIF(Timing!$J$5:$AG$5,Q$8,IFS!$J71:$AG71)</f>
        <v>0</v>
      </c>
      <c r="R70" s="156">
        <f>SUMIF(Timing!$J$5:$AG$5,R$8,IFS!$J71:$AG71)</f>
        <v>0</v>
      </c>
      <c r="S70" s="157">
        <f>SUMIF(Timing!$J$5:$AG$5,S$8,IFS!$J71:$AG71)</f>
        <v>0</v>
      </c>
      <c r="T70" s="139">
        <f>SUMIF(Timing!$J$5:$AG$5,T$8,IFS!$J71:$AG71)</f>
        <v>0</v>
      </c>
      <c r="U70" s="139">
        <f>SUMIF(Timing!$J$5:$AG$5,U$8,IFS!$J71:$AG71)</f>
        <v>0</v>
      </c>
      <c r="V70" s="140">
        <f t="shared" si="17"/>
        <v>0</v>
      </c>
      <c r="W70" s="162">
        <f>SUMPRODUCT((Timing!$J$29:$AG$29=1)*(Timing!$J$15:$AG$15=2)*(IFS!$J71:$AG71))</f>
        <v>0</v>
      </c>
      <c r="X70" s="168">
        <f>SUMPRODUCT((Timing!$J$29:$AG$29=2)*(Timing!$J$15:$AG$15=2)*(IFS!$J71:$AG71))</f>
        <v>0</v>
      </c>
      <c r="Y70" s="168">
        <f>SUMPRODUCT((Timing!$J$29:$AG$29=3)*(Timing!$J$15:$AG$15=2)*(IFS!$J71:$AG71))</f>
        <v>0</v>
      </c>
      <c r="Z70" s="163">
        <f>SUMPRODUCT((Timing!$J$29:$AG$29=4)*(Timing!$J$15:$AG$15=2)*(IFS!$J71:$AG71))</f>
        <v>0</v>
      </c>
      <c r="AA70" s="140">
        <f t="shared" si="18"/>
        <v>0</v>
      </c>
    </row>
    <row r="71" spans="1:27" s="878" customFormat="1" ht="16.5" customHeight="1" outlineLevel="2">
      <c r="A71" s="800"/>
      <c r="B71" s="800"/>
      <c r="C71" s="1018" t="str">
        <f>IF(IFS!C72="","",IFS!C72)</f>
        <v>Travel &amp; Entertainment</v>
      </c>
      <c r="J71" s="139">
        <f>SUMIF(Timing!$J$5:$AG$5,J$8,IFS!$J72:$AG72)</f>
        <v>0</v>
      </c>
      <c r="K71" s="139">
        <f>SUMIF(Timing!$J$5:$AG$5,K$8,IFS!$J72:$AG72)</f>
        <v>0</v>
      </c>
      <c r="L71" s="156">
        <f>SUMIF(Timing!$J$5:$AG$5,L$8,IFS!$J72:$AG72)</f>
        <v>0</v>
      </c>
      <c r="M71" s="157">
        <f>SUMIF(Timing!$J$5:$AG$5,M$8,IFS!$J72:$AG72)</f>
        <v>0</v>
      </c>
      <c r="N71" s="139">
        <f>SUMIF(Timing!$J$5:$AG$5,N$8,IFS!$J72:$AG72)</f>
        <v>0</v>
      </c>
      <c r="O71" s="156">
        <f>SUMIF(Timing!$J$5:$AG$5,O$8,IFS!$J72:$AG72)</f>
        <v>0</v>
      </c>
      <c r="P71" s="157">
        <f>SUMIF(Timing!$J$5:$AG$5,P$8,IFS!$J72:$AG72)</f>
        <v>0</v>
      </c>
      <c r="Q71" s="139">
        <f>SUMIF(Timing!$J$5:$AG$5,Q$8,IFS!$J72:$AG72)</f>
        <v>0</v>
      </c>
      <c r="R71" s="156">
        <f>SUMIF(Timing!$J$5:$AG$5,R$8,IFS!$J72:$AG72)</f>
        <v>0</v>
      </c>
      <c r="S71" s="157">
        <f>SUMIF(Timing!$J$5:$AG$5,S$8,IFS!$J72:$AG72)</f>
        <v>0</v>
      </c>
      <c r="T71" s="139">
        <f>SUMIF(Timing!$J$5:$AG$5,T$8,IFS!$J72:$AG72)</f>
        <v>0</v>
      </c>
      <c r="U71" s="139">
        <f>SUMIF(Timing!$J$5:$AG$5,U$8,IFS!$J72:$AG72)</f>
        <v>0</v>
      </c>
      <c r="V71" s="140">
        <f t="shared" si="17"/>
        <v>0</v>
      </c>
      <c r="W71" s="162">
        <f>SUMPRODUCT((Timing!$J$29:$AG$29=1)*(Timing!$J$15:$AG$15=2)*(IFS!$J72:$AG72))</f>
        <v>0</v>
      </c>
      <c r="X71" s="168">
        <f>SUMPRODUCT((Timing!$J$29:$AG$29=2)*(Timing!$J$15:$AG$15=2)*(IFS!$J72:$AG72))</f>
        <v>0</v>
      </c>
      <c r="Y71" s="168">
        <f>SUMPRODUCT((Timing!$J$29:$AG$29=3)*(Timing!$J$15:$AG$15=2)*(IFS!$J72:$AG72))</f>
        <v>0</v>
      </c>
      <c r="Z71" s="163">
        <f>SUMPRODUCT((Timing!$J$29:$AG$29=4)*(Timing!$J$15:$AG$15=2)*(IFS!$J72:$AG72))</f>
        <v>0</v>
      </c>
      <c r="AA71" s="140">
        <f t="shared" si="18"/>
        <v>0</v>
      </c>
    </row>
    <row r="72" spans="1:27" s="878" customFormat="1" ht="16.5" customHeight="1" outlineLevel="2">
      <c r="A72" s="800"/>
      <c r="B72" s="800"/>
      <c r="C72" s="1018" t="str">
        <f>IF(IFS!C73="","",IFS!C73)</f>
        <v>Vehicle's costs</v>
      </c>
      <c r="J72" s="139">
        <f>SUMIF(Timing!$J$5:$AG$5,J$8,IFS!$J73:$AG73)</f>
        <v>0</v>
      </c>
      <c r="K72" s="139">
        <f>SUMIF(Timing!$J$5:$AG$5,K$8,IFS!$J73:$AG73)</f>
        <v>0</v>
      </c>
      <c r="L72" s="156">
        <f>SUMIF(Timing!$J$5:$AG$5,L$8,IFS!$J73:$AG73)</f>
        <v>0</v>
      </c>
      <c r="M72" s="157">
        <f>SUMIF(Timing!$J$5:$AG$5,M$8,IFS!$J73:$AG73)</f>
        <v>0</v>
      </c>
      <c r="N72" s="139">
        <f>SUMIF(Timing!$J$5:$AG$5,N$8,IFS!$J73:$AG73)</f>
        <v>0</v>
      </c>
      <c r="O72" s="156">
        <f>SUMIF(Timing!$J$5:$AG$5,O$8,IFS!$J73:$AG73)</f>
        <v>0</v>
      </c>
      <c r="P72" s="157">
        <f>SUMIF(Timing!$J$5:$AG$5,P$8,IFS!$J73:$AG73)</f>
        <v>0</v>
      </c>
      <c r="Q72" s="139">
        <f>SUMIF(Timing!$J$5:$AG$5,Q$8,IFS!$J73:$AG73)</f>
        <v>0</v>
      </c>
      <c r="R72" s="156">
        <f>SUMIF(Timing!$J$5:$AG$5,R$8,IFS!$J73:$AG73)</f>
        <v>0</v>
      </c>
      <c r="S72" s="157">
        <f>SUMIF(Timing!$J$5:$AG$5,S$8,IFS!$J73:$AG73)</f>
        <v>0</v>
      </c>
      <c r="T72" s="139">
        <f>SUMIF(Timing!$J$5:$AG$5,T$8,IFS!$J73:$AG73)</f>
        <v>0</v>
      </c>
      <c r="U72" s="139">
        <f>SUMIF(Timing!$J$5:$AG$5,U$8,IFS!$J73:$AG73)</f>
        <v>0</v>
      </c>
      <c r="V72" s="140">
        <f t="shared" si="17"/>
        <v>0</v>
      </c>
      <c r="W72" s="162">
        <f>SUMPRODUCT((Timing!$J$29:$AG$29=1)*(Timing!$J$15:$AG$15=2)*(IFS!$J73:$AG73))</f>
        <v>0</v>
      </c>
      <c r="X72" s="168">
        <f>SUMPRODUCT((Timing!$J$29:$AG$29=2)*(Timing!$J$15:$AG$15=2)*(IFS!$J73:$AG73))</f>
        <v>0</v>
      </c>
      <c r="Y72" s="168">
        <f>SUMPRODUCT((Timing!$J$29:$AG$29=3)*(Timing!$J$15:$AG$15=2)*(IFS!$J73:$AG73))</f>
        <v>0</v>
      </c>
      <c r="Z72" s="163">
        <f>SUMPRODUCT((Timing!$J$29:$AG$29=4)*(Timing!$J$15:$AG$15=2)*(IFS!$J73:$AG73))</f>
        <v>0</v>
      </c>
      <c r="AA72" s="140">
        <f t="shared" si="18"/>
        <v>0</v>
      </c>
    </row>
    <row r="73" spans="1:27" s="878" customFormat="1" ht="16.5" customHeight="1" outlineLevel="2">
      <c r="A73" s="800"/>
      <c r="B73" s="800"/>
      <c r="C73" s="1018" t="str">
        <f>IF(IFS!C74="","",IFS!C74)</f>
        <v>Establishment (Start-up costs)</v>
      </c>
      <c r="J73" s="139">
        <f>SUMIF(Timing!$J$5:$AG$5,J$8,IFS!$J74:$AG74)</f>
        <v>0</v>
      </c>
      <c r="K73" s="139">
        <f>SUMIF(Timing!$J$5:$AG$5,K$8,IFS!$J74:$AG74)</f>
        <v>0</v>
      </c>
      <c r="L73" s="156">
        <f>SUMIF(Timing!$J$5:$AG$5,L$8,IFS!$J74:$AG74)</f>
        <v>0</v>
      </c>
      <c r="M73" s="157">
        <f>SUMIF(Timing!$J$5:$AG$5,M$8,IFS!$J74:$AG74)</f>
        <v>0</v>
      </c>
      <c r="N73" s="139">
        <f>SUMIF(Timing!$J$5:$AG$5,N$8,IFS!$J74:$AG74)</f>
        <v>0</v>
      </c>
      <c r="O73" s="156">
        <f>SUMIF(Timing!$J$5:$AG$5,O$8,IFS!$J74:$AG74)</f>
        <v>0</v>
      </c>
      <c r="P73" s="157">
        <f>SUMIF(Timing!$J$5:$AG$5,P$8,IFS!$J74:$AG74)</f>
        <v>0</v>
      </c>
      <c r="Q73" s="139">
        <f>SUMIF(Timing!$J$5:$AG$5,Q$8,IFS!$J74:$AG74)</f>
        <v>0</v>
      </c>
      <c r="R73" s="156">
        <f>SUMIF(Timing!$J$5:$AG$5,R$8,IFS!$J74:$AG74)</f>
        <v>0</v>
      </c>
      <c r="S73" s="157">
        <f>SUMIF(Timing!$J$5:$AG$5,S$8,IFS!$J74:$AG74)</f>
        <v>0</v>
      </c>
      <c r="T73" s="139">
        <f>SUMIF(Timing!$J$5:$AG$5,T$8,IFS!$J74:$AG74)</f>
        <v>0</v>
      </c>
      <c r="U73" s="139">
        <f>SUMIF(Timing!$J$5:$AG$5,U$8,IFS!$J74:$AG74)</f>
        <v>0</v>
      </c>
      <c r="V73" s="140">
        <f t="shared" si="17"/>
        <v>0</v>
      </c>
      <c r="W73" s="162">
        <f>SUMPRODUCT((Timing!$J$29:$AG$29=1)*(Timing!$J$15:$AG$15=2)*(IFS!$J74:$AG74))</f>
        <v>0</v>
      </c>
      <c r="X73" s="168">
        <f>SUMPRODUCT((Timing!$J$29:$AG$29=2)*(Timing!$J$15:$AG$15=2)*(IFS!$J74:$AG74))</f>
        <v>0</v>
      </c>
      <c r="Y73" s="168">
        <f>SUMPRODUCT((Timing!$J$29:$AG$29=3)*(Timing!$J$15:$AG$15=2)*(IFS!$J74:$AG74))</f>
        <v>0</v>
      </c>
      <c r="Z73" s="163">
        <f>SUMPRODUCT((Timing!$J$29:$AG$29=4)*(Timing!$J$15:$AG$15=2)*(IFS!$J74:$AG74))</f>
        <v>0</v>
      </c>
      <c r="AA73" s="140">
        <f t="shared" si="18"/>
        <v>0</v>
      </c>
    </row>
    <row r="74" spans="1:27" s="878" customFormat="1" ht="16.5" customHeight="1" outlineLevel="2">
      <c r="A74" s="800"/>
      <c r="B74" s="800"/>
      <c r="C74" s="1018" t="str">
        <f>IF(IFS!C75="","",IFS!C75)</f>
        <v>Miscellaneous 01</v>
      </c>
      <c r="J74" s="139">
        <f>SUMIF(Timing!$J$5:$AG$5,J$8,IFS!$J75:$AG75)</f>
        <v>0</v>
      </c>
      <c r="K74" s="139">
        <f>SUMIF(Timing!$J$5:$AG$5,K$8,IFS!$J75:$AG75)</f>
        <v>0</v>
      </c>
      <c r="L74" s="156">
        <f>SUMIF(Timing!$J$5:$AG$5,L$8,IFS!$J75:$AG75)</f>
        <v>0</v>
      </c>
      <c r="M74" s="157">
        <f>SUMIF(Timing!$J$5:$AG$5,M$8,IFS!$J75:$AG75)</f>
        <v>0</v>
      </c>
      <c r="N74" s="139">
        <f>SUMIF(Timing!$J$5:$AG$5,N$8,IFS!$J75:$AG75)</f>
        <v>0</v>
      </c>
      <c r="O74" s="156">
        <f>SUMIF(Timing!$J$5:$AG$5,O$8,IFS!$J75:$AG75)</f>
        <v>0</v>
      </c>
      <c r="P74" s="157">
        <f>SUMIF(Timing!$J$5:$AG$5,P$8,IFS!$J75:$AG75)</f>
        <v>0</v>
      </c>
      <c r="Q74" s="139">
        <f>SUMIF(Timing!$J$5:$AG$5,Q$8,IFS!$J75:$AG75)</f>
        <v>0</v>
      </c>
      <c r="R74" s="156">
        <f>SUMIF(Timing!$J$5:$AG$5,R$8,IFS!$J75:$AG75)</f>
        <v>0</v>
      </c>
      <c r="S74" s="157">
        <f>SUMIF(Timing!$J$5:$AG$5,S$8,IFS!$J75:$AG75)</f>
        <v>0</v>
      </c>
      <c r="T74" s="139">
        <f>SUMIF(Timing!$J$5:$AG$5,T$8,IFS!$J75:$AG75)</f>
        <v>0</v>
      </c>
      <c r="U74" s="139">
        <f>SUMIF(Timing!$J$5:$AG$5,U$8,IFS!$J75:$AG75)</f>
        <v>0</v>
      </c>
      <c r="V74" s="140">
        <f t="shared" si="17"/>
        <v>0</v>
      </c>
      <c r="W74" s="162">
        <f>SUMPRODUCT((Timing!$J$29:$AG$29=1)*(Timing!$J$15:$AG$15=2)*(IFS!$J75:$AG75))</f>
        <v>0</v>
      </c>
      <c r="X74" s="168">
        <f>SUMPRODUCT((Timing!$J$29:$AG$29=2)*(Timing!$J$15:$AG$15=2)*(IFS!$J75:$AG75))</f>
        <v>0</v>
      </c>
      <c r="Y74" s="168">
        <f>SUMPRODUCT((Timing!$J$29:$AG$29=3)*(Timing!$J$15:$AG$15=2)*(IFS!$J75:$AG75))</f>
        <v>0</v>
      </c>
      <c r="Z74" s="163">
        <f>SUMPRODUCT((Timing!$J$29:$AG$29=4)*(Timing!$J$15:$AG$15=2)*(IFS!$J75:$AG75))</f>
        <v>0</v>
      </c>
      <c r="AA74" s="140">
        <f t="shared" si="18"/>
        <v>0</v>
      </c>
    </row>
    <row r="75" spans="1:27" s="878" customFormat="1" ht="9.75" customHeight="1" outlineLevel="1">
      <c r="A75" s="800"/>
      <c r="B75" s="800"/>
      <c r="C75" s="1018"/>
      <c r="J75" s="139"/>
      <c r="K75" s="139"/>
      <c r="L75" s="156"/>
      <c r="M75" s="157"/>
      <c r="N75" s="139"/>
      <c r="O75" s="156"/>
      <c r="P75" s="157"/>
      <c r="Q75" s="139"/>
      <c r="R75" s="156"/>
      <c r="S75" s="157"/>
      <c r="T75" s="139"/>
      <c r="U75" s="139"/>
      <c r="V75" s="140"/>
      <c r="W75" s="162"/>
      <c r="X75" s="168"/>
      <c r="Y75" s="168"/>
      <c r="Z75" s="163"/>
      <c r="AA75" s="140"/>
    </row>
    <row r="76" spans="1:27" ht="16.5" customHeight="1">
      <c r="A76" s="800"/>
      <c r="B76" s="125"/>
      <c r="C76" s="131" t="str">
        <f>IF(IFS!C76="","",IFS!C76)</f>
        <v xml:space="preserve">     Total Overheads</v>
      </c>
      <c r="D76" s="132"/>
      <c r="E76" s="132"/>
      <c r="F76" s="132"/>
      <c r="G76" s="132"/>
      <c r="H76" s="132"/>
      <c r="I76" s="132"/>
      <c r="J76" s="142">
        <f>J27+J43+J59</f>
        <v>0</v>
      </c>
      <c r="K76" s="142">
        <f t="shared" ref="K76:U76" si="43">K27+K43+K59</f>
        <v>0</v>
      </c>
      <c r="L76" s="158">
        <f t="shared" ca="1" si="43"/>
        <v>18928.628888888888</v>
      </c>
      <c r="M76" s="159">
        <f t="shared" ca="1" si="43"/>
        <v>21695.317777777778</v>
      </c>
      <c r="N76" s="142">
        <f t="shared" ca="1" si="43"/>
        <v>29220.745555555553</v>
      </c>
      <c r="O76" s="158">
        <f t="shared" ca="1" si="43"/>
        <v>25767.590611111111</v>
      </c>
      <c r="P76" s="159">
        <f t="shared" ca="1" si="43"/>
        <v>25945.016903888893</v>
      </c>
      <c r="Q76" s="142">
        <f t="shared" ca="1" si="43"/>
        <v>30211.048879594447</v>
      </c>
      <c r="R76" s="158">
        <f t="shared" ca="1" si="43"/>
        <v>30089.744129190396</v>
      </c>
      <c r="S76" s="159">
        <f t="shared" ca="1" si="43"/>
        <v>39091.572390247631</v>
      </c>
      <c r="T76" s="142">
        <f t="shared" ca="1" si="43"/>
        <v>39807.411417679381</v>
      </c>
      <c r="U76" s="142">
        <f t="shared" ca="1" si="43"/>
        <v>42355.749725299967</v>
      </c>
      <c r="V76" s="142">
        <f t="shared" ref="V76:V89" ca="1" si="44">SUM(J76:U76)</f>
        <v>303112.82627923402</v>
      </c>
      <c r="W76" s="158">
        <f ca="1">W27+W43+W59</f>
        <v>132781.08888900594</v>
      </c>
      <c r="X76" s="166">
        <f ca="1">X27+X43+X59</f>
        <v>159021.04634682054</v>
      </c>
      <c r="Y76" s="166">
        <f ca="1">Y27+Y43+Y59</f>
        <v>183180.55384554496</v>
      </c>
      <c r="Z76" s="159">
        <f ca="1">Z27+Z43+Z59</f>
        <v>200869.23831126513</v>
      </c>
      <c r="AA76" s="142">
        <f t="shared" ref="AA76:AA86" ca="1" si="45">SUM(W76:Z76)</f>
        <v>675851.92739263654</v>
      </c>
    </row>
    <row r="77" spans="1:27" ht="16.5" customHeight="1">
      <c r="A77" s="800"/>
      <c r="B77" s="125"/>
      <c r="C77" s="806" t="str">
        <f>IF(IFS!C77="","",IFS!C77)</f>
        <v>Trading Profit</v>
      </c>
      <c r="D77" s="807"/>
      <c r="E77" s="807"/>
      <c r="F77" s="807"/>
      <c r="G77" s="807"/>
      <c r="H77" s="807"/>
      <c r="I77" s="807"/>
      <c r="J77" s="846">
        <f t="shared" ref="J77:U77" si="46">J24-J76</f>
        <v>0</v>
      </c>
      <c r="K77" s="846">
        <f t="shared" si="46"/>
        <v>0</v>
      </c>
      <c r="L77" s="847">
        <f t="shared" ca="1" si="46"/>
        <v>-8899.2588888888895</v>
      </c>
      <c r="M77" s="848">
        <f t="shared" ca="1" si="46"/>
        <v>-7974.9477777777793</v>
      </c>
      <c r="N77" s="846">
        <f t="shared" ca="1" si="46"/>
        <v>-11349.125555555554</v>
      </c>
      <c r="O77" s="847">
        <f t="shared" ca="1" si="46"/>
        <v>-4400.9581111111111</v>
      </c>
      <c r="P77" s="848">
        <f t="shared" ca="1" si="46"/>
        <v>1282.1665961111066</v>
      </c>
      <c r="Q77" s="846">
        <f t="shared" ca="1" si="46"/>
        <v>1819.7124004055549</v>
      </c>
      <c r="R77" s="847">
        <f t="shared" ca="1" si="46"/>
        <v>5582.6015710096108</v>
      </c>
      <c r="S77" s="848">
        <f t="shared" ca="1" si="46"/>
        <v>4169.3714328003698</v>
      </c>
      <c r="T77" s="846">
        <f t="shared" ca="1" si="46"/>
        <v>9393.9509962905431</v>
      </c>
      <c r="U77" s="846">
        <f t="shared" ca="1" si="46"/>
        <v>8070.2047006070134</v>
      </c>
      <c r="V77" s="846">
        <f t="shared" ca="1" si="44"/>
        <v>-2306.2826361091356</v>
      </c>
      <c r="W77" s="847">
        <f ca="1">W24-W76</f>
        <v>48693.491939409811</v>
      </c>
      <c r="X77" s="849">
        <f ca="1">X24-X76</f>
        <v>60448.142922506842</v>
      </c>
      <c r="Y77" s="849">
        <f ca="1">Y24-Y76</f>
        <v>77856.255931993132</v>
      </c>
      <c r="Z77" s="848">
        <f ca="1">Z24-Z76</f>
        <v>103215.40217007592</v>
      </c>
      <c r="AA77" s="846">
        <f t="shared" ca="1" si="45"/>
        <v>290213.2929639857</v>
      </c>
    </row>
    <row r="78" spans="1:27" ht="16.5" customHeight="1" outlineLevel="1">
      <c r="A78" s="800"/>
      <c r="B78" s="125"/>
      <c r="C78" s="799" t="str">
        <f>IF(IFS!C78="","",IFS!C78)</f>
        <v>Other operating income</v>
      </c>
      <c r="J78" s="139">
        <f>SUMIF(Timing!$J$5:$AG$5,J$8,IFS!$J78:$AG78)</f>
        <v>0</v>
      </c>
      <c r="K78" s="139">
        <f>SUMIF(Timing!$J$5:$AG$5,K$8,IFS!$J78:$AG78)</f>
        <v>0</v>
      </c>
      <c r="L78" s="156">
        <f>SUMIF(Timing!$J$5:$AG$5,L$8,IFS!$J78:$AG78)</f>
        <v>0</v>
      </c>
      <c r="M78" s="157">
        <f>SUMIF(Timing!$J$5:$AG$5,M$8,IFS!$J78:$AG78)</f>
        <v>0</v>
      </c>
      <c r="N78" s="139">
        <f>SUMIF(Timing!$J$5:$AG$5,N$8,IFS!$J78:$AG78)</f>
        <v>2750</v>
      </c>
      <c r="O78" s="156">
        <f>SUMIF(Timing!$J$5:$AG$5,O$8,IFS!$J78:$AG78)</f>
        <v>0</v>
      </c>
      <c r="P78" s="157">
        <f>SUMIF(Timing!$J$5:$AG$5,P$8,IFS!$J78:$AG78)</f>
        <v>0</v>
      </c>
      <c r="Q78" s="139">
        <f>SUMIF(Timing!$J$5:$AG$5,Q$8,IFS!$J78:$AG78)</f>
        <v>0</v>
      </c>
      <c r="R78" s="156">
        <f>SUMIF(Timing!$J$5:$AG$5,R$8,IFS!$J78:$AG78)</f>
        <v>0</v>
      </c>
      <c r="S78" s="157">
        <f>SUMIF(Timing!$J$5:$AG$5,S$8,IFS!$J78:$AG78)</f>
        <v>0</v>
      </c>
      <c r="T78" s="139">
        <f>SUMIF(Timing!$J$5:$AG$5,T$8,IFS!$J78:$AG78)</f>
        <v>0</v>
      </c>
      <c r="U78" s="139">
        <f>SUMIF(Timing!$J$5:$AG$5,U$8,IFS!$J78:$AG78)</f>
        <v>0</v>
      </c>
      <c r="V78" s="140">
        <f t="shared" si="44"/>
        <v>2750</v>
      </c>
      <c r="W78" s="162">
        <f>SUMPRODUCT((Timing!$J$29:$AG$29=1)*(Timing!$J$15:$AG$15=2)*(IFS!$J78:$AG78))</f>
        <v>0</v>
      </c>
      <c r="X78" s="168">
        <f>SUMPRODUCT((Timing!$J$29:$AG$29=2)*(Timing!$J$15:$AG$15=2)*(IFS!$J78:$AG78))</f>
        <v>0</v>
      </c>
      <c r="Y78" s="168">
        <f>SUMPRODUCT((Timing!$J$29:$AG$29=3)*(Timing!$J$15:$AG$15=2)*(IFS!$J78:$AG78))</f>
        <v>0</v>
      </c>
      <c r="Z78" s="163">
        <f>SUMPRODUCT((Timing!$J$29:$AG$29=4)*(Timing!$J$15:$AG$15=2)*(IFS!$J78:$AG78))</f>
        <v>0</v>
      </c>
      <c r="AA78" s="140">
        <f t="shared" si="45"/>
        <v>0</v>
      </c>
    </row>
    <row r="79" spans="1:27" ht="16.5" customHeight="1" outlineLevel="1">
      <c r="A79" s="800"/>
      <c r="B79" s="125"/>
      <c r="C79" s="799" t="str">
        <f>IF(IFS!C79="","",IFS!C79)</f>
        <v>Bad debts</v>
      </c>
      <c r="J79" s="139">
        <f>SUMIF(Timing!$J$5:$AG$5,J$8,IFS!$J79:$AG79)</f>
        <v>0</v>
      </c>
      <c r="K79" s="139">
        <f>SUMIF(Timing!$J$5:$AG$5,K$8,IFS!$J79:$AG79)</f>
        <v>0</v>
      </c>
      <c r="L79" s="156">
        <f ca="1">SUMIF(Timing!$J$5:$AG$5,L$8,IFS!$J79:$AG79)</f>
        <v>110.10000000000001</v>
      </c>
      <c r="M79" s="157">
        <f ca="1">SUMIF(Timing!$J$5:$AG$5,M$8,IFS!$J79:$AG79)</f>
        <v>162.6</v>
      </c>
      <c r="N79" s="139">
        <f ca="1">SUMIF(Timing!$J$5:$AG$5,N$8,IFS!$J79:$AG79)</f>
        <v>218.85</v>
      </c>
      <c r="O79" s="156">
        <f ca="1">SUMIF(Timing!$J$5:$AG$5,O$8,IFS!$J79:$AG79)</f>
        <v>280.14</v>
      </c>
      <c r="P79" s="157">
        <f ca="1">SUMIF(Timing!$J$5:$AG$5,P$8,IFS!$J79:$AG79)</f>
        <v>341.12</v>
      </c>
      <c r="Q79" s="139">
        <f ca="1">SUMIF(Timing!$J$5:$AG$5,Q$8,IFS!$J79:$AG79)</f>
        <v>405.71520000000004</v>
      </c>
      <c r="R79" s="156">
        <f ca="1">SUMIF(Timing!$J$5:$AG$5,R$8,IFS!$J79:$AG79)</f>
        <v>477.43140800000009</v>
      </c>
      <c r="S79" s="157">
        <f ca="1">SUMIF(Timing!$J$5:$AG$5,S$8,IFS!$J79:$AG79)</f>
        <v>550.79357632000006</v>
      </c>
      <c r="T79" s="139">
        <f ca="1">SUMIF(Timing!$J$5:$AG$5,T$8,IFS!$J79:$AG79)</f>
        <v>627.82439137280005</v>
      </c>
      <c r="U79" s="139">
        <f ca="1">SUMIF(Timing!$J$5:$AG$5,U$8,IFS!$J79:$AG79)</f>
        <v>686.56957102771207</v>
      </c>
      <c r="V79" s="140">
        <f t="shared" ca="1" si="44"/>
        <v>3861.1441467205123</v>
      </c>
      <c r="W79" s="162">
        <f ca="1">SUMPRODUCT((Timing!$J$29:$AG$29=1)*(Timing!$J$15:$AG$15=2)*(IFS!$J79:$AG79))</f>
        <v>2403.9691376451215</v>
      </c>
      <c r="X79" s="168">
        <f ca="1">SUMPRODUCT((Timing!$J$29:$AG$29=2)*(Timing!$J$15:$AG$15=2)*(IFS!$J79:$AG79))</f>
        <v>2936.287230325679</v>
      </c>
      <c r="Y79" s="168">
        <f ca="1">SUMPRODUCT((Timing!$J$29:$AG$29=3)*(Timing!$J$15:$AG$15=2)*(IFS!$J79:$AG79))</f>
        <v>3503.5595062613729</v>
      </c>
      <c r="Z79" s="163">
        <f ca="1">SUMPRODUCT((Timing!$J$29:$AG$29=4)*(Timing!$J$15:$AG$15=2)*(IFS!$J79:$AG79))</f>
        <v>4091.4434803748936</v>
      </c>
      <c r="AA79" s="140">
        <f t="shared" ca="1" si="45"/>
        <v>12935.259354607066</v>
      </c>
    </row>
    <row r="80" spans="1:27" ht="16.5" customHeight="1" outlineLevel="1">
      <c r="A80" s="800"/>
      <c r="B80" s="125"/>
      <c r="C80" s="799" t="str">
        <f>IF(IFS!C80="","",IFS!C80)</f>
        <v>Profit/loss sale of fixed assets</v>
      </c>
      <c r="J80" s="139">
        <f>SUMIF(Timing!$J$5:$AG$5,J$8,IFS!$J80:$AG80)</f>
        <v>0</v>
      </c>
      <c r="K80" s="139">
        <f>SUMIF(Timing!$J$5:$AG$5,K$8,IFS!$J80:$AG80)</f>
        <v>0</v>
      </c>
      <c r="L80" s="156">
        <f>SUMIF(Timing!$J$5:$AG$5,L$8,IFS!$J80:$AG80)</f>
        <v>0</v>
      </c>
      <c r="M80" s="157">
        <f>SUMIF(Timing!$J$5:$AG$5,M$8,IFS!$J80:$AG80)</f>
        <v>0</v>
      </c>
      <c r="N80" s="139">
        <f>SUMIF(Timing!$J$5:$AG$5,N$8,IFS!$J80:$AG80)</f>
        <v>0</v>
      </c>
      <c r="O80" s="156">
        <f>SUMIF(Timing!$J$5:$AG$5,O$8,IFS!$J80:$AG80)</f>
        <v>0</v>
      </c>
      <c r="P80" s="157">
        <f>SUMIF(Timing!$J$5:$AG$5,P$8,IFS!$J80:$AG80)</f>
        <v>0</v>
      </c>
      <c r="Q80" s="139">
        <f>SUMIF(Timing!$J$5:$AG$5,Q$8,IFS!$J80:$AG80)</f>
        <v>0</v>
      </c>
      <c r="R80" s="156">
        <f>SUMIF(Timing!$J$5:$AG$5,R$8,IFS!$J80:$AG80)</f>
        <v>0</v>
      </c>
      <c r="S80" s="157">
        <f>SUMIF(Timing!$J$5:$AG$5,S$8,IFS!$J80:$AG80)</f>
        <v>0</v>
      </c>
      <c r="T80" s="139">
        <f>SUMIF(Timing!$J$5:$AG$5,T$8,IFS!$J80:$AG80)</f>
        <v>0</v>
      </c>
      <c r="U80" s="139">
        <f>SUMIF(Timing!$J$5:$AG$5,U$8,IFS!$J80:$AG80)</f>
        <v>0</v>
      </c>
      <c r="V80" s="140">
        <f t="shared" si="44"/>
        <v>0</v>
      </c>
      <c r="W80" s="162">
        <f>SUMPRODUCT((Timing!$J$29:$AG$29=1)*(Timing!$J$15:$AG$15=2)*(IFS!$J80:$AG80))</f>
        <v>0</v>
      </c>
      <c r="X80" s="168">
        <f>SUMPRODUCT((Timing!$J$29:$AG$29=2)*(Timing!$J$15:$AG$15=2)*(IFS!$J80:$AG80))</f>
        <v>0</v>
      </c>
      <c r="Y80" s="168">
        <f>SUMPRODUCT((Timing!$J$29:$AG$29=3)*(Timing!$J$15:$AG$15=2)*(IFS!$J80:$AG80))</f>
        <v>4500</v>
      </c>
      <c r="Z80" s="163">
        <f>SUMPRODUCT((Timing!$J$29:$AG$29=4)*(Timing!$J$15:$AG$15=2)*(IFS!$J80:$AG80))</f>
        <v>0</v>
      </c>
      <c r="AA80" s="140">
        <f t="shared" si="45"/>
        <v>4500</v>
      </c>
    </row>
    <row r="81" spans="1:27" ht="16.5" customHeight="1" outlineLevel="1">
      <c r="A81" s="800"/>
      <c r="B81" s="125"/>
      <c r="C81" s="799" t="str">
        <f>IF(IFS!C81="","",IFS!C81)</f>
        <v>Depreciation &amp; Amortization</v>
      </c>
      <c r="J81" s="139">
        <f>SUMIF(Timing!$J$5:$AG$5,J$8,IFS!$J81:$AG81)</f>
        <v>0</v>
      </c>
      <c r="K81" s="139">
        <f>SUMIF(Timing!$J$5:$AG$5,K$8,IFS!$J81:$AG81)</f>
        <v>0</v>
      </c>
      <c r="L81" s="156">
        <f>SUMIF(Timing!$J$5:$AG$5,L$8,IFS!$J81:$AG81)</f>
        <v>59.523809523809518</v>
      </c>
      <c r="M81" s="157">
        <f>SUMIF(Timing!$J$5:$AG$5,M$8,IFS!$J81:$AG81)</f>
        <v>178.57142857142856</v>
      </c>
      <c r="N81" s="139">
        <f>SUMIF(Timing!$J$5:$AG$5,N$8,IFS!$J81:$AG81)</f>
        <v>178.57142857142856</v>
      </c>
      <c r="O81" s="156">
        <f>SUMIF(Timing!$J$5:$AG$5,O$8,IFS!$J81:$AG81)</f>
        <v>706.34920634920627</v>
      </c>
      <c r="P81" s="157">
        <f>SUMIF(Timing!$J$5:$AG$5,P$8,IFS!$J81:$AG81)</f>
        <v>706.34920634920627</v>
      </c>
      <c r="Q81" s="139">
        <f>SUMIF(Timing!$J$5:$AG$5,Q$8,IFS!$J81:$AG81)</f>
        <v>706.34920634920627</v>
      </c>
      <c r="R81" s="156">
        <f>SUMIF(Timing!$J$5:$AG$5,R$8,IFS!$J81:$AG81)</f>
        <v>706.34920634920627</v>
      </c>
      <c r="S81" s="157">
        <f>SUMIF(Timing!$J$5:$AG$5,S$8,IFS!$J81:$AG81)</f>
        <v>1162.6984126984125</v>
      </c>
      <c r="T81" s="139">
        <f>SUMIF(Timing!$J$5:$AG$5,T$8,IFS!$J81:$AG81)</f>
        <v>1903.9484126984125</v>
      </c>
      <c r="U81" s="139">
        <f>SUMIF(Timing!$J$5:$AG$5,U$8,IFS!$J81:$AG81)</f>
        <v>1903.9484126984125</v>
      </c>
      <c r="V81" s="140">
        <f t="shared" si="44"/>
        <v>8212.6587301587297</v>
      </c>
      <c r="W81" s="162">
        <f>SUMPRODUCT((Timing!$J$29:$AG$29=1)*(Timing!$J$15:$AG$15=2)*(IFS!$J81:$AG81))</f>
        <v>5711.8452380952376</v>
      </c>
      <c r="X81" s="168">
        <f>SUMPRODUCT((Timing!$J$29:$AG$29=2)*(Timing!$J$15:$AG$15=2)*(IFS!$J81:$AG81))</f>
        <v>7795.1785714285706</v>
      </c>
      <c r="Y81" s="168">
        <f>SUMPRODUCT((Timing!$J$29:$AG$29=3)*(Timing!$J$15:$AG$15=2)*(IFS!$J81:$AG81))</f>
        <v>7676.1309523809523</v>
      </c>
      <c r="Z81" s="163">
        <f>SUMPRODUCT((Timing!$J$29:$AG$29=4)*(Timing!$J$15:$AG$15=2)*(IFS!$J81:$AG81))</f>
        <v>7616.6071428571431</v>
      </c>
      <c r="AA81" s="140">
        <f t="shared" si="45"/>
        <v>28799.761904761908</v>
      </c>
    </row>
    <row r="82" spans="1:27" ht="16.5" customHeight="1">
      <c r="A82" s="800"/>
      <c r="B82" s="125"/>
      <c r="C82" s="806" t="str">
        <f>IF(IFS!C82="","",IFS!C82)</f>
        <v>Operating Profit</v>
      </c>
      <c r="D82" s="807"/>
      <c r="E82" s="807"/>
      <c r="F82" s="807"/>
      <c r="G82" s="807"/>
      <c r="H82" s="807"/>
      <c r="I82" s="807"/>
      <c r="J82" s="846">
        <f>J77+J78-J79+J80-J81</f>
        <v>0</v>
      </c>
      <c r="K82" s="846">
        <f t="shared" ref="K82:U82" si="47">K77+K78-K79+K80-K81</f>
        <v>0</v>
      </c>
      <c r="L82" s="847">
        <f t="shared" ca="1" si="47"/>
        <v>-9068.882698412699</v>
      </c>
      <c r="M82" s="848">
        <f t="shared" ca="1" si="47"/>
        <v>-8316.119206349209</v>
      </c>
      <c r="N82" s="846">
        <f t="shared" ca="1" si="47"/>
        <v>-8996.5469841269842</v>
      </c>
      <c r="O82" s="847">
        <f t="shared" ca="1" si="47"/>
        <v>-5387.4473174603172</v>
      </c>
      <c r="P82" s="848">
        <f t="shared" ca="1" si="47"/>
        <v>234.69738976190035</v>
      </c>
      <c r="Q82" s="846">
        <f t="shared" ca="1" si="47"/>
        <v>707.64799405634858</v>
      </c>
      <c r="R82" s="847">
        <f t="shared" ca="1" si="47"/>
        <v>4398.8209566604037</v>
      </c>
      <c r="S82" s="848">
        <f t="shared" ca="1" si="47"/>
        <v>2455.879443781957</v>
      </c>
      <c r="T82" s="846">
        <f t="shared" ca="1" si="47"/>
        <v>6862.1781922193304</v>
      </c>
      <c r="U82" s="846">
        <f t="shared" ca="1" si="47"/>
        <v>5479.6867168808885</v>
      </c>
      <c r="V82" s="846">
        <f t="shared" ca="1" si="44"/>
        <v>-11630.085512988378</v>
      </c>
      <c r="W82" s="847">
        <f ca="1">W77+W78-W79+W80-W81</f>
        <v>40577.677563669451</v>
      </c>
      <c r="X82" s="849">
        <f ca="1">X77+X78-X79+X80-X81</f>
        <v>49716.677120752589</v>
      </c>
      <c r="Y82" s="849">
        <f ca="1">Y77+Y78-Y79+Y80-Y81</f>
        <v>71176.565473350813</v>
      </c>
      <c r="Z82" s="848">
        <f ca="1">Z77+Z78-Z79+Z80-Z81</f>
        <v>91507.351546843885</v>
      </c>
      <c r="AA82" s="846">
        <f t="shared" ca="1" si="45"/>
        <v>252978.27170461672</v>
      </c>
    </row>
    <row r="83" spans="1:27" ht="16.5" customHeight="1" outlineLevel="1">
      <c r="A83" s="800"/>
      <c r="B83" s="125"/>
      <c r="C83" s="799" t="str">
        <f>IF(IFS!C83="","",IFS!C83)</f>
        <v>Interest payable</v>
      </c>
      <c r="J83" s="139">
        <f>SUMIF(Timing!$J$5:$AG$5,J$8,IFS!$J83:$AG83)</f>
        <v>0</v>
      </c>
      <c r="K83" s="139">
        <f>SUMIF(Timing!$J$5:$AG$5,K$8,IFS!$J83:$AG83)</f>
        <v>0</v>
      </c>
      <c r="L83" s="156">
        <f>SUMIF(Timing!$J$5:$AG$5,L$8,IFS!$J83:$AG83)</f>
        <v>1062.5</v>
      </c>
      <c r="M83" s="157">
        <f ca="1">SUMIF(Timing!$J$5:$AG$5,M$8,IFS!$J83:$AG83)</f>
        <v>62.5</v>
      </c>
      <c r="N83" s="139">
        <f ca="1">SUMIF(Timing!$J$5:$AG$5,N$8,IFS!$J83:$AG83)</f>
        <v>62.5</v>
      </c>
      <c r="O83" s="156">
        <f ca="1">SUMIF(Timing!$J$5:$AG$5,O$8,IFS!$J83:$AG83)</f>
        <v>62.5</v>
      </c>
      <c r="P83" s="157">
        <f ca="1">SUMIF(Timing!$J$5:$AG$5,P$8,IFS!$J83:$AG83)</f>
        <v>62.5</v>
      </c>
      <c r="Q83" s="139">
        <f ca="1">SUMIF(Timing!$J$5:$AG$5,Q$8,IFS!$J83:$AG83)</f>
        <v>62.5</v>
      </c>
      <c r="R83" s="156">
        <f ca="1">SUMIF(Timing!$J$5:$AG$5,R$8,IFS!$J83:$AG83)</f>
        <v>291.66666666666669</v>
      </c>
      <c r="S83" s="157">
        <f ca="1">SUMIF(Timing!$J$5:$AG$5,S$8,IFS!$J83:$AG83)</f>
        <v>291.66666666666669</v>
      </c>
      <c r="T83" s="139">
        <f ca="1">SUMIF(Timing!$J$5:$AG$5,T$8,IFS!$J83:$AG83)</f>
        <v>658.33333333333337</v>
      </c>
      <c r="U83" s="139">
        <f ca="1">SUMIF(Timing!$J$5:$AG$5,U$8,IFS!$J83:$AG83)</f>
        <v>1109.8887650796269</v>
      </c>
      <c r="V83" s="140">
        <f t="shared" ca="1" si="44"/>
        <v>3726.5554317462938</v>
      </c>
      <c r="W83" s="162">
        <f ca="1">SUMPRODUCT((Timing!$J$29:$AG$29=1)*(Timing!$J$15:$AG$15=2)*(IFS!$J83:$AG83))</f>
        <v>2759.166666666667</v>
      </c>
      <c r="X83" s="168">
        <f ca="1">SUMPRODUCT((Timing!$J$29:$AG$29=2)*(Timing!$J$15:$AG$15=2)*(IFS!$J83:$AG83))</f>
        <v>3274.7934036060924</v>
      </c>
      <c r="Y83" s="168">
        <f ca="1">SUMPRODUCT((Timing!$J$29:$AG$29=3)*(Timing!$J$15:$AG$15=2)*(IFS!$J83:$AG83))</f>
        <v>2846.4375195459625</v>
      </c>
      <c r="Z83" s="163">
        <f ca="1">SUMPRODUCT((Timing!$J$29:$AG$29=4)*(Timing!$J$15:$AG$15=2)*(IFS!$J83:$AG83))</f>
        <v>2753.7585305264233</v>
      </c>
      <c r="AA83" s="140">
        <f t="shared" ca="1" si="45"/>
        <v>11634.156120345146</v>
      </c>
    </row>
    <row r="84" spans="1:27" ht="16.5" customHeight="1" outlineLevel="1">
      <c r="A84" s="800"/>
      <c r="B84" s="125"/>
      <c r="C84" s="799" t="str">
        <f>IF(IFS!C84="","",IFS!C84)</f>
        <v>Interest receivable</v>
      </c>
      <c r="J84" s="139">
        <f>SUMIF(Timing!$J$5:$AG$5,J$8,IFS!$J84:$AG84)</f>
        <v>0</v>
      </c>
      <c r="K84" s="139">
        <f>SUMIF(Timing!$J$5:$AG$5,K$8,IFS!$J84:$AG84)</f>
        <v>0</v>
      </c>
      <c r="L84" s="156">
        <f>SUMIF(Timing!$J$5:$AG$5,L$8,IFS!$J84:$AG84)</f>
        <v>0</v>
      </c>
      <c r="M84" s="157">
        <f ca="1">SUMIF(Timing!$J$5:$AG$5,M$8,IFS!$J84:$AG84)</f>
        <v>0</v>
      </c>
      <c r="N84" s="139">
        <f ca="1">SUMIF(Timing!$J$5:$AG$5,N$8,IFS!$J84:$AG84)</f>
        <v>0</v>
      </c>
      <c r="O84" s="156">
        <f ca="1">SUMIF(Timing!$J$5:$AG$5,O$8,IFS!$J84:$AG84)</f>
        <v>112.76995380952383</v>
      </c>
      <c r="P84" s="157">
        <f ca="1">SUMIF(Timing!$J$5:$AG$5,P$8,IFS!$J84:$AG84)</f>
        <v>135.66872078825526</v>
      </c>
      <c r="Q84" s="139">
        <f ca="1">SUMIF(Timing!$J$5:$AG$5,Q$8,IFS!$J84:$AG84)</f>
        <v>87.893928030075188</v>
      </c>
      <c r="R84" s="156">
        <f ca="1">SUMIF(Timing!$J$5:$AG$5,R$8,IFS!$J84:$AG84)</f>
        <v>37.093430759216716</v>
      </c>
      <c r="S84" s="157">
        <f ca="1">SUMIF(Timing!$J$5:$AG$5,S$8,IFS!$J84:$AG84)</f>
        <v>97.140572712524701</v>
      </c>
      <c r="T84" s="139">
        <f ca="1">SUMIF(Timing!$J$5:$AG$5,T$8,IFS!$J84:$AG84)</f>
        <v>19.480965519885757</v>
      </c>
      <c r="U84" s="139">
        <f ca="1">SUMIF(Timing!$J$5:$AG$5,U$8,IFS!$J84:$AG84)</f>
        <v>0</v>
      </c>
      <c r="V84" s="140">
        <f t="shared" ca="1" si="44"/>
        <v>490.04757161948146</v>
      </c>
      <c r="W84" s="162">
        <f ca="1">SUMPRODUCT((Timing!$J$29:$AG$29=1)*(Timing!$J$15:$AG$15=2)*(IFS!$J84:$AG84))</f>
        <v>296.06912492225507</v>
      </c>
      <c r="X84" s="168">
        <f ca="1">SUMPRODUCT((Timing!$J$29:$AG$29=2)*(Timing!$J$15:$AG$15=2)*(IFS!$J84:$AG84))</f>
        <v>183.67634331008733</v>
      </c>
      <c r="Y84" s="168">
        <f ca="1">SUMPRODUCT((Timing!$J$29:$AG$29=3)*(Timing!$J$15:$AG$15=2)*(IFS!$J84:$AG84))</f>
        <v>211.82653191722096</v>
      </c>
      <c r="Z84" s="163">
        <f ca="1">SUMPRODUCT((Timing!$J$29:$AG$29=4)*(Timing!$J$15:$AG$15=2)*(IFS!$J84:$AG84))</f>
        <v>432.31142400510191</v>
      </c>
      <c r="AA84" s="140">
        <f t="shared" ca="1" si="45"/>
        <v>1123.8834241546651</v>
      </c>
    </row>
    <row r="85" spans="1:27" ht="16.5" customHeight="1" outlineLevel="1">
      <c r="A85" s="800"/>
      <c r="B85" s="125"/>
      <c r="C85" s="799" t="str">
        <f>IF(IFS!C85="","",IFS!C85)</f>
        <v>Extraordinary expenses</v>
      </c>
      <c r="J85" s="139">
        <f>SUMIF(Timing!$J$5:$AG$5,J$8,IFS!$J85:$AG85)</f>
        <v>0</v>
      </c>
      <c r="K85" s="139">
        <f>SUMIF(Timing!$J$5:$AG$5,K$8,IFS!$J85:$AG85)</f>
        <v>0</v>
      </c>
      <c r="L85" s="156">
        <f>SUMIF(Timing!$J$5:$AG$5,L$8,IFS!$J85:$AG85)</f>
        <v>0</v>
      </c>
      <c r="M85" s="157">
        <f>SUMIF(Timing!$J$5:$AG$5,M$8,IFS!$J85:$AG85)</f>
        <v>0</v>
      </c>
      <c r="N85" s="139">
        <f>SUMIF(Timing!$J$5:$AG$5,N$8,IFS!$J85:$AG85)</f>
        <v>0</v>
      </c>
      <c r="O85" s="156">
        <f>SUMIF(Timing!$J$5:$AG$5,O$8,IFS!$J85:$AG85)</f>
        <v>0</v>
      </c>
      <c r="P85" s="157">
        <f>SUMIF(Timing!$J$5:$AG$5,P$8,IFS!$J85:$AG85)</f>
        <v>0</v>
      </c>
      <c r="Q85" s="139">
        <f>SUMIF(Timing!$J$5:$AG$5,Q$8,IFS!$J85:$AG85)</f>
        <v>6750</v>
      </c>
      <c r="R85" s="156">
        <f>SUMIF(Timing!$J$5:$AG$5,R$8,IFS!$J85:$AG85)</f>
        <v>0</v>
      </c>
      <c r="S85" s="157">
        <f>SUMIF(Timing!$J$5:$AG$5,S$8,IFS!$J85:$AG85)</f>
        <v>0</v>
      </c>
      <c r="T85" s="139">
        <f>SUMIF(Timing!$J$5:$AG$5,T$8,IFS!$J85:$AG85)</f>
        <v>0</v>
      </c>
      <c r="U85" s="139">
        <f>SUMIF(Timing!$J$5:$AG$5,U$8,IFS!$J85:$AG85)</f>
        <v>0</v>
      </c>
      <c r="V85" s="140">
        <f t="shared" si="44"/>
        <v>6750</v>
      </c>
      <c r="W85" s="162">
        <f>SUMPRODUCT((Timing!$J$29:$AG$29=1)*(Timing!$J$15:$AG$15=2)*(IFS!$J85:$AG85))</f>
        <v>0</v>
      </c>
      <c r="X85" s="168">
        <f>SUMPRODUCT((Timing!$J$29:$AG$29=2)*(Timing!$J$15:$AG$15=2)*(IFS!$J85:$AG85))</f>
        <v>0</v>
      </c>
      <c r="Y85" s="168">
        <f>SUMPRODUCT((Timing!$J$29:$AG$29=3)*(Timing!$J$15:$AG$15=2)*(IFS!$J85:$AG85))</f>
        <v>0</v>
      </c>
      <c r="Z85" s="163">
        <f>SUMPRODUCT((Timing!$J$29:$AG$29=4)*(Timing!$J$15:$AG$15=2)*(IFS!$J85:$AG85))</f>
        <v>0</v>
      </c>
      <c r="AA85" s="140">
        <f t="shared" si="45"/>
        <v>0</v>
      </c>
    </row>
    <row r="86" spans="1:27" ht="16.5" customHeight="1" outlineLevel="1">
      <c r="A86" s="800"/>
      <c r="B86" s="125"/>
      <c r="C86" s="799" t="str">
        <f>IF(IFS!C86="","",IFS!C86)</f>
        <v>Extraordinary income</v>
      </c>
      <c r="J86" s="139">
        <f>SUMIF(Timing!$J$5:$AG$5,J$8,IFS!$J86:$AG86)</f>
        <v>0</v>
      </c>
      <c r="K86" s="139">
        <f>SUMIF(Timing!$J$5:$AG$5,K$8,IFS!$J86:$AG86)</f>
        <v>0</v>
      </c>
      <c r="L86" s="156">
        <f>SUMIF(Timing!$J$5:$AG$5,L$8,IFS!$J86:$AG86)</f>
        <v>0</v>
      </c>
      <c r="M86" s="157">
        <f>SUMIF(Timing!$J$5:$AG$5,M$8,IFS!$J86:$AG86)</f>
        <v>0</v>
      </c>
      <c r="N86" s="139">
        <f>SUMIF(Timing!$J$5:$AG$5,N$8,IFS!$J86:$AG86)</f>
        <v>0</v>
      </c>
      <c r="O86" s="156">
        <f>SUMIF(Timing!$J$5:$AG$5,O$8,IFS!$J86:$AG86)</f>
        <v>0</v>
      </c>
      <c r="P86" s="157">
        <f>SUMIF(Timing!$J$5:$AG$5,P$8,IFS!$J86:$AG86)</f>
        <v>0</v>
      </c>
      <c r="Q86" s="139">
        <f>SUMIF(Timing!$J$5:$AG$5,Q$8,IFS!$J86:$AG86)</f>
        <v>0</v>
      </c>
      <c r="R86" s="156">
        <f>SUMIF(Timing!$J$5:$AG$5,R$8,IFS!$J86:$AG86)</f>
        <v>0</v>
      </c>
      <c r="S86" s="157">
        <f>SUMIF(Timing!$J$5:$AG$5,S$8,IFS!$J86:$AG86)</f>
        <v>0</v>
      </c>
      <c r="T86" s="139">
        <f>SUMIF(Timing!$J$5:$AG$5,T$8,IFS!$J86:$AG86)</f>
        <v>0</v>
      </c>
      <c r="U86" s="139">
        <f>SUMIF(Timing!$J$5:$AG$5,U$8,IFS!$J86:$AG86)</f>
        <v>0</v>
      </c>
      <c r="V86" s="140">
        <f t="shared" si="44"/>
        <v>0</v>
      </c>
      <c r="W86" s="162">
        <f>SUMPRODUCT((Timing!$J$29:$AG$29=1)*(Timing!$J$15:$AG$15=2)*(IFS!$J86:$AG86))</f>
        <v>0</v>
      </c>
      <c r="X86" s="168">
        <f>SUMPRODUCT((Timing!$J$29:$AG$29=2)*(Timing!$J$15:$AG$15=2)*(IFS!$J86:$AG86))</f>
        <v>0</v>
      </c>
      <c r="Y86" s="168">
        <f>SUMPRODUCT((Timing!$J$29:$AG$29=3)*(Timing!$J$15:$AG$15=2)*(IFS!$J86:$AG86))</f>
        <v>4550</v>
      </c>
      <c r="Z86" s="163">
        <f>SUMPRODUCT((Timing!$J$29:$AG$29=4)*(Timing!$J$15:$AG$15=2)*(IFS!$J86:$AG86))</f>
        <v>0</v>
      </c>
      <c r="AA86" s="140">
        <f t="shared" si="45"/>
        <v>4550</v>
      </c>
    </row>
    <row r="87" spans="1:27" ht="16.5" customHeight="1">
      <c r="A87" s="800"/>
      <c r="B87" s="125"/>
      <c r="C87" s="806" t="str">
        <f>IF(IFS!C87="","",IFS!C87)</f>
        <v>Net Profit before Tax</v>
      </c>
      <c r="D87" s="807"/>
      <c r="E87" s="807"/>
      <c r="F87" s="807"/>
      <c r="G87" s="807"/>
      <c r="H87" s="807"/>
      <c r="I87" s="807"/>
      <c r="J87" s="846">
        <f t="shared" ref="J87:Z87" si="48">J82-J83+J84-J85+J86</f>
        <v>0</v>
      </c>
      <c r="K87" s="846">
        <f t="shared" si="48"/>
        <v>0</v>
      </c>
      <c r="L87" s="847">
        <f t="shared" ca="1" si="48"/>
        <v>-10131.382698412699</v>
      </c>
      <c r="M87" s="848">
        <f t="shared" ca="1" si="48"/>
        <v>-8378.619206349209</v>
      </c>
      <c r="N87" s="846">
        <f t="shared" ca="1" si="48"/>
        <v>-9059.0469841269842</v>
      </c>
      <c r="O87" s="847">
        <f t="shared" ca="1" si="48"/>
        <v>-5337.1773636507933</v>
      </c>
      <c r="P87" s="848">
        <f t="shared" ca="1" si="48"/>
        <v>307.86611055015561</v>
      </c>
      <c r="Q87" s="846">
        <f t="shared" ca="1" si="48"/>
        <v>-6016.9580779135758</v>
      </c>
      <c r="R87" s="847">
        <f t="shared" ca="1" si="48"/>
        <v>4144.2477207529537</v>
      </c>
      <c r="S87" s="848">
        <f t="shared" ca="1" si="48"/>
        <v>2261.3533498278152</v>
      </c>
      <c r="T87" s="846">
        <f t="shared" ca="1" si="48"/>
        <v>6223.3258244058834</v>
      </c>
      <c r="U87" s="846">
        <f t="shared" ca="1" si="48"/>
        <v>4369.7979518012617</v>
      </c>
      <c r="V87" s="846">
        <f t="shared" ca="1" si="44"/>
        <v>-21616.593373115185</v>
      </c>
      <c r="W87" s="847">
        <f t="shared" ca="1" si="48"/>
        <v>38114.580021925045</v>
      </c>
      <c r="X87" s="849">
        <f t="shared" ca="1" si="48"/>
        <v>46625.560060456584</v>
      </c>
      <c r="Y87" s="849">
        <f t="shared" ca="1" si="48"/>
        <v>73091.954485722075</v>
      </c>
      <c r="Z87" s="848">
        <f t="shared" ca="1" si="48"/>
        <v>89185.904440322571</v>
      </c>
      <c r="AA87" s="846">
        <f t="shared" ref="AA87:AA88" ca="1" si="49">SUM(W87:Z87)</f>
        <v>247017.9990084263</v>
      </c>
    </row>
    <row r="88" spans="1:27" ht="16.5" customHeight="1">
      <c r="A88" s="800"/>
      <c r="B88" s="125"/>
      <c r="C88" s="799" t="str">
        <f>IF(IFS!C88="","",IFS!C88)</f>
        <v>Taxes on income</v>
      </c>
      <c r="J88" s="139">
        <f>SUMIF(Timing!$J$5:$AG$5,J$8,IFS!$J88:$AG88)</f>
        <v>0</v>
      </c>
      <c r="K88" s="139">
        <f>SUMIF(Timing!$J$5:$AG$5,K$8,IFS!$J88:$AG88)</f>
        <v>0</v>
      </c>
      <c r="L88" s="156">
        <f ca="1">SUMIF(Timing!$J$5:$AG$5,L$8,IFS!$J88:$AG88)</f>
        <v>0</v>
      </c>
      <c r="M88" s="157">
        <f ca="1">SUMIF(Timing!$J$5:$AG$5,M$8,IFS!$J88:$AG88)</f>
        <v>0</v>
      </c>
      <c r="N88" s="139">
        <f ca="1">SUMIF(Timing!$J$5:$AG$5,N$8,IFS!$J88:$AG88)</f>
        <v>0</v>
      </c>
      <c r="O88" s="156">
        <f ca="1">SUMIF(Timing!$J$5:$AG$5,O$8,IFS!$J88:$AG88)</f>
        <v>0</v>
      </c>
      <c r="P88" s="157">
        <f ca="1">SUMIF(Timing!$J$5:$AG$5,P$8,IFS!$J88:$AG88)</f>
        <v>0</v>
      </c>
      <c r="Q88" s="139">
        <f ca="1">SUMIF(Timing!$J$5:$AG$5,Q$8,IFS!$J88:$AG88)</f>
        <v>0</v>
      </c>
      <c r="R88" s="156">
        <f ca="1">SUMIF(Timing!$J$5:$AG$5,R$8,IFS!$J88:$AG88)</f>
        <v>0</v>
      </c>
      <c r="S88" s="157">
        <f ca="1">SUMIF(Timing!$J$5:$AG$5,S$8,IFS!$J88:$AG88)</f>
        <v>0</v>
      </c>
      <c r="T88" s="139">
        <f ca="1">SUMIF(Timing!$J$5:$AG$5,T$8,IFS!$J88:$AG88)</f>
        <v>0</v>
      </c>
      <c r="U88" s="139">
        <f ca="1">SUMIF(Timing!$J$5:$AG$5,U$8,IFS!$J88:$AG88)</f>
        <v>0</v>
      </c>
      <c r="V88" s="140">
        <f t="shared" ca="1" si="44"/>
        <v>0</v>
      </c>
      <c r="W88" s="162">
        <f ca="1">SUMPRODUCT((Timing!$J$29:$AG$29=1)*(Timing!$J$15:$AG$15=2)*(IFS!$J88:$AG88))</f>
        <v>10520.070281765549</v>
      </c>
      <c r="X88" s="168">
        <f ca="1">SUMPRODUCT((Timing!$J$29:$AG$29=2)*(Timing!$J$15:$AG$15=2)*(IFS!$J88:$AG88))</f>
        <v>10520.070281765549</v>
      </c>
      <c r="Y88" s="168">
        <f ca="1">SUMPRODUCT((Timing!$J$29:$AG$29=3)*(Timing!$J$15:$AG$15=2)*(IFS!$J88:$AG88))</f>
        <v>10520.070281765549</v>
      </c>
      <c r="Z88" s="163">
        <f ca="1">SUMPRODUCT((Timing!$J$29:$AG$29=4)*(Timing!$J$15:$AG$15=2)*(IFS!$J88:$AG88))</f>
        <v>10520.070281765549</v>
      </c>
      <c r="AA88" s="140">
        <f t="shared" ca="1" si="49"/>
        <v>42080.281127062197</v>
      </c>
    </row>
    <row r="89" spans="1:27" ht="16.5" customHeight="1" thickBot="1">
      <c r="A89" s="800"/>
      <c r="B89" s="125"/>
      <c r="C89" s="806" t="str">
        <f>IF(IFS!C89="","",IFS!C89)</f>
        <v>Net Profit after Tax (NPAT)</v>
      </c>
      <c r="D89" s="807"/>
      <c r="E89" s="807"/>
      <c r="F89" s="807"/>
      <c r="G89" s="807"/>
      <c r="H89" s="807"/>
      <c r="I89" s="807"/>
      <c r="J89" s="856">
        <f t="shared" ref="J89:Z89" si="50">J87-J88</f>
        <v>0</v>
      </c>
      <c r="K89" s="856">
        <f t="shared" si="50"/>
        <v>0</v>
      </c>
      <c r="L89" s="857">
        <f t="shared" ca="1" si="50"/>
        <v>-10131.382698412699</v>
      </c>
      <c r="M89" s="858">
        <f t="shared" ca="1" si="50"/>
        <v>-8378.619206349209</v>
      </c>
      <c r="N89" s="856">
        <f t="shared" ca="1" si="50"/>
        <v>-9059.0469841269842</v>
      </c>
      <c r="O89" s="857">
        <f t="shared" ca="1" si="50"/>
        <v>-5337.1773636507933</v>
      </c>
      <c r="P89" s="858">
        <f t="shared" ca="1" si="50"/>
        <v>307.86611055015561</v>
      </c>
      <c r="Q89" s="856">
        <f t="shared" ca="1" si="50"/>
        <v>-6016.9580779135758</v>
      </c>
      <c r="R89" s="857">
        <f t="shared" ca="1" si="50"/>
        <v>4144.2477207529537</v>
      </c>
      <c r="S89" s="858">
        <f t="shared" ca="1" si="50"/>
        <v>2261.3533498278152</v>
      </c>
      <c r="T89" s="856">
        <f t="shared" ca="1" si="50"/>
        <v>6223.3258244058834</v>
      </c>
      <c r="U89" s="856">
        <f t="shared" ca="1" si="50"/>
        <v>4369.7979518012617</v>
      </c>
      <c r="V89" s="856">
        <f t="shared" ca="1" si="44"/>
        <v>-21616.593373115185</v>
      </c>
      <c r="W89" s="857">
        <f t="shared" ca="1" si="50"/>
        <v>27594.509740159498</v>
      </c>
      <c r="X89" s="859">
        <f t="shared" ca="1" si="50"/>
        <v>36105.489778691037</v>
      </c>
      <c r="Y89" s="859">
        <f t="shared" ca="1" si="50"/>
        <v>62571.884203956528</v>
      </c>
      <c r="Z89" s="858">
        <f t="shared" ca="1" si="50"/>
        <v>78665.834158557016</v>
      </c>
      <c r="AA89" s="856">
        <f t="shared" ref="AA89" ca="1" si="51">SUM(W89:Z89)</f>
        <v>204937.71788136408</v>
      </c>
    </row>
    <row r="90" spans="1:27" ht="16.5" customHeight="1" thickTop="1">
      <c r="A90" s="800"/>
      <c r="B90" s="125"/>
      <c r="C90" s="48" t="str">
        <f>IF(IFS!C90="","",IFS!C90)</f>
        <v xml:space="preserve">   cumulated</v>
      </c>
      <c r="I90" s="144">
        <f>Inputs!F284</f>
        <v>-23500</v>
      </c>
      <c r="J90" s="141">
        <f>I90+J89</f>
        <v>-23500</v>
      </c>
      <c r="K90" s="141">
        <f t="shared" ref="K90:Z90" si="52">J90+K89</f>
        <v>-23500</v>
      </c>
      <c r="L90" s="162">
        <f t="shared" ca="1" si="52"/>
        <v>-33631.382698412701</v>
      </c>
      <c r="M90" s="163">
        <f t="shared" ca="1" si="52"/>
        <v>-42010.001904761913</v>
      </c>
      <c r="N90" s="141">
        <f t="shared" ca="1" si="52"/>
        <v>-51069.048888888894</v>
      </c>
      <c r="O90" s="162">
        <f t="shared" ca="1" si="52"/>
        <v>-56406.226252539687</v>
      </c>
      <c r="P90" s="163">
        <f t="shared" ca="1" si="52"/>
        <v>-56098.360141989535</v>
      </c>
      <c r="Q90" s="141">
        <f t="shared" ca="1" si="52"/>
        <v>-62115.318219903114</v>
      </c>
      <c r="R90" s="162">
        <f t="shared" ca="1" si="52"/>
        <v>-57971.070499150163</v>
      </c>
      <c r="S90" s="163">
        <f t="shared" ca="1" si="52"/>
        <v>-55709.71714932235</v>
      </c>
      <c r="T90" s="141">
        <f t="shared" ca="1" si="52"/>
        <v>-49486.391324916469</v>
      </c>
      <c r="U90" s="141">
        <f t="shared" ca="1" si="52"/>
        <v>-45116.593373115204</v>
      </c>
      <c r="V90" s="140">
        <f ca="1">U90</f>
        <v>-45116.593373115204</v>
      </c>
      <c r="W90" s="162">
        <f ca="1">U90+W89</f>
        <v>-17522.083632955706</v>
      </c>
      <c r="X90" s="168">
        <f t="shared" ca="1" si="52"/>
        <v>18583.406145735331</v>
      </c>
      <c r="Y90" s="168">
        <f t="shared" ca="1" si="52"/>
        <v>81155.290349691859</v>
      </c>
      <c r="Z90" s="163">
        <f t="shared" ca="1" si="52"/>
        <v>159821.12450824887</v>
      </c>
      <c r="AA90" s="140">
        <f ca="1">Z90</f>
        <v>159821.12450824887</v>
      </c>
    </row>
    <row r="91" spans="1:27">
      <c r="A91" s="800"/>
      <c r="B91" s="188"/>
      <c r="C91" s="251" t="s">
        <v>640</v>
      </c>
      <c r="D91" s="247"/>
      <c r="E91" s="247"/>
      <c r="F91" s="247"/>
      <c r="G91" s="247"/>
      <c r="H91" s="247"/>
      <c r="I91" s="626">
        <f ca="1">ROUND(LOOKUP(Enddatum,IFS!$J$5:$AG$5,IFS!$J$90:$AG$90)-LOOKUP(Enddatum,$J$8:$AA$8,$J$90:$AA$90),2)</f>
        <v>0</v>
      </c>
      <c r="J91" s="247"/>
    </row>
    <row r="92" spans="1:27">
      <c r="A92" s="800"/>
      <c r="B92" s="125"/>
      <c r="I92" s="372"/>
    </row>
    <row r="93" spans="1:27" ht="16.5" customHeight="1">
      <c r="A93" s="800"/>
      <c r="B93" s="125"/>
    </row>
    <row r="94" spans="1:27" ht="16.5" customHeight="1"/>
    <row r="95" spans="1:27" ht="16.5" customHeight="1"/>
    <row r="96" spans="1:27" ht="16.5" customHeight="1"/>
  </sheetData>
  <sheetProtection password="F66A" sheet="1"/>
  <mergeCells count="2">
    <mergeCell ref="J5:U5"/>
    <mergeCell ref="W5:Z5"/>
  </mergeCells>
  <conditionalFormatting sqref="D3">
    <cfRule type="cellIs" dxfId="406" priority="2" operator="notEqual">
      <formula>0</formula>
    </cfRule>
  </conditionalFormatting>
  <conditionalFormatting sqref="I91">
    <cfRule type="cellIs" dxfId="405" priority="1" operator="notEqual">
      <formula>0</formula>
    </cfRule>
  </conditionalFormatting>
  <hyperlinks>
    <hyperlink ref="E3" location="Fehlerkontrolle" display="Go to error checks"/>
    <hyperlink ref="E2" location="Index!A1" display="Go to table of contents"/>
  </hyperlinks>
  <pageMargins left="0.39370078740157483" right="0.39370078740157483" top="0.39370078740157483" bottom="0.59055118110236227" header="0.31496062992125984" footer="0.31496062992125984"/>
  <pageSetup paperSize="9" scale="55" fitToWidth="2" pageOrder="overThenDown" orientation="landscape" r:id="rId1"/>
  <headerFooter>
    <oddFooter>&amp;Lwww.excel-financial-model.com&amp;C&amp;A&amp;R&amp;P / &amp;N</oddFooter>
  </headerFooter>
  <colBreaks count="1" manualBreakCount="1">
    <brk id="22" min="4" max="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ebersicht03">
    <tabColor rgb="FFFF0000"/>
  </sheetPr>
  <dimension ref="A1:NE62"/>
  <sheetViews>
    <sheetView showGridLines="0" zoomScale="85" zoomScaleNormal="85" zoomScaleSheetLayoutView="85" workbookViewId="0"/>
  </sheetViews>
  <sheetFormatPr baseColWidth="10" defaultColWidth="0" defaultRowHeight="12.75" outlineLevelCol="1"/>
  <cols>
    <col min="1" max="2" width="4.140625" style="199" customWidth="1"/>
    <col min="3" max="3" width="36.7109375" style="199" customWidth="1"/>
    <col min="4" max="4" width="10.140625" style="199" customWidth="1"/>
    <col min="5" max="5" width="4.7109375" style="199" customWidth="1"/>
    <col min="6" max="6" width="3.140625" style="199" customWidth="1"/>
    <col min="7" max="7" width="3.7109375" style="199" customWidth="1"/>
    <col min="8" max="8" width="13.85546875" style="199" customWidth="1"/>
    <col min="9" max="9" width="10.85546875" style="199" customWidth="1"/>
    <col min="10" max="21" width="13.7109375" style="199" customWidth="1" outlineLevel="1"/>
    <col min="22" max="22" width="15" style="199" customWidth="1"/>
    <col min="23" max="26" width="13.7109375" style="199" customWidth="1" outlineLevel="1"/>
    <col min="27" max="27" width="15" style="199" customWidth="1"/>
    <col min="28" max="65" width="11.42578125" style="199" hidden="1" customWidth="1"/>
    <col min="66" max="369" width="0" style="199" hidden="1" customWidth="1"/>
    <col min="370" max="16384" width="11.42578125" style="199" hidden="1"/>
  </cols>
  <sheetData>
    <row r="1" spans="1:28" ht="20.25">
      <c r="A1" s="41" t="s">
        <v>303</v>
      </c>
      <c r="B1" s="41"/>
      <c r="C1" s="41"/>
      <c r="D1" s="41"/>
      <c r="E1" s="343"/>
      <c r="F1" s="41"/>
      <c r="G1" s="41"/>
      <c r="H1" s="41"/>
      <c r="I1" s="41"/>
      <c r="J1" s="41"/>
      <c r="K1" s="41"/>
      <c r="L1" s="41"/>
      <c r="M1" s="41"/>
      <c r="N1" s="41"/>
      <c r="O1" s="41"/>
      <c r="P1" s="41"/>
      <c r="Q1" s="41"/>
      <c r="R1" s="41"/>
      <c r="S1" s="41"/>
      <c r="T1" s="41"/>
      <c r="U1" s="41"/>
      <c r="V1" s="41"/>
      <c r="W1" s="41"/>
      <c r="X1" s="41"/>
      <c r="Y1" s="41"/>
      <c r="Z1" s="41"/>
      <c r="AA1" s="41"/>
    </row>
    <row r="2" spans="1:28" ht="15">
      <c r="A2" s="1053"/>
      <c r="B2" s="182"/>
      <c r="C2" s="182" t="str">
        <f>Timing!C2</f>
        <v>Model: Fictitious 5 Year Forecast</v>
      </c>
      <c r="D2" s="182"/>
      <c r="E2" s="629" t="s">
        <v>148</v>
      </c>
      <c r="F2" s="181"/>
      <c r="G2" s="181"/>
      <c r="H2" s="375"/>
      <c r="I2" s="375"/>
      <c r="J2" s="375"/>
      <c r="K2" s="375"/>
      <c r="L2" s="375"/>
      <c r="M2" s="375"/>
    </row>
    <row r="3" spans="1:28" ht="20.25">
      <c r="A3" s="249"/>
      <c r="B3" s="249"/>
      <c r="C3" s="182" t="str">
        <f>Timing!C3</f>
        <v>Model Integrity:</v>
      </c>
      <c r="D3" s="805">
        <f ca="1">Timing!D3</f>
        <v>0</v>
      </c>
      <c r="E3" s="629" t="s">
        <v>149</v>
      </c>
      <c r="F3" s="181"/>
      <c r="G3" s="250"/>
      <c r="H3" s="250"/>
      <c r="I3" s="184"/>
      <c r="J3" s="375"/>
      <c r="K3" s="375"/>
      <c r="L3" s="375"/>
      <c r="M3" s="375"/>
      <c r="N3" s="375"/>
      <c r="O3" s="375"/>
      <c r="P3" s="375"/>
      <c r="Q3" s="375"/>
      <c r="R3" s="375"/>
      <c r="S3" s="375"/>
      <c r="T3" s="67"/>
      <c r="V3" s="368"/>
      <c r="X3" s="67"/>
      <c r="Z3" s="67"/>
      <c r="AB3" s="67"/>
    </row>
    <row r="4" spans="1:28" ht="24" thickBot="1">
      <c r="A4" s="146"/>
      <c r="B4" s="146"/>
      <c r="C4" s="38"/>
      <c r="D4" s="145"/>
      <c r="E4" s="38"/>
      <c r="F4" s="38"/>
      <c r="G4" s="38"/>
      <c r="H4" s="38"/>
      <c r="I4" s="38"/>
      <c r="J4" s="38"/>
      <c r="K4" s="38"/>
      <c r="L4" s="38"/>
      <c r="M4" s="38"/>
      <c r="N4" s="38"/>
      <c r="O4" s="38"/>
      <c r="P4" s="38"/>
      <c r="Q4" s="38"/>
      <c r="R4" s="38"/>
      <c r="S4" s="38"/>
      <c r="T4" s="38"/>
      <c r="U4" s="38"/>
      <c r="V4" s="38"/>
      <c r="W4" s="38"/>
      <c r="X4" s="38"/>
      <c r="Y4" s="38"/>
      <c r="Z4" s="38"/>
      <c r="AA4" s="38"/>
    </row>
    <row r="5" spans="1:28" ht="19.5" customHeight="1">
      <c r="A5" s="800"/>
      <c r="B5" s="125"/>
      <c r="D5" s="119"/>
      <c r="E5" s="40"/>
      <c r="F5" s="40"/>
      <c r="G5" s="40"/>
      <c r="H5" s="40"/>
      <c r="I5" s="40"/>
      <c r="J5" s="1156" t="s">
        <v>1075</v>
      </c>
      <c r="K5" s="1156"/>
      <c r="L5" s="1156"/>
      <c r="M5" s="1156"/>
      <c r="N5" s="1156"/>
      <c r="O5" s="1156"/>
      <c r="P5" s="1156"/>
      <c r="Q5" s="1156"/>
      <c r="R5" s="1156"/>
      <c r="S5" s="1156"/>
      <c r="T5" s="1156"/>
      <c r="U5" s="1156"/>
      <c r="V5" s="169" t="s">
        <v>1075</v>
      </c>
      <c r="W5" s="1156" t="s">
        <v>1076</v>
      </c>
      <c r="X5" s="1156"/>
      <c r="Y5" s="1156"/>
      <c r="Z5" s="1156"/>
      <c r="AA5" s="169" t="s">
        <v>1076</v>
      </c>
    </row>
    <row r="6" spans="1:28" ht="24" thickBot="1">
      <c r="A6" s="146"/>
      <c r="B6" s="146"/>
      <c r="C6" s="38" t="s">
        <v>303</v>
      </c>
      <c r="D6" s="38"/>
      <c r="E6" s="38"/>
      <c r="F6" s="38"/>
      <c r="G6" s="38"/>
      <c r="H6" s="38"/>
      <c r="I6" s="38"/>
      <c r="J6" s="170"/>
      <c r="K6" s="153">
        <v>1</v>
      </c>
      <c r="L6" s="171"/>
      <c r="M6" s="170"/>
      <c r="N6" s="153">
        <v>2</v>
      </c>
      <c r="O6" s="171"/>
      <c r="P6" s="170"/>
      <c r="Q6" s="153">
        <v>3</v>
      </c>
      <c r="R6" s="171"/>
      <c r="S6" s="170"/>
      <c r="T6" s="153">
        <v>4</v>
      </c>
      <c r="U6" s="171"/>
      <c r="V6" s="172" t="s">
        <v>46</v>
      </c>
      <c r="W6" s="152">
        <v>1</v>
      </c>
      <c r="X6" s="152">
        <v>2</v>
      </c>
      <c r="Y6" s="152">
        <v>3</v>
      </c>
      <c r="Z6" s="152">
        <v>4</v>
      </c>
      <c r="AA6" s="172" t="s">
        <v>46</v>
      </c>
    </row>
    <row r="7" spans="1:28" ht="17.25" customHeight="1">
      <c r="A7" s="800"/>
      <c r="B7" s="125"/>
      <c r="C7" s="191" t="str">
        <f>"   (all figures in " &amp;Currency_Label &amp;")"</f>
        <v xml:space="preserve">   (all figures in USD)</v>
      </c>
      <c r="D7" s="119"/>
      <c r="E7" s="40"/>
      <c r="F7" s="40"/>
      <c r="G7" s="68"/>
      <c r="H7" s="40"/>
      <c r="I7" s="151" t="s">
        <v>565</v>
      </c>
      <c r="J7" s="812">
        <v>43070</v>
      </c>
      <c r="K7" s="812">
        <v>43101</v>
      </c>
      <c r="L7" s="812">
        <v>43132</v>
      </c>
      <c r="M7" s="812">
        <v>43160</v>
      </c>
      <c r="N7" s="812">
        <v>43191</v>
      </c>
      <c r="O7" s="812">
        <v>43221</v>
      </c>
      <c r="P7" s="812">
        <v>43252</v>
      </c>
      <c r="Q7" s="812">
        <v>43282</v>
      </c>
      <c r="R7" s="812">
        <v>43313</v>
      </c>
      <c r="S7" s="812">
        <v>43344</v>
      </c>
      <c r="T7" s="812">
        <v>43374</v>
      </c>
      <c r="U7" s="812">
        <v>43405</v>
      </c>
      <c r="V7" s="813">
        <v>43132</v>
      </c>
      <c r="W7" s="812">
        <v>43435</v>
      </c>
      <c r="X7" s="812">
        <v>43525</v>
      </c>
      <c r="Y7" s="812">
        <v>43617</v>
      </c>
      <c r="Z7" s="812">
        <v>43709</v>
      </c>
      <c r="AA7" s="813">
        <v>43435</v>
      </c>
    </row>
    <row r="8" spans="1:28" ht="17.25" customHeight="1">
      <c r="A8" s="800"/>
      <c r="B8" s="125"/>
      <c r="D8" s="119"/>
      <c r="E8" s="40"/>
      <c r="F8" s="40"/>
      <c r="G8" s="68"/>
      <c r="H8" s="40"/>
      <c r="I8" s="151" t="s">
        <v>566</v>
      </c>
      <c r="J8" s="812">
        <v>43100</v>
      </c>
      <c r="K8" s="812">
        <v>43131</v>
      </c>
      <c r="L8" s="812">
        <v>43159</v>
      </c>
      <c r="M8" s="812">
        <v>43190</v>
      </c>
      <c r="N8" s="812">
        <v>43220</v>
      </c>
      <c r="O8" s="812">
        <v>43251</v>
      </c>
      <c r="P8" s="812">
        <v>43281</v>
      </c>
      <c r="Q8" s="812">
        <v>43312</v>
      </c>
      <c r="R8" s="812">
        <v>43343</v>
      </c>
      <c r="S8" s="812">
        <v>43373</v>
      </c>
      <c r="T8" s="812">
        <v>43404</v>
      </c>
      <c r="U8" s="812">
        <v>43434</v>
      </c>
      <c r="V8" s="813">
        <v>43434</v>
      </c>
      <c r="W8" s="812">
        <v>43524</v>
      </c>
      <c r="X8" s="812">
        <v>43616</v>
      </c>
      <c r="Y8" s="812">
        <v>43708</v>
      </c>
      <c r="Z8" s="812">
        <v>43799</v>
      </c>
      <c r="AA8" s="813">
        <v>43799</v>
      </c>
    </row>
    <row r="9" spans="1:28" ht="20.25">
      <c r="A9" s="800"/>
      <c r="B9" s="125"/>
      <c r="C9" s="2" t="str">
        <f>IF(IFS!C100="","",IFS!C100)</f>
        <v>Cash Inflows</v>
      </c>
      <c r="L9" s="154"/>
      <c r="M9" s="155"/>
      <c r="O9" s="154"/>
      <c r="P9" s="155"/>
      <c r="R9" s="154"/>
      <c r="S9" s="155"/>
      <c r="V9" s="140"/>
      <c r="W9" s="154"/>
      <c r="X9" s="164"/>
      <c r="Y9" s="164"/>
      <c r="Z9" s="155"/>
      <c r="AA9" s="140"/>
    </row>
    <row r="10" spans="1:28" ht="16.5" customHeight="1">
      <c r="A10" s="800"/>
      <c r="B10" s="125"/>
      <c r="C10" s="199" t="str">
        <f>IF(IFS!C101="","",IFS!C101)</f>
        <v>Cash collected from sales (incl. VAT)</v>
      </c>
      <c r="J10" s="139">
        <f>SUMIF(Timing!$J$5:$AG$5,J$8,IFS!$J101:$AG101)</f>
        <v>0</v>
      </c>
      <c r="K10" s="139">
        <f>SUMIF(Timing!$J$5:$AG$5,K$8,IFS!$J101:$AG101)</f>
        <v>0</v>
      </c>
      <c r="L10" s="156">
        <f ca="1">SUMIF(Timing!$J$5:$AG$5,L$8,IFS!$J101:$AG101)</f>
        <v>2654.5333333333333</v>
      </c>
      <c r="M10" s="157">
        <f ca="1">SUMIF(Timing!$J$5:$AG$5,M$8,IFS!$J101:$AG101)</f>
        <v>2306.5333333333333</v>
      </c>
      <c r="N10" s="139">
        <f ca="1">SUMIF(Timing!$J$5:$AG$5,N$8,IFS!$J101:$AG101)</f>
        <v>2422.5333333333333</v>
      </c>
      <c r="O10" s="156">
        <f ca="1">SUMIF(Timing!$J$5:$AG$5,O$8,IFS!$J101:$AG101)</f>
        <v>58640.135333333332</v>
      </c>
      <c r="P10" s="157">
        <f ca="1">SUMIF(Timing!$J$5:$AG$5,P$8,IFS!$J101:$AG101)</f>
        <v>2654.5333333333333</v>
      </c>
      <c r="Q10" s="139">
        <f ca="1">SUMIF(Timing!$J$5:$AG$5,Q$8,IFS!$J101:$AG101)</f>
        <v>2654.5333333333333</v>
      </c>
      <c r="R10" s="156">
        <f ca="1">SUMIF(Timing!$J$5:$AG$5,R$8,IFS!$J101:$AG101)</f>
        <v>119840.23196800001</v>
      </c>
      <c r="S10" s="157">
        <f ca="1">SUMIF(Timing!$J$5:$AG$5,S$8,IFS!$J101:$AG101)</f>
        <v>1821.2</v>
      </c>
      <c r="T10" s="139">
        <f ca="1">SUMIF(Timing!$J$5:$AG$5,T$8,IFS!$J101:$AG101)</f>
        <v>1821.2</v>
      </c>
      <c r="U10" s="139">
        <f ca="1">SUMIF(Timing!$J$5:$AG$5,U$8,IFS!$J101:$AG101)</f>
        <v>192001.91030456123</v>
      </c>
      <c r="V10" s="140">
        <f t="shared" ref="V10" ca="1" si="0">SUM(J10:U10)</f>
        <v>386817.34427256125</v>
      </c>
      <c r="W10" s="162">
        <f ca="1">SUMPRODUCT((Timing!$J$29:$AG$29=1)*(Timing!$J$15:$AG$15=2)*(IFS!$J101:$AG101))</f>
        <v>262961.95128602762</v>
      </c>
      <c r="X10" s="168">
        <f ca="1">SUMPRODUCT((Timing!$J$29:$AG$29=2)*(Timing!$J$15:$AG$15=2)*(IFS!$J101:$AG101))</f>
        <v>321074.51096511411</v>
      </c>
      <c r="Y10" s="168">
        <f ca="1">SUMPRODUCT((Timing!$J$29:$AG$29=3)*(Timing!$J$15:$AG$15=2)*(IFS!$J101:$AG101))</f>
        <v>385859.21280937141</v>
      </c>
      <c r="Z10" s="163">
        <f ca="1">SUMPRODUCT((Timing!$J$29:$AG$29=4)*(Timing!$J$15:$AG$15=2)*(IFS!$J101:$AG101))</f>
        <v>452401.41931602114</v>
      </c>
      <c r="AA10" s="140">
        <f t="shared" ref="AA10" ca="1" si="1">SUM(W10:Z10)</f>
        <v>1422297.0943765342</v>
      </c>
    </row>
    <row r="11" spans="1:28" ht="16.5" customHeight="1">
      <c r="A11" s="800"/>
      <c r="B11" s="125"/>
      <c r="C11" s="799" t="str">
        <f>IF(IFS!C102="","",IFS!C102)</f>
        <v>Changes in advances received</v>
      </c>
      <c r="J11" s="139">
        <f>SUMIF(Timing!$J$5:$AG$5,J$8,IFS!$J102:$AG102)</f>
        <v>0</v>
      </c>
      <c r="K11" s="139">
        <f>SUMIF(Timing!$J$5:$AG$5,K$8,IFS!$J102:$AG102)</f>
        <v>0</v>
      </c>
      <c r="L11" s="156">
        <f>SUMIF(Timing!$J$5:$AG$5,L$8,IFS!$J102:$AG102)</f>
        <v>0</v>
      </c>
      <c r="M11" s="157">
        <f>SUMIF(Timing!$J$5:$AG$5,M$8,IFS!$J102:$AG102)</f>
        <v>0</v>
      </c>
      <c r="N11" s="139">
        <f>SUMIF(Timing!$J$5:$AG$5,N$8,IFS!$J102:$AG102)</f>
        <v>3500</v>
      </c>
      <c r="O11" s="156">
        <f>SUMIF(Timing!$J$5:$AG$5,O$8,IFS!$J102:$AG102)</f>
        <v>0</v>
      </c>
      <c r="P11" s="157">
        <f>SUMIF(Timing!$J$5:$AG$5,P$8,IFS!$J102:$AG102)</f>
        <v>0</v>
      </c>
      <c r="Q11" s="139">
        <f>SUMIF(Timing!$J$5:$AG$5,Q$8,IFS!$J102:$AG102)</f>
        <v>0</v>
      </c>
      <c r="R11" s="156">
        <f>SUMIF(Timing!$J$5:$AG$5,R$8,IFS!$J102:$AG102)</f>
        <v>0</v>
      </c>
      <c r="S11" s="157">
        <f>SUMIF(Timing!$J$5:$AG$5,S$8,IFS!$J102:$AG102)</f>
        <v>0</v>
      </c>
      <c r="T11" s="139">
        <f>SUMIF(Timing!$J$5:$AG$5,T$8,IFS!$J102:$AG102)</f>
        <v>-2000</v>
      </c>
      <c r="U11" s="139">
        <f>SUMIF(Timing!$J$5:$AG$5,U$8,IFS!$J102:$AG102)</f>
        <v>0</v>
      </c>
      <c r="V11" s="140">
        <f t="shared" ref="V11:V14" si="2">SUM(J11:U11)</f>
        <v>1500</v>
      </c>
      <c r="W11" s="162">
        <f>SUMPRODUCT((Timing!$J$29:$AG$29=1)*(Timing!$J$15:$AG$15=2)*(IFS!$J102:$AG102))</f>
        <v>0</v>
      </c>
      <c r="X11" s="168">
        <f>SUMPRODUCT((Timing!$J$29:$AG$29=2)*(Timing!$J$15:$AG$15=2)*(IFS!$J102:$AG102))</f>
        <v>0</v>
      </c>
      <c r="Y11" s="168">
        <f>SUMPRODUCT((Timing!$J$29:$AG$29=3)*(Timing!$J$15:$AG$15=2)*(IFS!$J102:$AG102))</f>
        <v>0</v>
      </c>
      <c r="Z11" s="163">
        <f>SUMPRODUCT((Timing!$J$29:$AG$29=4)*(Timing!$J$15:$AG$15=2)*(IFS!$J102:$AG102))</f>
        <v>2750</v>
      </c>
      <c r="AA11" s="140">
        <f t="shared" ref="AA11:AA14" si="3">SUM(W11:Z11)</f>
        <v>2750</v>
      </c>
    </row>
    <row r="12" spans="1:28" ht="16.5" customHeight="1">
      <c r="A12" s="800"/>
      <c r="B12" s="125"/>
      <c r="C12" s="799" t="str">
        <f>IF(IFS!C103="","",IFS!C103)</f>
        <v>Other operating &amp; extraordinary income</v>
      </c>
      <c r="J12" s="139">
        <f>SUMIF(Timing!$J$5:$AG$5,J$8,IFS!$J103:$AG103)</f>
        <v>0</v>
      </c>
      <c r="K12" s="139">
        <f>SUMIF(Timing!$J$5:$AG$5,K$8,IFS!$J103:$AG103)</f>
        <v>0</v>
      </c>
      <c r="L12" s="156">
        <f>SUMIF(Timing!$J$5:$AG$5,L$8,IFS!$J103:$AG103)</f>
        <v>0</v>
      </c>
      <c r="M12" s="157">
        <f>SUMIF(Timing!$J$5:$AG$5,M$8,IFS!$J103:$AG103)</f>
        <v>0</v>
      </c>
      <c r="N12" s="139">
        <f>SUMIF(Timing!$J$5:$AG$5,N$8,IFS!$J103:$AG103)</f>
        <v>2750</v>
      </c>
      <c r="O12" s="156">
        <f>SUMIF(Timing!$J$5:$AG$5,O$8,IFS!$J103:$AG103)</f>
        <v>0</v>
      </c>
      <c r="P12" s="157">
        <f>SUMIF(Timing!$J$5:$AG$5,P$8,IFS!$J103:$AG103)</f>
        <v>0</v>
      </c>
      <c r="Q12" s="139">
        <f>SUMIF(Timing!$J$5:$AG$5,Q$8,IFS!$J103:$AG103)</f>
        <v>0</v>
      </c>
      <c r="R12" s="156">
        <f>SUMIF(Timing!$J$5:$AG$5,R$8,IFS!$J103:$AG103)</f>
        <v>0</v>
      </c>
      <c r="S12" s="157">
        <f>SUMIF(Timing!$J$5:$AG$5,S$8,IFS!$J103:$AG103)</f>
        <v>0</v>
      </c>
      <c r="T12" s="139">
        <f>SUMIF(Timing!$J$5:$AG$5,T$8,IFS!$J103:$AG103)</f>
        <v>0</v>
      </c>
      <c r="U12" s="139">
        <f>SUMIF(Timing!$J$5:$AG$5,U$8,IFS!$J103:$AG103)</f>
        <v>0</v>
      </c>
      <c r="V12" s="140">
        <f t="shared" si="2"/>
        <v>2750</v>
      </c>
      <c r="W12" s="162">
        <f>SUMPRODUCT((Timing!$J$29:$AG$29=1)*(Timing!$J$15:$AG$15=2)*(IFS!$J103:$AG103))</f>
        <v>0</v>
      </c>
      <c r="X12" s="168">
        <f>SUMPRODUCT((Timing!$J$29:$AG$29=2)*(Timing!$J$15:$AG$15=2)*(IFS!$J103:$AG103))</f>
        <v>0</v>
      </c>
      <c r="Y12" s="168">
        <f>SUMPRODUCT((Timing!$J$29:$AG$29=3)*(Timing!$J$15:$AG$15=2)*(IFS!$J103:$AG103))</f>
        <v>4550</v>
      </c>
      <c r="Z12" s="163">
        <f>SUMPRODUCT((Timing!$J$29:$AG$29=4)*(Timing!$J$15:$AG$15=2)*(IFS!$J103:$AG103))</f>
        <v>0</v>
      </c>
      <c r="AA12" s="140">
        <f t="shared" si="3"/>
        <v>4550</v>
      </c>
    </row>
    <row r="13" spans="1:28" ht="16.5" customHeight="1">
      <c r="A13" s="800"/>
      <c r="B13" s="125"/>
      <c r="C13" s="799" t="str">
        <f>IF(IFS!C104="","",IFS!C104)</f>
        <v>Fixed asset disposals (intangible &amp; tangible assets)</v>
      </c>
      <c r="J13" s="139">
        <f>SUMIF(Timing!$J$5:$AG$5,J$8,IFS!$J104:$AG104)</f>
        <v>0</v>
      </c>
      <c r="K13" s="139">
        <f>SUMIF(Timing!$J$5:$AG$5,K$8,IFS!$J104:$AG104)</f>
        <v>0</v>
      </c>
      <c r="L13" s="156">
        <f>SUMIF(Timing!$J$5:$AG$5,L$8,IFS!$J104:$AG104)</f>
        <v>0</v>
      </c>
      <c r="M13" s="157">
        <f>SUMIF(Timing!$J$5:$AG$5,M$8,IFS!$J104:$AG104)</f>
        <v>0</v>
      </c>
      <c r="N13" s="139">
        <f>SUMIF(Timing!$J$5:$AG$5,N$8,IFS!$J104:$AG104)</f>
        <v>0</v>
      </c>
      <c r="O13" s="156">
        <f>SUMIF(Timing!$J$5:$AG$5,O$8,IFS!$J104:$AG104)</f>
        <v>0</v>
      </c>
      <c r="P13" s="157">
        <f>SUMIF(Timing!$J$5:$AG$5,P$8,IFS!$J104:$AG104)</f>
        <v>0</v>
      </c>
      <c r="Q13" s="139">
        <f>SUMIF(Timing!$J$5:$AG$5,Q$8,IFS!$J104:$AG104)</f>
        <v>0</v>
      </c>
      <c r="R13" s="156">
        <f>SUMIF(Timing!$J$5:$AG$5,R$8,IFS!$J104:$AG104)</f>
        <v>0</v>
      </c>
      <c r="S13" s="157">
        <f>SUMIF(Timing!$J$5:$AG$5,S$8,IFS!$J104:$AG104)</f>
        <v>0</v>
      </c>
      <c r="T13" s="139">
        <f>SUMIF(Timing!$J$5:$AG$5,T$8,IFS!$J104:$AG104)</f>
        <v>0</v>
      </c>
      <c r="U13" s="139">
        <f>SUMIF(Timing!$J$5:$AG$5,U$8,IFS!$J104:$AG104)</f>
        <v>0</v>
      </c>
      <c r="V13" s="140">
        <f t="shared" si="2"/>
        <v>0</v>
      </c>
      <c r="W13" s="162">
        <f>SUMPRODUCT((Timing!$J$29:$AG$29=1)*(Timing!$J$15:$AG$15=2)*(IFS!$J104:$AG104))</f>
        <v>0</v>
      </c>
      <c r="X13" s="168">
        <f>SUMPRODUCT((Timing!$J$29:$AG$29=2)*(Timing!$J$15:$AG$15=2)*(IFS!$J104:$AG104))</f>
        <v>0</v>
      </c>
      <c r="Y13" s="168">
        <f>SUMPRODUCT((Timing!$J$29:$AG$29=3)*(Timing!$J$15:$AG$15=2)*(IFS!$J104:$AG104))</f>
        <v>7500</v>
      </c>
      <c r="Z13" s="163">
        <f>SUMPRODUCT((Timing!$J$29:$AG$29=4)*(Timing!$J$15:$AG$15=2)*(IFS!$J104:$AG104))</f>
        <v>0</v>
      </c>
      <c r="AA13" s="140">
        <f t="shared" si="3"/>
        <v>7500</v>
      </c>
    </row>
    <row r="14" spans="1:28" ht="16.5" customHeight="1">
      <c r="A14" s="800"/>
      <c r="B14" s="125"/>
      <c r="C14" s="799" t="str">
        <f>IF(IFS!C105="","",IFS!C105)</f>
        <v>Interest received on cash deposits</v>
      </c>
      <c r="J14" s="139">
        <f>SUMIF(Timing!$J$5:$AG$5,J$8,IFS!$J105:$AG105)</f>
        <v>0</v>
      </c>
      <c r="K14" s="139">
        <f>SUMIF(Timing!$J$5:$AG$5,K$8,IFS!$J105:$AG105)</f>
        <v>0</v>
      </c>
      <c r="L14" s="156">
        <f>SUMIF(Timing!$J$5:$AG$5,L$8,IFS!$J105:$AG105)</f>
        <v>0</v>
      </c>
      <c r="M14" s="157">
        <f ca="1">SUMIF(Timing!$J$5:$AG$5,M$8,IFS!$J105:$AG105)</f>
        <v>0</v>
      </c>
      <c r="N14" s="139">
        <f ca="1">SUMIF(Timing!$J$5:$AG$5,N$8,IFS!$J105:$AG105)</f>
        <v>0</v>
      </c>
      <c r="O14" s="156">
        <f ca="1">SUMIF(Timing!$J$5:$AG$5,O$8,IFS!$J105:$AG105)</f>
        <v>112.76995380952383</v>
      </c>
      <c r="P14" s="157">
        <f ca="1">SUMIF(Timing!$J$5:$AG$5,P$8,IFS!$J105:$AG105)</f>
        <v>135.66872078825526</v>
      </c>
      <c r="Q14" s="139">
        <f ca="1">SUMIF(Timing!$J$5:$AG$5,Q$8,IFS!$J105:$AG105)</f>
        <v>87.893928030075188</v>
      </c>
      <c r="R14" s="156">
        <f ca="1">SUMIF(Timing!$J$5:$AG$5,R$8,IFS!$J105:$AG105)</f>
        <v>37.093430759216716</v>
      </c>
      <c r="S14" s="157">
        <f ca="1">SUMIF(Timing!$J$5:$AG$5,S$8,IFS!$J105:$AG105)</f>
        <v>97.140572712524701</v>
      </c>
      <c r="T14" s="139">
        <f ca="1">SUMIF(Timing!$J$5:$AG$5,T$8,IFS!$J105:$AG105)</f>
        <v>19.480965519885757</v>
      </c>
      <c r="U14" s="139">
        <f ca="1">SUMIF(Timing!$J$5:$AG$5,U$8,IFS!$J105:$AG105)</f>
        <v>0</v>
      </c>
      <c r="V14" s="140">
        <f t="shared" ca="1" si="2"/>
        <v>490.04757161948146</v>
      </c>
      <c r="W14" s="162">
        <f ca="1">SUMPRODUCT((Timing!$J$29:$AG$29=1)*(Timing!$J$15:$AG$15=2)*(IFS!$J105:$AG105))</f>
        <v>296.06912492225507</v>
      </c>
      <c r="X14" s="168">
        <f ca="1">SUMPRODUCT((Timing!$J$29:$AG$29=2)*(Timing!$J$15:$AG$15=2)*(IFS!$J105:$AG105))</f>
        <v>183.67634331008733</v>
      </c>
      <c r="Y14" s="168">
        <f ca="1">SUMPRODUCT((Timing!$J$29:$AG$29=3)*(Timing!$J$15:$AG$15=2)*(IFS!$J105:$AG105))</f>
        <v>211.82653191722096</v>
      </c>
      <c r="Z14" s="163">
        <f ca="1">SUMPRODUCT((Timing!$J$29:$AG$29=4)*(Timing!$J$15:$AG$15=2)*(IFS!$J105:$AG105))</f>
        <v>432.31142400510191</v>
      </c>
      <c r="AA14" s="140">
        <f t="shared" ca="1" si="3"/>
        <v>1123.8834241546651</v>
      </c>
    </row>
    <row r="15" spans="1:28" ht="16.5" customHeight="1">
      <c r="A15" s="800"/>
      <c r="B15" s="125"/>
      <c r="C15" s="133" t="str">
        <f>IF(IFS!C106="","",IFS!C106)</f>
        <v xml:space="preserve">   Total Cash Inflows</v>
      </c>
      <c r="D15" s="132"/>
      <c r="E15" s="132"/>
      <c r="F15" s="132"/>
      <c r="G15" s="132"/>
      <c r="H15" s="132"/>
      <c r="I15" s="132"/>
      <c r="J15" s="148">
        <f t="shared" ref="J15:AA15" si="4">SUM(J10:J14)</f>
        <v>0</v>
      </c>
      <c r="K15" s="148">
        <f t="shared" si="4"/>
        <v>0</v>
      </c>
      <c r="L15" s="173">
        <f t="shared" ca="1" si="4"/>
        <v>2654.5333333333333</v>
      </c>
      <c r="M15" s="174">
        <f t="shared" ca="1" si="4"/>
        <v>2306.5333333333333</v>
      </c>
      <c r="N15" s="148">
        <f t="shared" ca="1" si="4"/>
        <v>8672.5333333333328</v>
      </c>
      <c r="O15" s="173">
        <f t="shared" ca="1" si="4"/>
        <v>58752.905287142858</v>
      </c>
      <c r="P15" s="174">
        <f t="shared" ca="1" si="4"/>
        <v>2790.2020541215884</v>
      </c>
      <c r="Q15" s="148">
        <f t="shared" ca="1" si="4"/>
        <v>2742.4272613634084</v>
      </c>
      <c r="R15" s="173">
        <f t="shared" ca="1" si="4"/>
        <v>119877.32539875922</v>
      </c>
      <c r="S15" s="174">
        <f t="shared" ca="1" si="4"/>
        <v>1918.3405727125248</v>
      </c>
      <c r="T15" s="148">
        <f t="shared" ca="1" si="4"/>
        <v>-159.3190344801142</v>
      </c>
      <c r="U15" s="148">
        <f t="shared" ca="1" si="4"/>
        <v>192001.91030456123</v>
      </c>
      <c r="V15" s="148">
        <f t="shared" ca="1" si="4"/>
        <v>391557.39184418076</v>
      </c>
      <c r="W15" s="173">
        <f t="shared" ca="1" si="4"/>
        <v>263258.02041094989</v>
      </c>
      <c r="X15" s="177">
        <f t="shared" ca="1" si="4"/>
        <v>321258.18730842421</v>
      </c>
      <c r="Y15" s="177">
        <f t="shared" ca="1" si="4"/>
        <v>398121.03934128862</v>
      </c>
      <c r="Z15" s="174">
        <f t="shared" ca="1" si="4"/>
        <v>455583.73074002622</v>
      </c>
      <c r="AA15" s="148">
        <f t="shared" ca="1" si="4"/>
        <v>1438220.9778006889</v>
      </c>
    </row>
    <row r="16" spans="1:28" ht="12" customHeight="1">
      <c r="A16" s="800"/>
      <c r="B16" s="125"/>
      <c r="C16" s="199" t="str">
        <f>IF(IFS!C107="","",IFS!C107)</f>
        <v/>
      </c>
      <c r="J16" s="138"/>
      <c r="L16" s="160"/>
      <c r="M16" s="161"/>
      <c r="O16" s="160"/>
      <c r="P16" s="161"/>
      <c r="R16" s="160"/>
      <c r="S16" s="161"/>
      <c r="V16" s="140"/>
      <c r="W16" s="160"/>
      <c r="X16" s="167"/>
      <c r="Y16" s="167"/>
      <c r="Z16" s="161"/>
      <c r="AA16" s="149"/>
    </row>
    <row r="17" spans="1:27" ht="20.25">
      <c r="A17" s="800"/>
      <c r="B17" s="125"/>
      <c r="C17" s="2" t="str">
        <f>IF(IFS!C108="","",IFS!C108)</f>
        <v>Cash Outflows</v>
      </c>
      <c r="J17" s="138"/>
      <c r="L17" s="160"/>
      <c r="M17" s="161"/>
      <c r="O17" s="160"/>
      <c r="P17" s="161"/>
      <c r="R17" s="160"/>
      <c r="S17" s="161"/>
      <c r="V17" s="140"/>
      <c r="W17" s="369"/>
      <c r="X17" s="167"/>
      <c r="Y17" s="167"/>
      <c r="Z17" s="161"/>
      <c r="AA17" s="149"/>
    </row>
    <row r="18" spans="1:27" ht="16.5" customHeight="1">
      <c r="A18" s="800"/>
      <c r="B18" s="125"/>
      <c r="C18" s="199" t="str">
        <f>IF(IFS!C109="","",IFS!C109)</f>
        <v>Revenue share</v>
      </c>
      <c r="J18" s="139">
        <f>SUMIF(Timing!$J$5:$AG$5,J$8,IFS!$J109:$AG109)</f>
        <v>0</v>
      </c>
      <c r="K18" s="139">
        <f>SUMIF(Timing!$J$5:$AG$5,K$8,IFS!$J109:$AG109)</f>
        <v>0</v>
      </c>
      <c r="L18" s="156">
        <f ca="1">SUMIF(Timing!$J$5:$AG$5,L$8,IFS!$J109:$AG109)</f>
        <v>-255</v>
      </c>
      <c r="M18" s="157">
        <f ca="1">SUMIF(Timing!$J$5:$AG$5,M$8,IFS!$J109:$AG109)</f>
        <v>-405</v>
      </c>
      <c r="N18" s="139">
        <f ca="1">SUMIF(Timing!$J$5:$AG$5,N$8,IFS!$J109:$AG109)</f>
        <v>-592.5</v>
      </c>
      <c r="O18" s="156">
        <f ca="1">SUMIF(Timing!$J$5:$AG$5,O$8,IFS!$J109:$AG109)</f>
        <v>-726.3</v>
      </c>
      <c r="P18" s="157">
        <f ca="1">SUMIF(Timing!$J$5:$AG$5,P$8,IFS!$J109:$AG109)</f>
        <v>-893.10000000000014</v>
      </c>
      <c r="Q18" s="139">
        <f ca="1">SUMIF(Timing!$J$5:$AG$5,Q$8,IFS!$J109:$AG109)</f>
        <v>-1059.0120000000002</v>
      </c>
      <c r="R18" s="156">
        <f ca="1">SUMIF(Timing!$J$5:$AG$5,R$8,IFS!$J109:$AG109)</f>
        <v>-1185.0484800000002</v>
      </c>
      <c r="S18" s="157">
        <f ca="1">SUMIF(Timing!$J$5:$AG$5,S$8,IFS!$J109:$AG109)</f>
        <v>-1337.1388992000002</v>
      </c>
      <c r="T18" s="139">
        <f ca="1">SUMIF(Timing!$J$5:$AG$5,T$8,IFS!$J109:$AG109)</f>
        <v>-1489.5673351680002</v>
      </c>
      <c r="U18" s="139">
        <f ca="1">SUMIF(Timing!$J$5:$AG$5,U$8,IFS!$J109:$AG109)</f>
        <v>-1612.7437885747199</v>
      </c>
      <c r="V18" s="140">
        <f t="shared" ref="V18" ca="1" si="5">SUM(J18:U18)</f>
        <v>-9555.410502942721</v>
      </c>
      <c r="W18" s="162">
        <f ca="1">SUMPRODUCT((Timing!$J$29:$AG$29=1)*(Timing!$J$15:$AG$15=2)*(IFS!$J109:$AG109))</f>
        <v>-5685.8115745511213</v>
      </c>
      <c r="X18" s="168">
        <f ca="1">SUMPRODUCT((Timing!$J$29:$AG$29=2)*(Timing!$J$15:$AG$15=2)*(IFS!$J109:$AG109))</f>
        <v>-6921.7106395930696</v>
      </c>
      <c r="Y18" s="168">
        <f ca="1">SUMPRODUCT((Timing!$J$29:$AG$29=3)*(Timing!$J$15:$AG$15=2)*(IFS!$J109:$AG109))</f>
        <v>-8185.7019922290892</v>
      </c>
      <c r="Z18" s="163">
        <f ca="1">SUMPRODUCT((Timing!$J$29:$AG$29=4)*(Timing!$J$15:$AG$15=2)*(IFS!$J109:$AG109))</f>
        <v>-9511.5878310405242</v>
      </c>
      <c r="AA18" s="140">
        <f t="shared" ref="AA18" ca="1" si="6">SUM(W18:Z18)</f>
        <v>-30304.812037413805</v>
      </c>
    </row>
    <row r="19" spans="1:27" ht="16.5" customHeight="1">
      <c r="A19" s="800"/>
      <c r="B19" s="125"/>
      <c r="C19" s="799" t="str">
        <f>IF(IFS!C110="","",IFS!C110)</f>
        <v>Other Direct Costs (incl. VAT)</v>
      </c>
      <c r="J19" s="139">
        <f>SUMIF(Timing!$J$5:$AG$5,J$8,IFS!$J110:$AG110)</f>
        <v>0</v>
      </c>
      <c r="K19" s="139">
        <f>SUMIF(Timing!$J$5:$AG$5,K$8,IFS!$J110:$AG110)</f>
        <v>0</v>
      </c>
      <c r="L19" s="156">
        <f ca="1">SUMIF(Timing!$J$5:$AG$5,L$8,IFS!$J110:$AG110)</f>
        <v>-912.4559999999999</v>
      </c>
      <c r="M19" s="157">
        <f ca="1">SUMIF(Timing!$J$5:$AG$5,M$8,IFS!$J110:$AG110)</f>
        <v>-1353.2559999999999</v>
      </c>
      <c r="N19" s="139">
        <f ca="1">SUMIF(Timing!$J$5:$AG$5,N$8,IFS!$J110:$AG110)</f>
        <v>-1904.2560000000005</v>
      </c>
      <c r="O19" s="156">
        <f ca="1">SUMIF(Timing!$J$5:$AG$5,O$8,IFS!$J110:$AG110)</f>
        <v>-3560.6652399999994</v>
      </c>
      <c r="P19" s="157">
        <f ca="1">SUMIF(Timing!$J$5:$AG$5,P$8,IFS!$J110:$AG110)</f>
        <v>-3005.5947999999999</v>
      </c>
      <c r="Q19" s="139">
        <f ca="1">SUMIF(Timing!$J$5:$AG$5,Q$8,IFS!$J110:$AG110)</f>
        <v>-3597.8448639999992</v>
      </c>
      <c r="R19" s="156">
        <f ca="1">SUMIF(Timing!$J$5:$AG$5,R$8,IFS!$J110:$AG110)</f>
        <v>-6529.1999099200011</v>
      </c>
      <c r="S19" s="157">
        <f ca="1">SUMIF(Timing!$J$5:$AG$5,S$8,IFS!$J110:$AG110)</f>
        <v>-4790.0829397824009</v>
      </c>
      <c r="T19" s="139">
        <f ca="1">SUMIF(Timing!$J$5:$AG$5,T$8,IFS!$J110:$AG110)</f>
        <v>-5430.1112157736961</v>
      </c>
      <c r="U19" s="139">
        <f ca="1">SUMIF(Timing!$J$5:$AG$5,U$8,IFS!$J110:$AG110)</f>
        <v>-9729.6837458958689</v>
      </c>
      <c r="V19" s="140">
        <f t="shared" ref="V19:V34" ca="1" si="7">SUM(J19:U19)</f>
        <v>-40813.150715371965</v>
      </c>
      <c r="W19" s="162">
        <f ca="1">SUMPRODUCT((Timing!$J$29:$AG$29=1)*(Timing!$J$15:$AG$15=2)*(IFS!$J110:$AG110))</f>
        <v>-26408.64161426085</v>
      </c>
      <c r="X19" s="165">
        <f ca="1">SUMPRODUCT((Timing!$J$29:$AG$29=2)*(Timing!$J$15:$AG$15=2)*(IFS!$J110:$AG110))</f>
        <v>-32574.173006650475</v>
      </c>
      <c r="Y19" s="165">
        <f ca="1">SUMPRODUCT((Timing!$J$29:$AG$29=3)*(Timing!$J$15:$AG$15=2)*(IFS!$J110:$AG110))</f>
        <v>-38915.888848772447</v>
      </c>
      <c r="Z19" s="157">
        <f ca="1">SUMPRODUCT((Timing!$J$29:$AG$29=4)*(Timing!$J$15:$AG$15=2)*(IFS!$J110:$AG110))</f>
        <v>-45485.757387875361</v>
      </c>
      <c r="AA19" s="140">
        <f t="shared" ref="AA19:AA34" ca="1" si="8">SUM(W19:Z19)</f>
        <v>-143384.46085755911</v>
      </c>
    </row>
    <row r="20" spans="1:27" s="878" customFormat="1" ht="16.5" customHeight="1">
      <c r="A20" s="800"/>
      <c r="B20" s="800"/>
      <c r="C20" s="878" t="str">
        <f>IF(IFS!C111="","",IFS!C111)</f>
        <v>Changes in inventory (incl. VAT)</v>
      </c>
      <c r="J20" s="139">
        <f>SUMIF(Timing!$J$5:$AG$5,J$8,IFS!$J111:$AG111)</f>
        <v>0</v>
      </c>
      <c r="K20" s="139">
        <f>SUMIF(Timing!$J$5:$AG$5,K$8,IFS!$J111:$AG111)</f>
        <v>0</v>
      </c>
      <c r="L20" s="156">
        <f ca="1">SUMIF(Timing!$J$5:$AG$5,L$8,IFS!$J111:$AG111)</f>
        <v>-2206.0714285714289</v>
      </c>
      <c r="M20" s="157">
        <f ca="1">SUMIF(Timing!$J$5:$AG$5,M$8,IFS!$J111:$AG111)</f>
        <v>-1301.9930875576031</v>
      </c>
      <c r="N20" s="139">
        <f ca="1">SUMIF(Timing!$J$5:$AG$5,N$8,IFS!$J111:$AG111)</f>
        <v>-2354.7688172043008</v>
      </c>
      <c r="O20" s="156">
        <f ca="1">SUMIF(Timing!$J$5:$AG$5,O$8,IFS!$J111:$AG111)</f>
        <v>-1885.8544086021502</v>
      </c>
      <c r="P20" s="157">
        <f ca="1">SUMIF(Timing!$J$5:$AG$5,P$8,IFS!$J111:$AG111)</f>
        <v>-2803.0202580645182</v>
      </c>
      <c r="Q20" s="139">
        <f ca="1">SUMIF(Timing!$J$5:$AG$5,Q$8,IFS!$J111:$AG111)</f>
        <v>-1921.1014451612898</v>
      </c>
      <c r="R20" s="156">
        <f ca="1">SUMIF(Timing!$J$5:$AG$5,R$8,IFS!$J111:$AG111)</f>
        <v>-2662.6057455483915</v>
      </c>
      <c r="S20" s="157">
        <f ca="1">SUMIF(Timing!$J$5:$AG$5,S$8,IFS!$J111:$AG111)</f>
        <v>-3351.976052639654</v>
      </c>
      <c r="T20" s="139">
        <f ca="1">SUMIF(Timing!$J$5:$AG$5,T$8,IFS!$J111:$AG111)</f>
        <v>-2135.4898180861251</v>
      </c>
      <c r="U20" s="139">
        <f ca="1">SUMIF(Timing!$J$5:$AG$5,U$8,IFS!$J111:$AG111)</f>
        <v>-3007.9480867205139</v>
      </c>
      <c r="V20" s="140">
        <f t="shared" ref="V20" ca="1" si="9">SUM(J20:U20)</f>
        <v>-23630.829148155975</v>
      </c>
      <c r="W20" s="162">
        <f ca="1">SUMPRODUCT((Timing!$J$29:$AG$29=1)*(Timing!$J$15:$AG$15=2)*(IFS!$J111:$AG111))</f>
        <v>-8520.1916656084468</v>
      </c>
      <c r="X20" s="165">
        <f ca="1">SUMPRODUCT((Timing!$J$29:$AG$29=2)*(Timing!$J$15:$AG$15=2)*(IFS!$J111:$AG111))</f>
        <v>-3627.1965764753941</v>
      </c>
      <c r="Y20" s="165">
        <f ca="1">SUMPRODUCT((Timing!$J$29:$AG$29=3)*(Timing!$J$15:$AG$15=2)*(IFS!$J111:$AG111))</f>
        <v>-6993.1809975691267</v>
      </c>
      <c r="Z20" s="157">
        <f ca="1">SUMPRODUCT((Timing!$J$29:$AG$29=4)*(Timing!$J$15:$AG$15=2)*(IFS!$J111:$AG111))</f>
        <v>-9061.5207690171519</v>
      </c>
      <c r="AA20" s="140">
        <f t="shared" ref="AA20" ca="1" si="10">SUM(W20:Z20)</f>
        <v>-28202.090008670122</v>
      </c>
    </row>
    <row r="21" spans="1:27" ht="16.5" customHeight="1">
      <c r="A21" s="800"/>
      <c r="B21" s="125"/>
      <c r="C21" s="799" t="str">
        <f>IF(IFS!C112="","",IFS!C112)</f>
        <v>Overheads (incl. VAT)</v>
      </c>
      <c r="J21" s="139">
        <f>SUMIF(Timing!$J$5:$AG$5,J$8,IFS!$J112:$AG112)</f>
        <v>0</v>
      </c>
      <c r="K21" s="139">
        <f>SUMIF(Timing!$J$5:$AG$5,K$8,IFS!$J112:$AG112)</f>
        <v>0</v>
      </c>
      <c r="L21" s="156">
        <f ca="1">SUMIF(Timing!$J$5:$AG$5,L$8,IFS!$J112:$AG112)</f>
        <v>-13772.273333333333</v>
      </c>
      <c r="M21" s="157">
        <f ca="1">SUMIF(Timing!$J$5:$AG$5,M$8,IFS!$J112:$AG112)</f>
        <v>-19894.406666666666</v>
      </c>
      <c r="N21" s="139">
        <f ca="1">SUMIF(Timing!$J$5:$AG$5,N$8,IFS!$J112:$AG112)</f>
        <v>-21592.906666666669</v>
      </c>
      <c r="O21" s="156">
        <f ca="1">SUMIF(Timing!$J$5:$AG$5,O$8,IFS!$J112:$AG112)</f>
        <v>-27095.934666666668</v>
      </c>
      <c r="P21" s="157">
        <f ca="1">SUMIF(Timing!$J$5:$AG$5,P$8,IFS!$J112:$AG112)</f>
        <v>-32149.641999999996</v>
      </c>
      <c r="Q21" s="139">
        <f ca="1">SUMIF(Timing!$J$5:$AG$5,Q$8,IFS!$J112:$AG112)</f>
        <v>-28683.911160000003</v>
      </c>
      <c r="R21" s="156">
        <f ca="1">SUMIF(Timing!$J$5:$AG$5,R$8,IFS!$J112:$AG112)</f>
        <v>-31268.645165733335</v>
      </c>
      <c r="S21" s="157">
        <f ca="1">SUMIF(Timing!$J$5:$AG$5,S$8,IFS!$J112:$AG112)</f>
        <v>-37351.496138489332</v>
      </c>
      <c r="T21" s="139">
        <f ca="1">SUMIF(Timing!$J$5:$AG$5,T$8,IFS!$J112:$AG112)</f>
        <v>-36646.445210656842</v>
      </c>
      <c r="U21" s="139">
        <f ca="1">SUMIF(Timing!$J$5:$AG$5,U$8,IFS!$J112:$AG112)</f>
        <v>-37568.430613617325</v>
      </c>
      <c r="V21" s="140">
        <f t="shared" ca="1" si="7"/>
        <v>-286024.09162183019</v>
      </c>
      <c r="W21" s="162">
        <f ca="1">SUMPRODUCT((Timing!$J$29:$AG$29=1)*(Timing!$J$15:$AG$15=2)*(IFS!$J112:$AG112))</f>
        <v>-121663.86650302318</v>
      </c>
      <c r="X21" s="165">
        <f ca="1">SUMPRODUCT((Timing!$J$29:$AG$29=2)*(Timing!$J$15:$AG$15=2)*(IFS!$J112:$AG112))</f>
        <v>-146489.97550988739</v>
      </c>
      <c r="Y21" s="165">
        <f ca="1">SUMPRODUCT((Timing!$J$29:$AG$29=3)*(Timing!$J$15:$AG$15=2)*(IFS!$J112:$AG112))</f>
        <v>-166447.39111980097</v>
      </c>
      <c r="Z21" s="157">
        <f ca="1">SUMPRODUCT((Timing!$J$29:$AG$29=4)*(Timing!$J$15:$AG$15=2)*(IFS!$J112:$AG112))</f>
        <v>-186355.19972496218</v>
      </c>
      <c r="AA21" s="140">
        <f t="shared" ca="1" si="8"/>
        <v>-620956.43285767373</v>
      </c>
    </row>
    <row r="22" spans="1:27" ht="16.5" customHeight="1">
      <c r="A22" s="800"/>
      <c r="B22" s="125"/>
      <c r="C22" s="799" t="str">
        <f>IF(IFS!C113="","",IFS!C113)</f>
        <v>Direct labor expenses (w/o social insurance+income tax)</v>
      </c>
      <c r="J22" s="139">
        <f>SUMIF(Timing!$J$5:$AG$5,J$8,IFS!$J113:$AG113)</f>
        <v>0</v>
      </c>
      <c r="K22" s="139">
        <f>SUMIF(Timing!$J$5:$AG$5,K$8,IFS!$J113:$AG113)</f>
        <v>0</v>
      </c>
      <c r="L22" s="156">
        <f ca="1">SUMIF(Timing!$J$5:$AG$5,L$8,IFS!$J113:$AG113)</f>
        <v>-1260.6300000000001</v>
      </c>
      <c r="M22" s="157">
        <f ca="1">SUMIF(Timing!$J$5:$AG$5,M$8,IFS!$J113:$AG113)</f>
        <v>-1869.63</v>
      </c>
      <c r="N22" s="139">
        <f ca="1">SUMIF(Timing!$J$5:$AG$5,N$8,IFS!$J113:$AG113)</f>
        <v>-2630.8800000000006</v>
      </c>
      <c r="O22" s="156">
        <f ca="1">SUMIF(Timing!$J$5:$AG$5,O$8,IFS!$J113:$AG113)</f>
        <v>-3359.5484999999999</v>
      </c>
      <c r="P22" s="157">
        <f ca="1">SUMIF(Timing!$J$5:$AG$5,P$8,IFS!$J113:$AG113)</f>
        <v>-4152.4665000000005</v>
      </c>
      <c r="Q22" s="139">
        <f ca="1">SUMIF(Timing!$J$5:$AG$5,Q$8,IFS!$J113:$AG113)</f>
        <v>-4970.7067200000001</v>
      </c>
      <c r="R22" s="156">
        <f ca="1">SUMIF(Timing!$J$5:$AG$5,R$8,IFS!$J113:$AG113)</f>
        <v>-5761.7966237999999</v>
      </c>
      <c r="S22" s="157">
        <f ca="1">SUMIF(Timing!$J$5:$AG$5,S$8,IFS!$J113:$AG113)</f>
        <v>-6617.8777457520018</v>
      </c>
      <c r="T22" s="139">
        <f ca="1">SUMIF(Timing!$J$5:$AG$5,T$8,IFS!$J113:$AG113)</f>
        <v>-7502.127337582082</v>
      </c>
      <c r="U22" s="139">
        <f ca="1">SUMIF(Timing!$J$5:$AG$5,U$8,IFS!$J113:$AG113)</f>
        <v>-8187.3329168353639</v>
      </c>
      <c r="V22" s="140">
        <f t="shared" ca="1" si="7"/>
        <v>-46312.996343969455</v>
      </c>
      <c r="W22" s="162">
        <f ca="1">SUMPRODUCT((Timing!$J$29:$AG$29=1)*(Timing!$J$15:$AG$15=2)*(IFS!$J113:$AG113))</f>
        <v>-29581.570180650349</v>
      </c>
      <c r="X22" s="165">
        <f ca="1">SUMPRODUCT((Timing!$J$29:$AG$29=2)*(Timing!$J$15:$AG$15=2)*(IFS!$J113:$AG113))</f>
        <v>-36645.793489451004</v>
      </c>
      <c r="Y22" s="165">
        <f ca="1">SUMPRODUCT((Timing!$J$29:$AG$29=3)*(Timing!$J$15:$AG$15=2)*(IFS!$J113:$AG113))</f>
        <v>-43686.985758468967</v>
      </c>
      <c r="Z22" s="157">
        <f ca="1">SUMPRODUCT((Timing!$J$29:$AG$29=4)*(Timing!$J$15:$AG$15=2)*(IFS!$J113:$AG113))</f>
        <v>-50997.492844932916</v>
      </c>
      <c r="AA22" s="140">
        <f t="shared" ca="1" si="8"/>
        <v>-160911.84227350325</v>
      </c>
    </row>
    <row r="23" spans="1:27" ht="16.5" customHeight="1">
      <c r="A23" s="800"/>
      <c r="B23" s="125"/>
      <c r="C23" s="799" t="str">
        <f>IF(IFS!C114="","",IFS!C114)</f>
        <v>Social insurance &amp; income tax (PAYE/Payroll withholdings)</v>
      </c>
      <c r="J23" s="139">
        <f>SUMIF(Timing!$J$5:$AG$5,J$8,IFS!$J114:$AG114)</f>
        <v>0</v>
      </c>
      <c r="K23" s="139">
        <f>SUMIF(Timing!$J$5:$AG$5,K$8,IFS!$J114:$AG114)</f>
        <v>0</v>
      </c>
      <c r="L23" s="156">
        <f>SUMIF(Timing!$J$5:$AG$5,L$8,IFS!$J114:$AG114)</f>
        <v>0</v>
      </c>
      <c r="M23" s="157">
        <f ca="1">SUMIF(Timing!$J$5:$AG$5,M$8,IFS!$J114:$AG114)</f>
        <v>-1774.7555555555555</v>
      </c>
      <c r="N23" s="139">
        <f ca="1">SUMIF(Timing!$J$5:$AG$5,N$8,IFS!$J114:$AG114)</f>
        <v>-2140.3111111111116</v>
      </c>
      <c r="O23" s="156">
        <f ca="1">SUMIF(Timing!$J$5:$AG$5,O$8,IFS!$J114:$AG114)</f>
        <v>-2493.0888888888894</v>
      </c>
      <c r="P23" s="157">
        <f ca="1">SUMIF(Timing!$J$5:$AG$5,P$8,IFS!$J114:$AG114)</f>
        <v>-2778.1844444444446</v>
      </c>
      <c r="Q23" s="139">
        <f ca="1">SUMIF(Timing!$J$5:$AG$5,Q$8,IFS!$J114:$AG114)</f>
        <v>-3087.7488888888893</v>
      </c>
      <c r="R23" s="156">
        <f ca="1">SUMIF(Timing!$J$5:$AG$5,R$8,IFS!$J114:$AG114)</f>
        <v>-3990.6492444444448</v>
      </c>
      <c r="S23" s="157">
        <f ca="1">SUMIF(Timing!$J$5:$AG$5,S$8,IFS!$J114:$AG114)</f>
        <v>-4300.7119475555564</v>
      </c>
      <c r="T23" s="139">
        <f ca="1">SUMIF(Timing!$J$5:$AG$5,T$8,IFS!$J114:$AG114)</f>
        <v>-5718.9223054577797</v>
      </c>
      <c r="U23" s="139">
        <f ca="1">SUMIF(Timing!$J$5:$AG$5,U$8,IFS!$J114:$AG114)</f>
        <v>-6064.9334110094233</v>
      </c>
      <c r="V23" s="140">
        <f t="shared" ca="1" si="7"/>
        <v>-32349.305797356097</v>
      </c>
      <c r="W23" s="162">
        <f ca="1">SUMPRODUCT((Timing!$J$29:$AG$29=1)*(Timing!$J$15:$AG$15=2)*(IFS!$J114:$AG114))</f>
        <v>-20069.280623607738</v>
      </c>
      <c r="X23" s="165">
        <f ca="1">SUMPRODUCT((Timing!$J$29:$AG$29=2)*(Timing!$J$15:$AG$15=2)*(IFS!$J114:$AG114))</f>
        <v>-24185.691425211902</v>
      </c>
      <c r="Y23" s="165">
        <f ca="1">SUMPRODUCT((Timing!$J$29:$AG$29=3)*(Timing!$J$15:$AG$15=2)*(IFS!$J114:$AG114))</f>
        <v>-27587.540031345168</v>
      </c>
      <c r="Z23" s="157">
        <f ca="1">SUMPRODUCT((Timing!$J$29:$AG$29=4)*(Timing!$J$15:$AG$15=2)*(IFS!$J114:$AG114))</f>
        <v>-32269.188293990475</v>
      </c>
      <c r="AA23" s="140">
        <f t="shared" ca="1" si="8"/>
        <v>-104111.70037415528</v>
      </c>
    </row>
    <row r="24" spans="1:27" ht="16.5" customHeight="1">
      <c r="A24" s="800"/>
      <c r="B24" s="125"/>
      <c r="C24" s="799" t="str">
        <f>IF(IFS!C115="","",IFS!C115)</f>
        <v>Extraordinary expenses</v>
      </c>
      <c r="J24" s="139">
        <f>SUMIF(Timing!$J$5:$AG$5,J$8,IFS!$J115:$AG115)</f>
        <v>0</v>
      </c>
      <c r="K24" s="139">
        <f>SUMIF(Timing!$J$5:$AG$5,K$8,IFS!$J115:$AG115)</f>
        <v>0</v>
      </c>
      <c r="L24" s="156">
        <f>SUMIF(Timing!$J$5:$AG$5,L$8,IFS!$J115:$AG115)</f>
        <v>0</v>
      </c>
      <c r="M24" s="157">
        <f>SUMIF(Timing!$J$5:$AG$5,M$8,IFS!$J115:$AG115)</f>
        <v>0</v>
      </c>
      <c r="N24" s="139">
        <f>SUMIF(Timing!$J$5:$AG$5,N$8,IFS!$J115:$AG115)</f>
        <v>0</v>
      </c>
      <c r="O24" s="156">
        <f>SUMIF(Timing!$J$5:$AG$5,O$8,IFS!$J115:$AG115)</f>
        <v>0</v>
      </c>
      <c r="P24" s="157">
        <f>SUMIF(Timing!$J$5:$AG$5,P$8,IFS!$J115:$AG115)</f>
        <v>0</v>
      </c>
      <c r="Q24" s="139">
        <f>SUMIF(Timing!$J$5:$AG$5,Q$8,IFS!$J115:$AG115)</f>
        <v>0</v>
      </c>
      <c r="R24" s="156">
        <f>SUMIF(Timing!$J$5:$AG$5,R$8,IFS!$J115:$AG115)</f>
        <v>0</v>
      </c>
      <c r="S24" s="157">
        <f>SUMIF(Timing!$J$5:$AG$5,S$8,IFS!$J115:$AG115)</f>
        <v>0</v>
      </c>
      <c r="T24" s="139">
        <f>SUMIF(Timing!$J$5:$AG$5,T$8,IFS!$J115:$AG115)</f>
        <v>0</v>
      </c>
      <c r="U24" s="139">
        <f>SUMIF(Timing!$J$5:$AG$5,U$8,IFS!$J115:$AG115)</f>
        <v>0</v>
      </c>
      <c r="V24" s="140">
        <f t="shared" si="7"/>
        <v>0</v>
      </c>
      <c r="W24" s="162">
        <f>SUMPRODUCT((Timing!$J$29:$AG$29=1)*(Timing!$J$15:$AG$15=2)*(IFS!$J115:$AG115))</f>
        <v>0</v>
      </c>
      <c r="X24" s="165">
        <f>SUMPRODUCT((Timing!$J$29:$AG$29=2)*(Timing!$J$15:$AG$15=2)*(IFS!$J115:$AG115))</f>
        <v>0</v>
      </c>
      <c r="Y24" s="165">
        <f>SUMPRODUCT((Timing!$J$29:$AG$29=3)*(Timing!$J$15:$AG$15=2)*(IFS!$J115:$AG115))</f>
        <v>0</v>
      </c>
      <c r="Z24" s="157">
        <f>SUMPRODUCT((Timing!$J$29:$AG$29=4)*(Timing!$J$15:$AG$15=2)*(IFS!$J115:$AG115))</f>
        <v>0</v>
      </c>
      <c r="AA24" s="140">
        <f t="shared" si="8"/>
        <v>0</v>
      </c>
    </row>
    <row r="25" spans="1:27" ht="16.5" customHeight="1">
      <c r="A25" s="800"/>
      <c r="B25" s="125"/>
      <c r="C25" s="799" t="str">
        <f>IF(IFS!C116="","",IFS!C116)</f>
        <v>Capital Expenditure (incl. VAT)</v>
      </c>
      <c r="J25" s="139">
        <f>SUMIF(Timing!$J$5:$AG$5,J$8,IFS!$J116:$AG116)</f>
        <v>0</v>
      </c>
      <c r="K25" s="139">
        <f>SUMIF(Timing!$J$5:$AG$5,K$8,IFS!$J116:$AG116)</f>
        <v>0</v>
      </c>
      <c r="L25" s="156">
        <f>SUMIF(Timing!$J$5:$AG$5,L$8,IFS!$J116:$AG116)</f>
        <v>-11800</v>
      </c>
      <c r="M25" s="157">
        <f>SUMIF(Timing!$J$5:$AG$5,M$8,IFS!$J116:$AG116)</f>
        <v>0</v>
      </c>
      <c r="N25" s="139">
        <f>SUMIF(Timing!$J$5:$AG$5,N$8,IFS!$J116:$AG116)</f>
        <v>-64700</v>
      </c>
      <c r="O25" s="156">
        <f>SUMIF(Timing!$J$5:$AG$5,O$8,IFS!$J116:$AG116)</f>
        <v>0</v>
      </c>
      <c r="P25" s="157">
        <f>SUMIF(Timing!$J$5:$AG$5,P$8,IFS!$J116:$AG116)</f>
        <v>0</v>
      </c>
      <c r="Q25" s="139">
        <f>SUMIF(Timing!$J$5:$AG$5,Q$8,IFS!$J116:$AG116)</f>
        <v>0</v>
      </c>
      <c r="R25" s="156">
        <f>SUMIF(Timing!$J$5:$AG$5,R$8,IFS!$J116:$AG116)</f>
        <v>-18900</v>
      </c>
      <c r="S25" s="157">
        <f>SUMIF(Timing!$J$5:$AG$5,S$8,IFS!$J116:$AG116)</f>
        <v>-106740</v>
      </c>
      <c r="T25" s="139">
        <f>SUMIF(Timing!$J$5:$AG$5,T$8,IFS!$J116:$AG116)</f>
        <v>0</v>
      </c>
      <c r="U25" s="139">
        <f>SUMIF(Timing!$J$5:$AG$5,U$8,IFS!$J116:$AG116)</f>
        <v>0</v>
      </c>
      <c r="V25" s="140">
        <f t="shared" si="7"/>
        <v>-202140</v>
      </c>
      <c r="W25" s="162">
        <f>SUMPRODUCT((Timing!$J$29:$AG$29=1)*(Timing!$J$15:$AG$15=2)*(IFS!$J116:$AG116))</f>
        <v>-53000</v>
      </c>
      <c r="X25" s="165">
        <f>SUMPRODUCT((Timing!$J$29:$AG$29=2)*(Timing!$J$15:$AG$15=2)*(IFS!$J116:$AG116))</f>
        <v>-12000</v>
      </c>
      <c r="Y25" s="165">
        <f>SUMPRODUCT((Timing!$J$29:$AG$29=3)*(Timing!$J$15:$AG$15=2)*(IFS!$J116:$AG116))</f>
        <v>0</v>
      </c>
      <c r="Z25" s="157">
        <f>SUMPRODUCT((Timing!$J$29:$AG$29=4)*(Timing!$J$15:$AG$15=2)*(IFS!$J116:$AG116))</f>
        <v>0</v>
      </c>
      <c r="AA25" s="140">
        <f t="shared" si="8"/>
        <v>-65000</v>
      </c>
    </row>
    <row r="26" spans="1:27" ht="16.5" customHeight="1">
      <c r="A26" s="800"/>
      <c r="B26" s="125"/>
      <c r="C26" s="799" t="str">
        <f>IF(IFS!C117="","",IFS!C117)</f>
        <v>Finance lease charges paid</v>
      </c>
      <c r="J26" s="139">
        <f>SUMIF(Timing!$J$5:$AG$5,J$8,IFS!$J117:$AG117)</f>
        <v>0</v>
      </c>
      <c r="K26" s="139">
        <f>SUMIF(Timing!$J$5:$AG$5,K$8,IFS!$J117:$AG117)</f>
        <v>0</v>
      </c>
      <c r="L26" s="156">
        <f>SUMIF(Timing!$J$5:$AG$5,L$8,IFS!$J117:$AG117)</f>
        <v>0</v>
      </c>
      <c r="M26" s="157">
        <f>SUMIF(Timing!$J$5:$AG$5,M$8,IFS!$J117:$AG117)</f>
        <v>0</v>
      </c>
      <c r="N26" s="139">
        <f>SUMIF(Timing!$J$5:$AG$5,N$8,IFS!$J117:$AG117)</f>
        <v>0</v>
      </c>
      <c r="O26" s="156">
        <f>SUMIF(Timing!$J$5:$AG$5,O$8,IFS!$J117:$AG117)</f>
        <v>0</v>
      </c>
      <c r="P26" s="157">
        <f>SUMIF(Timing!$J$5:$AG$5,P$8,IFS!$J117:$AG117)</f>
        <v>0</v>
      </c>
      <c r="Q26" s="139">
        <f>SUMIF(Timing!$J$5:$AG$5,Q$8,IFS!$J117:$AG117)</f>
        <v>0</v>
      </c>
      <c r="R26" s="156">
        <f>SUMIF(Timing!$J$5:$AG$5,R$8,IFS!$J117:$AG117)</f>
        <v>-250</v>
      </c>
      <c r="S26" s="157">
        <f>SUMIF(Timing!$J$5:$AG$5,S$8,IFS!$J117:$AG117)</f>
        <v>-250</v>
      </c>
      <c r="T26" s="139">
        <f>SUMIF(Timing!$J$5:$AG$5,T$8,IFS!$J117:$AG117)</f>
        <v>-250</v>
      </c>
      <c r="U26" s="139">
        <f>SUMIF(Timing!$J$5:$AG$5,U$8,IFS!$J117:$AG117)</f>
        <v>-250</v>
      </c>
      <c r="V26" s="140">
        <f t="shared" si="7"/>
        <v>-1000</v>
      </c>
      <c r="W26" s="162">
        <f>SUMPRODUCT((Timing!$J$29:$AG$29=1)*(Timing!$J$15:$AG$15=2)*(IFS!$J117:$AG117))</f>
        <v>-750</v>
      </c>
      <c r="X26" s="165">
        <f>SUMPRODUCT((Timing!$J$29:$AG$29=2)*(Timing!$J$15:$AG$15=2)*(IFS!$J117:$AG117))</f>
        <v>-750</v>
      </c>
      <c r="Y26" s="165">
        <f>SUMPRODUCT((Timing!$J$29:$AG$29=3)*(Timing!$J$15:$AG$15=2)*(IFS!$J117:$AG117))</f>
        <v>-750</v>
      </c>
      <c r="Z26" s="157">
        <f>SUMPRODUCT((Timing!$J$29:$AG$29=4)*(Timing!$J$15:$AG$15=2)*(IFS!$J117:$AG117))</f>
        <v>-750</v>
      </c>
      <c r="AA26" s="140">
        <f t="shared" si="8"/>
        <v>-3000</v>
      </c>
    </row>
    <row r="27" spans="1:27" ht="16.5" customHeight="1">
      <c r="A27" s="800"/>
      <c r="B27" s="125"/>
      <c r="C27" s="799" t="str">
        <f>IF(IFS!C118="","",IFS!C118)</f>
        <v>Finance lease capital payments</v>
      </c>
      <c r="J27" s="139">
        <f>SUMIF(Timing!$J$5:$AG$5,J$8,IFS!$J118:$AG118)</f>
        <v>0</v>
      </c>
      <c r="K27" s="139">
        <f>SUMIF(Timing!$J$5:$AG$5,K$8,IFS!$J118:$AG118)</f>
        <v>0</v>
      </c>
      <c r="L27" s="156">
        <f>SUMIF(Timing!$J$5:$AG$5,L$8,IFS!$J118:$AG118)</f>
        <v>0</v>
      </c>
      <c r="M27" s="157">
        <f>SUMIF(Timing!$J$5:$AG$5,M$8,IFS!$J118:$AG118)</f>
        <v>0</v>
      </c>
      <c r="N27" s="139">
        <f>SUMIF(Timing!$J$5:$AG$5,N$8,IFS!$J118:$AG118)</f>
        <v>0</v>
      </c>
      <c r="O27" s="156">
        <f>SUMIF(Timing!$J$5:$AG$5,O$8,IFS!$J118:$AG118)</f>
        <v>0</v>
      </c>
      <c r="P27" s="157">
        <f>SUMIF(Timing!$J$5:$AG$5,P$8,IFS!$J118:$AG118)</f>
        <v>0</v>
      </c>
      <c r="Q27" s="139">
        <f>SUMIF(Timing!$J$5:$AG$5,Q$8,IFS!$J118:$AG118)</f>
        <v>0</v>
      </c>
      <c r="R27" s="156">
        <f>SUMIF(Timing!$J$5:$AG$5,R$8,IFS!$J118:$AG118)</f>
        <v>0</v>
      </c>
      <c r="S27" s="157">
        <f>SUMIF(Timing!$J$5:$AG$5,S$8,IFS!$J118:$AG118)</f>
        <v>-1000</v>
      </c>
      <c r="T27" s="139">
        <f>SUMIF(Timing!$J$5:$AG$5,T$8,IFS!$J118:$AG118)</f>
        <v>-1000</v>
      </c>
      <c r="U27" s="139">
        <f>SUMIF(Timing!$J$5:$AG$5,U$8,IFS!$J118:$AG118)</f>
        <v>-1000</v>
      </c>
      <c r="V27" s="140">
        <f t="shared" si="7"/>
        <v>-3000</v>
      </c>
      <c r="W27" s="162">
        <f>SUMPRODUCT((Timing!$J$29:$AG$29=1)*(Timing!$J$15:$AG$15=2)*(IFS!$J118:$AG118))</f>
        <v>-3000</v>
      </c>
      <c r="X27" s="165">
        <f>SUMPRODUCT((Timing!$J$29:$AG$29=2)*(Timing!$J$15:$AG$15=2)*(IFS!$J118:$AG118))</f>
        <v>-3000</v>
      </c>
      <c r="Y27" s="165">
        <f>SUMPRODUCT((Timing!$J$29:$AG$29=3)*(Timing!$J$15:$AG$15=2)*(IFS!$J118:$AG118))</f>
        <v>-3000</v>
      </c>
      <c r="Z27" s="157">
        <f>SUMPRODUCT((Timing!$J$29:$AG$29=4)*(Timing!$J$15:$AG$15=2)*(IFS!$J118:$AG118))</f>
        <v>-3000</v>
      </c>
      <c r="AA27" s="140">
        <f t="shared" si="8"/>
        <v>-12000</v>
      </c>
    </row>
    <row r="28" spans="1:27" ht="16.5" customHeight="1">
      <c r="A28" s="800"/>
      <c r="B28" s="125"/>
      <c r="C28" s="799" t="str">
        <f>IF(IFS!C119="","",IFS!C119)</f>
        <v>Changes in advance payments</v>
      </c>
      <c r="J28" s="139">
        <f>SUMIF(Timing!$J$5:$AG$5,J$8,IFS!$J119:$AG119)</f>
        <v>0</v>
      </c>
      <c r="K28" s="139">
        <f>SUMIF(Timing!$J$5:$AG$5,K$8,IFS!$J119:$AG119)</f>
        <v>0</v>
      </c>
      <c r="L28" s="156">
        <f>SUMIF(Timing!$J$5:$AG$5,L$8,IFS!$J119:$AG119)</f>
        <v>0</v>
      </c>
      <c r="M28" s="157">
        <f>SUMIF(Timing!$J$5:$AG$5,M$8,IFS!$J119:$AG119)</f>
        <v>0</v>
      </c>
      <c r="N28" s="139">
        <f>SUMIF(Timing!$J$5:$AG$5,N$8,IFS!$J119:$AG119)</f>
        <v>0</v>
      </c>
      <c r="O28" s="156">
        <f>SUMIF(Timing!$J$5:$AG$5,O$8,IFS!$J119:$AG119)</f>
        <v>0</v>
      </c>
      <c r="P28" s="157">
        <f>SUMIF(Timing!$J$5:$AG$5,P$8,IFS!$J119:$AG119)</f>
        <v>0</v>
      </c>
      <c r="Q28" s="139">
        <f>SUMIF(Timing!$J$5:$AG$5,Q$8,IFS!$J119:$AG119)</f>
        <v>0</v>
      </c>
      <c r="R28" s="156">
        <f>SUMIF(Timing!$J$5:$AG$5,R$8,IFS!$J119:$AG119)</f>
        <v>0</v>
      </c>
      <c r="S28" s="157">
        <f>SUMIF(Timing!$J$5:$AG$5,S$8,IFS!$J119:$AG119)</f>
        <v>0</v>
      </c>
      <c r="T28" s="139">
        <f>SUMIF(Timing!$J$5:$AG$5,T$8,IFS!$J119:$AG119)</f>
        <v>0</v>
      </c>
      <c r="U28" s="139">
        <f>SUMIF(Timing!$J$5:$AG$5,U$8,IFS!$J119:$AG119)</f>
        <v>0</v>
      </c>
      <c r="V28" s="140">
        <f t="shared" si="7"/>
        <v>0</v>
      </c>
      <c r="W28" s="162">
        <f>SUMPRODUCT((Timing!$J$29:$AG$29=1)*(Timing!$J$15:$AG$15=2)*(IFS!$J119:$AG119))</f>
        <v>0</v>
      </c>
      <c r="X28" s="165">
        <f>SUMPRODUCT((Timing!$J$29:$AG$29=2)*(Timing!$J$15:$AG$15=2)*(IFS!$J119:$AG119))</f>
        <v>-2750</v>
      </c>
      <c r="Y28" s="165">
        <f>SUMPRODUCT((Timing!$J$29:$AG$29=3)*(Timing!$J$15:$AG$15=2)*(IFS!$J119:$AG119))</f>
        <v>0</v>
      </c>
      <c r="Z28" s="157">
        <f>SUMPRODUCT((Timing!$J$29:$AG$29=4)*(Timing!$J$15:$AG$15=2)*(IFS!$J119:$AG119))</f>
        <v>500</v>
      </c>
      <c r="AA28" s="140">
        <f t="shared" si="8"/>
        <v>-2250</v>
      </c>
    </row>
    <row r="29" spans="1:27" ht="16.5" customHeight="1">
      <c r="A29" s="800"/>
      <c r="B29" s="125"/>
      <c r="C29" s="799" t="str">
        <f>IF(IFS!C120="","",IFS!C120)</f>
        <v>Utilisation of accruals</v>
      </c>
      <c r="J29" s="139">
        <f>SUMIF(Timing!$J$5:$AG$5,J$8,IFS!$J120:$AG120)</f>
        <v>0</v>
      </c>
      <c r="K29" s="139">
        <f>SUMIF(Timing!$J$5:$AG$5,K$8,IFS!$J120:$AG120)</f>
        <v>0</v>
      </c>
      <c r="L29" s="156">
        <f>SUMIF(Timing!$J$5:$AG$5,L$8,IFS!$J120:$AG120)</f>
        <v>0</v>
      </c>
      <c r="M29" s="157">
        <f>SUMIF(Timing!$J$5:$AG$5,M$8,IFS!$J120:$AG120)</f>
        <v>0</v>
      </c>
      <c r="N29" s="139">
        <f>SUMIF(Timing!$J$5:$AG$5,N$8,IFS!$J120:$AG120)</f>
        <v>0</v>
      </c>
      <c r="O29" s="156">
        <f>SUMIF(Timing!$J$5:$AG$5,O$8,IFS!$J120:$AG120)</f>
        <v>0</v>
      </c>
      <c r="P29" s="157">
        <f>SUMIF(Timing!$J$5:$AG$5,P$8,IFS!$J120:$AG120)</f>
        <v>0</v>
      </c>
      <c r="Q29" s="139">
        <f>SUMIF(Timing!$J$5:$AG$5,Q$8,IFS!$J120:$AG120)</f>
        <v>0</v>
      </c>
      <c r="R29" s="156">
        <f>SUMIF(Timing!$J$5:$AG$5,R$8,IFS!$J120:$AG120)</f>
        <v>0</v>
      </c>
      <c r="S29" s="157">
        <f>SUMIF(Timing!$J$5:$AG$5,S$8,IFS!$J120:$AG120)</f>
        <v>0</v>
      </c>
      <c r="T29" s="139">
        <f>SUMIF(Timing!$J$5:$AG$5,T$8,IFS!$J120:$AG120)</f>
        <v>0</v>
      </c>
      <c r="U29" s="139">
        <f>SUMIF(Timing!$J$5:$AG$5,U$8,IFS!$J120:$AG120)</f>
        <v>0</v>
      </c>
      <c r="V29" s="140">
        <f t="shared" si="7"/>
        <v>0</v>
      </c>
      <c r="W29" s="162">
        <f>SUMPRODUCT((Timing!$J$29:$AG$29=1)*(Timing!$J$15:$AG$15=2)*(IFS!$J120:$AG120))</f>
        <v>0</v>
      </c>
      <c r="X29" s="165">
        <f>SUMPRODUCT((Timing!$J$29:$AG$29=2)*(Timing!$J$15:$AG$15=2)*(IFS!$J120:$AG120))</f>
        <v>0</v>
      </c>
      <c r="Y29" s="165">
        <f>SUMPRODUCT((Timing!$J$29:$AG$29=3)*(Timing!$J$15:$AG$15=2)*(IFS!$J120:$AG120))</f>
        <v>-1000</v>
      </c>
      <c r="Z29" s="157">
        <f>SUMPRODUCT((Timing!$J$29:$AG$29=4)*(Timing!$J$15:$AG$15=2)*(IFS!$J120:$AG120))</f>
        <v>0</v>
      </c>
      <c r="AA29" s="140">
        <f t="shared" si="8"/>
        <v>-1000</v>
      </c>
    </row>
    <row r="30" spans="1:27" ht="16.5" customHeight="1">
      <c r="A30" s="800"/>
      <c r="B30" s="125"/>
      <c r="C30" s="799" t="str">
        <f>IF(IFS!C121="","",IFS!C121)</f>
        <v>Interest paid (Debt 1-4)</v>
      </c>
      <c r="J30" s="139">
        <f>SUMIF(Timing!$J$5:$AG$5,J$8,IFS!$J121:$AG121)</f>
        <v>0</v>
      </c>
      <c r="K30" s="139">
        <f>SUMIF(Timing!$J$5:$AG$5,K$8,IFS!$J121:$AG121)</f>
        <v>0</v>
      </c>
      <c r="L30" s="156">
        <f>SUMIF(Timing!$J$5:$AG$5,L$8,IFS!$J121:$AG121)</f>
        <v>0</v>
      </c>
      <c r="M30" s="157">
        <f ca="1">SUMIF(Timing!$J$5:$AG$5,M$8,IFS!$J121:$AG121)</f>
        <v>0</v>
      </c>
      <c r="N30" s="139">
        <f ca="1">SUMIF(Timing!$J$5:$AG$5,N$8,IFS!$J121:$AG121)</f>
        <v>0</v>
      </c>
      <c r="O30" s="156">
        <f ca="1">SUMIF(Timing!$J$5:$AG$5,O$8,IFS!$J121:$AG121)</f>
        <v>0</v>
      </c>
      <c r="P30" s="157">
        <f ca="1">SUMIF(Timing!$J$5:$AG$5,P$8,IFS!$J121:$AG121)</f>
        <v>0</v>
      </c>
      <c r="Q30" s="139">
        <f ca="1">SUMIF(Timing!$J$5:$AG$5,Q$8,IFS!$J121:$AG121)</f>
        <v>0</v>
      </c>
      <c r="R30" s="156">
        <f ca="1">SUMIF(Timing!$J$5:$AG$5,R$8,IFS!$J121:$AG121)</f>
        <v>0</v>
      </c>
      <c r="S30" s="157">
        <f ca="1">SUMIF(Timing!$J$5:$AG$5,S$8,IFS!$J121:$AG121)</f>
        <v>0</v>
      </c>
      <c r="T30" s="139">
        <f ca="1">SUMIF(Timing!$J$5:$AG$5,T$8,IFS!$J121:$AG121)</f>
        <v>-366.66666666666669</v>
      </c>
      <c r="U30" s="139">
        <f ca="1">SUMIF(Timing!$J$5:$AG$5,U$8,IFS!$J121:$AG121)</f>
        <v>-818.22209841296035</v>
      </c>
      <c r="V30" s="140">
        <f t="shared" ca="1" si="7"/>
        <v>-1184.8887650796271</v>
      </c>
      <c r="W30" s="162">
        <f ca="1">SUMPRODUCT((Timing!$J$29:$AG$29=1)*(Timing!$J$15:$AG$15=2)*(IFS!$J121:$AG121))</f>
        <v>-1884.166666666667</v>
      </c>
      <c r="X30" s="165">
        <f ca="1">SUMPRODUCT((Timing!$J$29:$AG$29=2)*(Timing!$J$15:$AG$15=2)*(IFS!$J121:$AG121))</f>
        <v>-2462.2934036060924</v>
      </c>
      <c r="Y30" s="165">
        <f ca="1">SUMPRODUCT((Timing!$J$29:$AG$29=3)*(Timing!$J$15:$AG$15=2)*(IFS!$J121:$AG121))</f>
        <v>-2033.937519545962</v>
      </c>
      <c r="Z30" s="157">
        <f ca="1">SUMPRODUCT((Timing!$J$29:$AG$29=4)*(Timing!$J$15:$AG$15=2)*(IFS!$J121:$AG121))</f>
        <v>-1941.2585305264233</v>
      </c>
      <c r="AA30" s="140">
        <f t="shared" ca="1" si="8"/>
        <v>-8321.6561203451456</v>
      </c>
    </row>
    <row r="31" spans="1:27" ht="16.5" customHeight="1">
      <c r="A31" s="800"/>
      <c r="B31" s="125"/>
      <c r="C31" s="799" t="str">
        <f>IF(IFS!C122="","",IFS!C122)</f>
        <v>Financing fees (Debt 1-4)</v>
      </c>
      <c r="J31" s="139">
        <f>SUMIF(Timing!$J$5:$AG$5,J$8,IFS!$J122:$AG122)</f>
        <v>0</v>
      </c>
      <c r="K31" s="139">
        <f>SUMIF(Timing!$J$5:$AG$5,K$8,IFS!$J122:$AG122)</f>
        <v>0</v>
      </c>
      <c r="L31" s="156">
        <f>SUMIF(Timing!$J$5:$AG$5,L$8,IFS!$J122:$AG122)</f>
        <v>-1020.8333333333334</v>
      </c>
      <c r="M31" s="157">
        <f ca="1">SUMIF(Timing!$J$5:$AG$5,M$8,IFS!$J122:$AG122)</f>
        <v>-20.833333333333336</v>
      </c>
      <c r="N31" s="139">
        <f ca="1">SUMIF(Timing!$J$5:$AG$5,N$8,IFS!$J122:$AG122)</f>
        <v>-20.833333333333336</v>
      </c>
      <c r="O31" s="156">
        <f ca="1">SUMIF(Timing!$J$5:$AG$5,O$8,IFS!$J122:$AG122)</f>
        <v>-20.833333333333336</v>
      </c>
      <c r="P31" s="157">
        <f ca="1">SUMIF(Timing!$J$5:$AG$5,P$8,IFS!$J122:$AG122)</f>
        <v>-20.833333333333336</v>
      </c>
      <c r="Q31" s="139">
        <f ca="1">SUMIF(Timing!$J$5:$AG$5,Q$8,IFS!$J122:$AG122)</f>
        <v>-20.833333333333336</v>
      </c>
      <c r="R31" s="156">
        <f ca="1">SUMIF(Timing!$J$5:$AG$5,R$8,IFS!$J122:$AG122)</f>
        <v>0</v>
      </c>
      <c r="S31" s="157">
        <f ca="1">SUMIF(Timing!$J$5:$AG$5,S$8,IFS!$J122:$AG122)</f>
        <v>0</v>
      </c>
      <c r="T31" s="139">
        <f ca="1">SUMIF(Timing!$J$5:$AG$5,T$8,IFS!$J122:$AG122)</f>
        <v>0</v>
      </c>
      <c r="U31" s="139">
        <f ca="1">SUMIF(Timing!$J$5:$AG$5,U$8,IFS!$J122:$AG122)</f>
        <v>0</v>
      </c>
      <c r="V31" s="140">
        <f t="shared" ca="1" si="7"/>
        <v>-1124.9999999999998</v>
      </c>
      <c r="W31" s="162">
        <f ca="1">SUMPRODUCT((Timing!$J$29:$AG$29=1)*(Timing!$J$15:$AG$15=2)*(IFS!$J122:$AG122))</f>
        <v>0</v>
      </c>
      <c r="X31" s="165">
        <f ca="1">SUMPRODUCT((Timing!$J$29:$AG$29=2)*(Timing!$J$15:$AG$15=2)*(IFS!$J122:$AG122))</f>
        <v>0</v>
      </c>
      <c r="Y31" s="165">
        <f ca="1">SUMPRODUCT((Timing!$J$29:$AG$29=3)*(Timing!$J$15:$AG$15=2)*(IFS!$J122:$AG122))</f>
        <v>0</v>
      </c>
      <c r="Z31" s="157">
        <f ca="1">SUMPRODUCT((Timing!$J$29:$AG$29=4)*(Timing!$J$15:$AG$15=2)*(IFS!$J122:$AG122))</f>
        <v>0</v>
      </c>
      <c r="AA31" s="140">
        <f t="shared" ca="1" si="8"/>
        <v>0</v>
      </c>
    </row>
    <row r="32" spans="1:27" ht="16.5" customHeight="1">
      <c r="A32" s="800"/>
      <c r="B32" s="125"/>
      <c r="C32" s="799" t="str">
        <f>IF(IFS!C123="","",IFS!C123)</f>
        <v>Interest paid (debt facilities existent at model start)</v>
      </c>
      <c r="J32" s="139">
        <f>SUMIF(Timing!$J$5:$AG$5,J$8,IFS!$J123:$AG123)</f>
        <v>0</v>
      </c>
      <c r="K32" s="139">
        <f>SUMIF(Timing!$J$5:$AG$5,K$8,IFS!$J123:$AG123)</f>
        <v>0</v>
      </c>
      <c r="L32" s="156">
        <f>SUMIF(Timing!$J$5:$AG$5,L$8,IFS!$J123:$AG123)</f>
        <v>-41.666666666666664</v>
      </c>
      <c r="M32" s="157">
        <f>SUMIF(Timing!$J$5:$AG$5,M$8,IFS!$J123:$AG123)</f>
        <v>-41.666666666666664</v>
      </c>
      <c r="N32" s="139">
        <f>SUMIF(Timing!$J$5:$AG$5,N$8,IFS!$J123:$AG123)</f>
        <v>-41.666666666666664</v>
      </c>
      <c r="O32" s="156">
        <f>SUMIF(Timing!$J$5:$AG$5,O$8,IFS!$J123:$AG123)</f>
        <v>-41.666666666666664</v>
      </c>
      <c r="P32" s="157">
        <f>SUMIF(Timing!$J$5:$AG$5,P$8,IFS!$J123:$AG123)</f>
        <v>-41.666666666666664</v>
      </c>
      <c r="Q32" s="139">
        <f>SUMIF(Timing!$J$5:$AG$5,Q$8,IFS!$J123:$AG123)</f>
        <v>-41.666666666666664</v>
      </c>
      <c r="R32" s="156">
        <f>SUMIF(Timing!$J$5:$AG$5,R$8,IFS!$J123:$AG123)</f>
        <v>-41.666666666666664</v>
      </c>
      <c r="S32" s="157">
        <f>SUMIF(Timing!$J$5:$AG$5,S$8,IFS!$J123:$AG123)</f>
        <v>-41.666666666666664</v>
      </c>
      <c r="T32" s="139">
        <f>SUMIF(Timing!$J$5:$AG$5,T$8,IFS!$J123:$AG123)</f>
        <v>-41.666666666666664</v>
      </c>
      <c r="U32" s="139">
        <f>SUMIF(Timing!$J$5:$AG$5,U$8,IFS!$J123:$AG123)</f>
        <v>-41.666666666666664</v>
      </c>
      <c r="V32" s="140">
        <f t="shared" si="7"/>
        <v>-416.66666666666669</v>
      </c>
      <c r="W32" s="162">
        <f>SUMPRODUCT((Timing!$J$29:$AG$29=1)*(Timing!$J$15:$AG$15=2)*(IFS!$J123:$AG123))</f>
        <v>-125</v>
      </c>
      <c r="X32" s="165">
        <f>SUMPRODUCT((Timing!$J$29:$AG$29=2)*(Timing!$J$15:$AG$15=2)*(IFS!$J123:$AG123))</f>
        <v>-62.5</v>
      </c>
      <c r="Y32" s="165">
        <f>SUMPRODUCT((Timing!$J$29:$AG$29=3)*(Timing!$J$15:$AG$15=2)*(IFS!$J123:$AG123))</f>
        <v>-62.5</v>
      </c>
      <c r="Z32" s="157">
        <f>SUMPRODUCT((Timing!$J$29:$AG$29=4)*(Timing!$J$15:$AG$15=2)*(IFS!$J123:$AG123))</f>
        <v>-62.5</v>
      </c>
      <c r="AA32" s="140">
        <f t="shared" si="8"/>
        <v>-312.5</v>
      </c>
    </row>
    <row r="33" spans="1:27" ht="16.5" customHeight="1">
      <c r="A33" s="800"/>
      <c r="B33" s="125"/>
      <c r="C33" s="799" t="str">
        <f>IF(IFS!C124="","",IFS!C124)</f>
        <v>VAT paid/recovered to/from tax authority</v>
      </c>
      <c r="J33" s="139">
        <f>SUMIF(Timing!$J$5:$AG$5,J$8,IFS!$J124:$AG124)</f>
        <v>0</v>
      </c>
      <c r="K33" s="139">
        <f>SUMIF(Timing!$J$5:$AG$5,K$8,IFS!$J124:$AG124)</f>
        <v>0</v>
      </c>
      <c r="L33" s="156">
        <f ca="1">SUMIF(Timing!$J$5:$AG$5,L$8,IFS!$J124:$AG124)</f>
        <v>0</v>
      </c>
      <c r="M33" s="157">
        <f ca="1">SUMIF(Timing!$J$5:$AG$5,M$8,IFS!$J124:$AG124)</f>
        <v>1740.957714285714</v>
      </c>
      <c r="N33" s="139">
        <f ca="1">SUMIF(Timing!$J$5:$AG$5,N$8,IFS!$J124:$AG124)</f>
        <v>0</v>
      </c>
      <c r="O33" s="156">
        <f ca="1">SUMIF(Timing!$J$5:$AG$5,O$8,IFS!$J124:$AG124)</f>
        <v>0</v>
      </c>
      <c r="P33" s="157">
        <f ca="1">SUMIF(Timing!$J$5:$AG$5,P$8,IFS!$J124:$AG124)</f>
        <v>4834.4717418433156</v>
      </c>
      <c r="Q33" s="139">
        <f ca="1">SUMIF(Timing!$J$5:$AG$5,Q$8,IFS!$J124:$AG124)</f>
        <v>0</v>
      </c>
      <c r="R33" s="156">
        <f ca="1">SUMIF(Timing!$J$5:$AG$5,R$8,IFS!$J124:$AG124)</f>
        <v>0</v>
      </c>
      <c r="S33" s="157">
        <f ca="1">SUMIF(Timing!$J$5:$AG$5,S$8,IFS!$J124:$AG124)</f>
        <v>-8265.0759367380888</v>
      </c>
      <c r="T33" s="139">
        <f ca="1">SUMIF(Timing!$J$5:$AG$5,T$8,IFS!$J124:$AG124)</f>
        <v>0</v>
      </c>
      <c r="U33" s="139">
        <f ca="1">SUMIF(Timing!$J$5:$AG$5,U$8,IFS!$J124:$AG124)</f>
        <v>0</v>
      </c>
      <c r="V33" s="140">
        <f t="shared" ca="1" si="7"/>
        <v>-1689.6464806090589</v>
      </c>
      <c r="W33" s="162">
        <f ca="1">SUMPRODUCT((Timing!$J$29:$AG$29=1)*(Timing!$J$15:$AG$15=2)*(IFS!$J124:$AG124))</f>
        <v>-3703.5295864169129</v>
      </c>
      <c r="X33" s="165">
        <f ca="1">SUMPRODUCT((Timing!$J$29:$AG$29=2)*(Timing!$J$15:$AG$15=2)*(IFS!$J124:$AG124))</f>
        <v>-25928.859475302808</v>
      </c>
      <c r="Y33" s="165">
        <f ca="1">SUMPRODUCT((Timing!$J$29:$AG$29=3)*(Timing!$J$15:$AG$15=2)*(IFS!$J124:$AG124))</f>
        <v>-36493.716385533546</v>
      </c>
      <c r="Z33" s="157">
        <f ca="1">SUMPRODUCT((Timing!$J$29:$AG$29=4)*(Timing!$J$15:$AG$15=2)*(IFS!$J124:$AG124))</f>
        <v>-42309.583659788113</v>
      </c>
      <c r="AA33" s="140">
        <f t="shared" ca="1" si="8"/>
        <v>-108435.68910704138</v>
      </c>
    </row>
    <row r="34" spans="1:27" ht="16.5" customHeight="1">
      <c r="A34" s="800"/>
      <c r="B34" s="125"/>
      <c r="C34" s="799" t="str">
        <f>IF(IFS!C125="","",IFS!C125)</f>
        <v>Taxes on income paid</v>
      </c>
      <c r="J34" s="139">
        <f>SUMIF(Timing!$J$5:$AG$5,J$8,IFS!$J125:$AG125)</f>
        <v>0</v>
      </c>
      <c r="K34" s="139">
        <f>SUMIF(Timing!$J$5:$AG$5,K$8,IFS!$J125:$AG125)</f>
        <v>0</v>
      </c>
      <c r="L34" s="156">
        <f>SUMIF(Timing!$J$5:$AG$5,L$8,IFS!$J125:$AG125)</f>
        <v>-1250</v>
      </c>
      <c r="M34" s="157">
        <f>SUMIF(Timing!$J$5:$AG$5,M$8,IFS!$J125:$AG125)</f>
        <v>0</v>
      </c>
      <c r="N34" s="139">
        <f>SUMIF(Timing!$J$5:$AG$5,N$8,IFS!$J125:$AG125)</f>
        <v>0</v>
      </c>
      <c r="O34" s="156">
        <f>SUMIF(Timing!$J$5:$AG$5,O$8,IFS!$J125:$AG125)</f>
        <v>-1250</v>
      </c>
      <c r="P34" s="157">
        <f>SUMIF(Timing!$J$5:$AG$5,P$8,IFS!$J125:$AG125)</f>
        <v>0</v>
      </c>
      <c r="Q34" s="139">
        <f>SUMIF(Timing!$J$5:$AG$5,Q$8,IFS!$J125:$AG125)</f>
        <v>0</v>
      </c>
      <c r="R34" s="156">
        <f>SUMIF(Timing!$J$5:$AG$5,R$8,IFS!$J125:$AG125)</f>
        <v>-1250</v>
      </c>
      <c r="S34" s="157">
        <f>SUMIF(Timing!$J$5:$AG$5,S$8,IFS!$J125:$AG125)</f>
        <v>0</v>
      </c>
      <c r="T34" s="139">
        <f>SUMIF(Timing!$J$5:$AG$5,T$8,IFS!$J125:$AG125)</f>
        <v>0</v>
      </c>
      <c r="U34" s="139">
        <f>SUMIF(Timing!$J$5:$AG$5,U$8,IFS!$J125:$AG125)</f>
        <v>-1250</v>
      </c>
      <c r="V34" s="140">
        <f t="shared" si="7"/>
        <v>-5000</v>
      </c>
      <c r="W34" s="162">
        <f ca="1">SUMPRODUCT((Timing!$J$29:$AG$29=1)*(Timing!$J$15:$AG$15=2)*(IFS!$J125:$AG125))</f>
        <v>-5000</v>
      </c>
      <c r="X34" s="165">
        <f ca="1">SUMPRODUCT((Timing!$J$29:$AG$29=2)*(Timing!$J$15:$AG$15=2)*(IFS!$J125:$AG125))</f>
        <v>0</v>
      </c>
      <c r="Y34" s="165">
        <f ca="1">SUMPRODUCT((Timing!$J$29:$AG$29=3)*(Timing!$J$15:$AG$15=2)*(IFS!$J125:$AG125))</f>
        <v>-5000</v>
      </c>
      <c r="Z34" s="157">
        <f ca="1">SUMPRODUCT((Timing!$J$29:$AG$29=4)*(Timing!$J$15:$AG$15=2)*(IFS!$J125:$AG125))</f>
        <v>-5000</v>
      </c>
      <c r="AA34" s="140">
        <f t="shared" ca="1" si="8"/>
        <v>-15000</v>
      </c>
    </row>
    <row r="35" spans="1:27" ht="16.5" customHeight="1">
      <c r="A35" s="800"/>
      <c r="B35" s="125"/>
      <c r="C35" s="133" t="str">
        <f>IF(IFS!C126="","",IFS!C126)</f>
        <v xml:space="preserve">   Total Cash Outflows</v>
      </c>
      <c r="D35" s="132"/>
      <c r="E35" s="132"/>
      <c r="F35" s="132"/>
      <c r="G35" s="132"/>
      <c r="H35" s="132"/>
      <c r="I35" s="132"/>
      <c r="J35" s="148">
        <f t="shared" ref="J35:AA35" si="11">SUM(J18:J34)</f>
        <v>0</v>
      </c>
      <c r="K35" s="148">
        <f t="shared" si="11"/>
        <v>0</v>
      </c>
      <c r="L35" s="173">
        <f t="shared" ca="1" si="11"/>
        <v>-32518.930761904761</v>
      </c>
      <c r="M35" s="174">
        <f t="shared" ca="1" si="11"/>
        <v>-24920.583595494114</v>
      </c>
      <c r="N35" s="148">
        <f t="shared" ca="1" si="11"/>
        <v>-95978.12259498208</v>
      </c>
      <c r="O35" s="173">
        <f t="shared" ca="1" si="11"/>
        <v>-40433.891704157701</v>
      </c>
      <c r="P35" s="174">
        <f t="shared" ca="1" si="11"/>
        <v>-41010.036260665649</v>
      </c>
      <c r="Q35" s="148">
        <f t="shared" ca="1" si="11"/>
        <v>-43382.825078050184</v>
      </c>
      <c r="R35" s="173">
        <f t="shared" ca="1" si="11"/>
        <v>-71839.611836112847</v>
      </c>
      <c r="S35" s="174">
        <f t="shared" ca="1" si="11"/>
        <v>-174046.02632682369</v>
      </c>
      <c r="T35" s="148">
        <f t="shared" ca="1" si="11"/>
        <v>-60580.996556057857</v>
      </c>
      <c r="U35" s="148">
        <f t="shared" ca="1" si="11"/>
        <v>-69530.961327732861</v>
      </c>
      <c r="V35" s="148">
        <f t="shared" ca="1" si="11"/>
        <v>-654241.98604198173</v>
      </c>
      <c r="W35" s="173">
        <f t="shared" ca="1" si="11"/>
        <v>-279392.05841478525</v>
      </c>
      <c r="X35" s="177">
        <f t="shared" ca="1" si="11"/>
        <v>-297398.19352617813</v>
      </c>
      <c r="Y35" s="177">
        <f t="shared" ca="1" si="11"/>
        <v>-340156.84265326528</v>
      </c>
      <c r="Z35" s="174">
        <f t="shared" ca="1" si="11"/>
        <v>-386244.08904213319</v>
      </c>
      <c r="AA35" s="148">
        <f t="shared" ca="1" si="11"/>
        <v>-1303191.183636362</v>
      </c>
    </row>
    <row r="36" spans="1:27" ht="12" customHeight="1">
      <c r="A36" s="800"/>
      <c r="B36" s="125"/>
      <c r="C36" s="199" t="str">
        <f>IF(IFS!C127="","",IFS!C127)</f>
        <v/>
      </c>
      <c r="J36" s="138"/>
      <c r="L36" s="160"/>
      <c r="M36" s="161"/>
      <c r="O36" s="160"/>
      <c r="P36" s="161"/>
      <c r="R36" s="160"/>
      <c r="S36" s="161"/>
      <c r="V36" s="140"/>
      <c r="W36" s="160"/>
      <c r="X36" s="167"/>
      <c r="Y36" s="167"/>
      <c r="Z36" s="161"/>
      <c r="AA36" s="149"/>
    </row>
    <row r="37" spans="1:27" ht="20.25">
      <c r="A37" s="800"/>
      <c r="B37" s="125"/>
      <c r="C37" s="2" t="str">
        <f>IF(IFS!C128="","",IFS!C128)</f>
        <v>Financing</v>
      </c>
      <c r="J37" s="138"/>
      <c r="L37" s="160"/>
      <c r="M37" s="161"/>
      <c r="O37" s="160"/>
      <c r="P37" s="161"/>
      <c r="R37" s="160"/>
      <c r="S37" s="161"/>
      <c r="V37" s="140"/>
      <c r="W37" s="160"/>
      <c r="X37" s="167"/>
      <c r="Y37" s="167"/>
      <c r="Z37" s="161"/>
      <c r="AA37" s="149"/>
    </row>
    <row r="38" spans="1:27" ht="17.25" customHeight="1">
      <c r="A38" s="800"/>
      <c r="B38" s="125"/>
      <c r="C38" s="66" t="str">
        <f>IF(IFS!C129="","",IFS!C129)</f>
        <v>Equity</v>
      </c>
      <c r="J38" s="138"/>
      <c r="L38" s="160"/>
      <c r="M38" s="161"/>
      <c r="O38" s="160"/>
      <c r="P38" s="161"/>
      <c r="R38" s="160"/>
      <c r="S38" s="161"/>
      <c r="V38" s="140"/>
      <c r="W38" s="369"/>
      <c r="X38" s="167"/>
      <c r="Y38" s="167"/>
      <c r="Z38" s="161"/>
      <c r="AA38" s="149"/>
    </row>
    <row r="39" spans="1:27" ht="17.25" customHeight="1">
      <c r="A39" s="800"/>
      <c r="B39" s="125"/>
      <c r="C39" s="199" t="str">
        <f>IF(IFS!C130="","",IFS!C130)</f>
        <v>Share Capital</v>
      </c>
      <c r="J39" s="139">
        <f>SUMIF(Timing!$J$5:$AG$5,J$8,IFS!$J130:$AG130)</f>
        <v>0</v>
      </c>
      <c r="K39" s="139">
        <f>SUMIF(Timing!$J$5:$AG$5,K$8,IFS!$J130:$AG130)</f>
        <v>0</v>
      </c>
      <c r="L39" s="156">
        <f ca="1">SUMIF(Timing!$J$5:$AG$5,L$8,IFS!$J130:$AG130)</f>
        <v>29864.397428571428</v>
      </c>
      <c r="M39" s="157">
        <f ca="1">SUMIF(Timing!$J$5:$AG$5,M$8,IFS!$J130:$AG130)</f>
        <v>22614.050262160781</v>
      </c>
      <c r="N39" s="139">
        <f ca="1">SUMIF(Timing!$J$5:$AG$5,N$8,IFS!$J130:$AG130)</f>
        <v>177521.5523092678</v>
      </c>
      <c r="O39" s="156">
        <f ca="1">SUMIF(Timing!$J$5:$AG$5,O$8,IFS!$J130:$AG130)</f>
        <v>0</v>
      </c>
      <c r="P39" s="157">
        <f ca="1">SUMIF(Timing!$J$5:$AG$5,P$8,IFS!$J130:$AG130)</f>
        <v>0</v>
      </c>
      <c r="Q39" s="139">
        <f ca="1">SUMIF(Timing!$J$5:$AG$5,Q$8,IFS!$J130:$AG130)</f>
        <v>0</v>
      </c>
      <c r="R39" s="156">
        <f ca="1">SUMIF(Timing!$J$5:$AG$5,R$8,IFS!$J130:$AG130)</f>
        <v>0</v>
      </c>
      <c r="S39" s="157">
        <f ca="1">SUMIF(Timing!$J$5:$AG$5,S$8,IFS!$J130:$AG130)</f>
        <v>0</v>
      </c>
      <c r="T39" s="139">
        <f ca="1">SUMIF(Timing!$J$5:$AG$5,T$8,IFS!$J130:$AG130)</f>
        <v>0</v>
      </c>
      <c r="U39" s="139">
        <f ca="1">SUMIF(Timing!$J$5:$AG$5,U$8,IFS!$J130:$AG130)</f>
        <v>0</v>
      </c>
      <c r="V39" s="140">
        <f ca="1">SUM(J39:U39)</f>
        <v>230000</v>
      </c>
      <c r="W39" s="162">
        <f ca="1">SUMPRODUCT((Timing!$J$29:$AG$29=1)*(Timing!$J$15:$AG$15=2)*(IFS!$J130:$AG130))</f>
        <v>0</v>
      </c>
      <c r="X39" s="165">
        <f ca="1">SUMPRODUCT((Timing!$J$29:$AG$29=2)*(Timing!$J$15:$AG$15=2)*(IFS!$J130:$AG130))</f>
        <v>0</v>
      </c>
      <c r="Y39" s="165">
        <f ca="1">SUMPRODUCT((Timing!$J$29:$AG$29=3)*(Timing!$J$15:$AG$15=2)*(IFS!$J130:$AG130))</f>
        <v>0</v>
      </c>
      <c r="Z39" s="157">
        <f ca="1">SUMPRODUCT((Timing!$J$29:$AG$29=4)*(Timing!$J$15:$AG$15=2)*(IFS!$J130:$AG130))</f>
        <v>0</v>
      </c>
      <c r="AA39" s="140">
        <f ca="1">SUM(W39:Z39)</f>
        <v>0</v>
      </c>
    </row>
    <row r="40" spans="1:27" ht="17.25" customHeight="1">
      <c r="A40" s="800"/>
      <c r="B40" s="125"/>
      <c r="C40" s="66" t="str">
        <f>IF(IFS!C131="","",IFS!C131)</f>
        <v>Debt</v>
      </c>
      <c r="J40" s="138"/>
      <c r="L40" s="160"/>
      <c r="M40" s="161"/>
      <c r="O40" s="160"/>
      <c r="P40" s="161"/>
      <c r="R40" s="160"/>
      <c r="S40" s="161"/>
      <c r="V40" s="140"/>
      <c r="W40" s="369"/>
      <c r="X40" s="167"/>
      <c r="Y40" s="167"/>
      <c r="Z40" s="161"/>
      <c r="AA40" s="149"/>
    </row>
    <row r="41" spans="1:27" ht="17.25" customHeight="1">
      <c r="A41" s="800"/>
      <c r="B41" s="125"/>
      <c r="C41" s="24" t="str">
        <f>IF(IFS!C132="","",IFS!C132)</f>
        <v>Debt Facilities (at model start)</v>
      </c>
      <c r="J41" s="139">
        <f>SUMIF(Timing!$J$5:$AG$5,J$8,IFS!$J132:$AG132)</f>
        <v>0</v>
      </c>
      <c r="K41" s="139">
        <f>SUMIF(Timing!$J$5:$AG$5,K$8,IFS!$J132:$AG132)</f>
        <v>0</v>
      </c>
      <c r="L41" s="156">
        <f>SUMIF(Timing!$J$5:$AG$5,L$8,IFS!$J132:$AG132)</f>
        <v>0</v>
      </c>
      <c r="M41" s="157">
        <f>SUMIF(Timing!$J$5:$AG$5,M$8,IFS!$J132:$AG132)</f>
        <v>0</v>
      </c>
      <c r="N41" s="139">
        <f>SUMIF(Timing!$J$5:$AG$5,N$8,IFS!$J132:$AG132)</f>
        <v>0</v>
      </c>
      <c r="O41" s="156">
        <f>SUMIF(Timing!$J$5:$AG$5,O$8,IFS!$J132:$AG132)</f>
        <v>0</v>
      </c>
      <c r="P41" s="157">
        <f>SUMIF(Timing!$J$5:$AG$5,P$8,IFS!$J132:$AG132)</f>
        <v>0</v>
      </c>
      <c r="Q41" s="139">
        <f>SUMIF(Timing!$J$5:$AG$5,Q$8,IFS!$J132:$AG132)</f>
        <v>0</v>
      </c>
      <c r="R41" s="156">
        <f>SUMIF(Timing!$J$5:$AG$5,R$8,IFS!$J132:$AG132)</f>
        <v>0</v>
      </c>
      <c r="S41" s="157">
        <f>SUMIF(Timing!$J$5:$AG$5,S$8,IFS!$J132:$AG132)</f>
        <v>0</v>
      </c>
      <c r="T41" s="139">
        <f>SUMIF(Timing!$J$5:$AG$5,T$8,IFS!$J132:$AG132)</f>
        <v>0</v>
      </c>
      <c r="U41" s="139">
        <f>SUMIF(Timing!$J$5:$AG$5,U$8,IFS!$J132:$AG132)</f>
        <v>0</v>
      </c>
      <c r="V41" s="140">
        <f t="shared" ref="V41:V46" si="12">SUM(J41:U41)</f>
        <v>0</v>
      </c>
      <c r="W41" s="162">
        <f>SUMPRODUCT((Timing!$J$29:$AG$29=1)*(Timing!$J$15:$AG$15=2)*(IFS!$J132:$AG132))</f>
        <v>-5000</v>
      </c>
      <c r="X41" s="165">
        <f>SUMPRODUCT((Timing!$J$29:$AG$29=2)*(Timing!$J$15:$AG$15=2)*(IFS!$J132:$AG132))</f>
        <v>0</v>
      </c>
      <c r="Y41" s="165">
        <f>SUMPRODUCT((Timing!$J$29:$AG$29=3)*(Timing!$J$15:$AG$15=2)*(IFS!$J132:$AG132))</f>
        <v>0</v>
      </c>
      <c r="Z41" s="157">
        <f>SUMPRODUCT((Timing!$J$29:$AG$29=4)*(Timing!$J$15:$AG$15=2)*(IFS!$J132:$AG132))</f>
        <v>0</v>
      </c>
      <c r="AA41" s="140">
        <f t="shared" ref="AA41:AA46" si="13">SUM(W41:Z41)</f>
        <v>-5000</v>
      </c>
    </row>
    <row r="42" spans="1:27" ht="17.25" customHeight="1">
      <c r="A42" s="800"/>
      <c r="B42" s="125"/>
      <c r="C42" s="24" t="str">
        <f>IF(IFS!C133="","",IFS!C133)</f>
        <v>Debt 1: EasyCredit</v>
      </c>
      <c r="J42" s="139">
        <f>SUMIF(Timing!$J$5:$AG$5,J$8,IFS!$J133:$AG133)</f>
        <v>0</v>
      </c>
      <c r="K42" s="139">
        <f>SUMIF(Timing!$J$5:$AG$5,K$8,IFS!$J133:$AG133)</f>
        <v>0</v>
      </c>
      <c r="L42" s="156">
        <f ca="1">SUMIF(Timing!$J$5:$AG$5,L$8,IFS!$J133:$AG133)</f>
        <v>0</v>
      </c>
      <c r="M42" s="157">
        <f ca="1">SUMIF(Timing!$J$5:$AG$5,M$8,IFS!$J133:$AG133)</f>
        <v>0</v>
      </c>
      <c r="N42" s="139">
        <f ca="1">SUMIF(Timing!$J$5:$AG$5,N$8,IFS!$J133:$AG133)</f>
        <v>0</v>
      </c>
      <c r="O42" s="156">
        <f ca="1">SUMIF(Timing!$J$5:$AG$5,O$8,IFS!$J133:$AG133)</f>
        <v>0</v>
      </c>
      <c r="P42" s="157">
        <f ca="1">SUMIF(Timing!$J$5:$AG$5,P$8,IFS!$J133:$AG133)</f>
        <v>0</v>
      </c>
      <c r="Q42" s="139">
        <f ca="1">SUMIF(Timing!$J$5:$AG$5,Q$8,IFS!$J133:$AG133)</f>
        <v>0</v>
      </c>
      <c r="R42" s="156">
        <f ca="1">SUMIF(Timing!$J$5:$AG$5,R$8,IFS!$J133:$AG133)</f>
        <v>0</v>
      </c>
      <c r="S42" s="157">
        <f ca="1">SUMIF(Timing!$J$5:$AG$5,S$8,IFS!$J133:$AG133)</f>
        <v>0</v>
      </c>
      <c r="T42" s="139">
        <f ca="1">SUMIF(Timing!$J$5:$AG$5,T$8,IFS!$J133:$AG133)</f>
        <v>0</v>
      </c>
      <c r="U42" s="139">
        <f ca="1">SUMIF(Timing!$J$5:$AG$5,U$8,IFS!$J133:$AG133)</f>
        <v>0</v>
      </c>
      <c r="V42" s="140">
        <f t="shared" ca="1" si="12"/>
        <v>0</v>
      </c>
      <c r="W42" s="162">
        <f ca="1">SUMPRODUCT((Timing!$J$29:$AG$29=1)*(Timing!$J$15:$AG$15=2)*(IFS!$J133:$AG133))</f>
        <v>0</v>
      </c>
      <c r="X42" s="165">
        <f ca="1">SUMPRODUCT((Timing!$J$29:$AG$29=2)*(Timing!$J$15:$AG$15=2)*(IFS!$J133:$AG133))</f>
        <v>0</v>
      </c>
      <c r="Y42" s="165">
        <f ca="1">SUMPRODUCT((Timing!$J$29:$AG$29=3)*(Timing!$J$15:$AG$15=2)*(IFS!$J133:$AG133))</f>
        <v>0</v>
      </c>
      <c r="Z42" s="157">
        <f ca="1">SUMPRODUCT((Timing!$J$29:$AG$29=4)*(Timing!$J$15:$AG$15=2)*(IFS!$J133:$AG133))</f>
        <v>0</v>
      </c>
      <c r="AA42" s="140">
        <f t="shared" ca="1" si="13"/>
        <v>0</v>
      </c>
    </row>
    <row r="43" spans="1:27" ht="17.25" customHeight="1">
      <c r="A43" s="800"/>
      <c r="B43" s="125"/>
      <c r="C43" s="24" t="str">
        <f>IF(IFS!C134="","",IFS!C134)</f>
        <v>Debt 2: URB Bank</v>
      </c>
      <c r="J43" s="139">
        <f>SUMIF(Timing!$J$5:$AG$5,J$8,IFS!$J134:$AG134)</f>
        <v>0</v>
      </c>
      <c r="K43" s="139">
        <f>SUMIF(Timing!$J$5:$AG$5,K$8,IFS!$J134:$AG134)</f>
        <v>0</v>
      </c>
      <c r="L43" s="156">
        <f>SUMIF(Timing!$J$5:$AG$5,L$8,IFS!$J134:$AG134)</f>
        <v>0</v>
      </c>
      <c r="M43" s="157">
        <f>SUMIF(Timing!$J$5:$AG$5,M$8,IFS!$J134:$AG134)</f>
        <v>0</v>
      </c>
      <c r="N43" s="139">
        <f>SUMIF(Timing!$J$5:$AG$5,N$8,IFS!$J134:$AG134)</f>
        <v>0</v>
      </c>
      <c r="O43" s="156">
        <f>SUMIF(Timing!$J$5:$AG$5,O$8,IFS!$J134:$AG134)</f>
        <v>0</v>
      </c>
      <c r="P43" s="157">
        <f>SUMIF(Timing!$J$5:$AG$5,P$8,IFS!$J134:$AG134)</f>
        <v>0</v>
      </c>
      <c r="Q43" s="139">
        <f>SUMIF(Timing!$J$5:$AG$5,Q$8,IFS!$J134:$AG134)</f>
        <v>0</v>
      </c>
      <c r="R43" s="156">
        <f>SUMIF(Timing!$J$5:$AG$5,R$8,IFS!$J134:$AG134)</f>
        <v>0</v>
      </c>
      <c r="S43" s="157">
        <f>SUMIF(Timing!$J$5:$AG$5,S$8,IFS!$J134:$AG134)</f>
        <v>0</v>
      </c>
      <c r="T43" s="139">
        <f>SUMIF(Timing!$J$5:$AG$5,T$8,IFS!$J134:$AG134)</f>
        <v>0</v>
      </c>
      <c r="U43" s="139">
        <f>SUMIF(Timing!$J$5:$AG$5,U$8,IFS!$J134:$AG134)</f>
        <v>70000</v>
      </c>
      <c r="V43" s="140">
        <f t="shared" si="12"/>
        <v>70000</v>
      </c>
      <c r="W43" s="162">
        <f>SUMPRODUCT((Timing!$J$29:$AG$29=1)*(Timing!$J$15:$AG$15=2)*(IFS!$J134:$AG134))</f>
        <v>0</v>
      </c>
      <c r="X43" s="165">
        <f>SUMPRODUCT((Timing!$J$29:$AG$29=2)*(Timing!$J$15:$AG$15=2)*(IFS!$J134:$AG134))</f>
        <v>0</v>
      </c>
      <c r="Y43" s="165">
        <f>SUMPRODUCT((Timing!$J$29:$AG$29=3)*(Timing!$J$15:$AG$15=2)*(IFS!$J134:$AG134))</f>
        <v>0</v>
      </c>
      <c r="Z43" s="157">
        <f>SUMPRODUCT((Timing!$J$29:$AG$29=4)*(Timing!$J$15:$AG$15=2)*(IFS!$J134:$AG134))</f>
        <v>-10000</v>
      </c>
      <c r="AA43" s="140">
        <f t="shared" si="13"/>
        <v>-10000</v>
      </c>
    </row>
    <row r="44" spans="1:27" ht="17.25" customHeight="1">
      <c r="A44" s="800"/>
      <c r="B44" s="125"/>
      <c r="C44" s="24" t="str">
        <f>IF(IFS!C135="","",IFS!C135)</f>
        <v>Debt 3: FounderBank</v>
      </c>
      <c r="J44" s="139">
        <f>SUMIF(Timing!$J$5:$AG$5,J$8,IFS!$J135:$AG135)</f>
        <v>0</v>
      </c>
      <c r="K44" s="139">
        <f>SUMIF(Timing!$J$5:$AG$5,K$8,IFS!$J135:$AG135)</f>
        <v>0</v>
      </c>
      <c r="L44" s="156">
        <f>SUMIF(Timing!$J$5:$AG$5,L$8,IFS!$J135:$AG135)</f>
        <v>0</v>
      </c>
      <c r="M44" s="157">
        <f>SUMIF(Timing!$J$5:$AG$5,M$8,IFS!$J135:$AG135)</f>
        <v>0</v>
      </c>
      <c r="N44" s="139">
        <f>SUMIF(Timing!$J$5:$AG$5,N$8,IFS!$J135:$AG135)</f>
        <v>0</v>
      </c>
      <c r="O44" s="156">
        <f>SUMIF(Timing!$J$5:$AG$5,O$8,IFS!$J135:$AG135)</f>
        <v>0</v>
      </c>
      <c r="P44" s="157">
        <f>SUMIF(Timing!$J$5:$AG$5,P$8,IFS!$J135:$AG135)</f>
        <v>0</v>
      </c>
      <c r="Q44" s="139">
        <f>SUMIF(Timing!$J$5:$AG$5,Q$8,IFS!$J135:$AG135)</f>
        <v>0</v>
      </c>
      <c r="R44" s="156">
        <f>SUMIF(Timing!$J$5:$AG$5,R$8,IFS!$J135:$AG135)</f>
        <v>0</v>
      </c>
      <c r="S44" s="157">
        <f>SUMIF(Timing!$J$5:$AG$5,S$8,IFS!$J135:$AG135)</f>
        <v>110000</v>
      </c>
      <c r="T44" s="139">
        <f>SUMIF(Timing!$J$5:$AG$5,T$8,IFS!$J135:$AG135)</f>
        <v>0</v>
      </c>
      <c r="U44" s="139">
        <f>SUMIF(Timing!$J$5:$AG$5,U$8,IFS!$J135:$AG135)</f>
        <v>0</v>
      </c>
      <c r="V44" s="140">
        <f t="shared" si="12"/>
        <v>110000</v>
      </c>
      <c r="W44" s="162">
        <f>SUMPRODUCT((Timing!$J$29:$AG$29=1)*(Timing!$J$15:$AG$15=2)*(IFS!$J135:$AG135))</f>
        <v>-2000</v>
      </c>
      <c r="X44" s="165">
        <f>SUMPRODUCT((Timing!$J$29:$AG$29=2)*(Timing!$J$15:$AG$15=2)*(IFS!$J135:$AG135))</f>
        <v>-3000</v>
      </c>
      <c r="Y44" s="165">
        <f>SUMPRODUCT((Timing!$J$29:$AG$29=3)*(Timing!$J$15:$AG$15=2)*(IFS!$J135:$AG135))</f>
        <v>-3000</v>
      </c>
      <c r="Z44" s="157">
        <f>SUMPRODUCT((Timing!$J$29:$AG$29=4)*(Timing!$J$15:$AG$15=2)*(IFS!$J135:$AG135))</f>
        <v>-2000</v>
      </c>
      <c r="AA44" s="140">
        <f t="shared" si="13"/>
        <v>-10000</v>
      </c>
    </row>
    <row r="45" spans="1:27" ht="17.25" customHeight="1">
      <c r="A45" s="800"/>
      <c r="B45" s="125"/>
      <c r="C45" s="24" t="str">
        <f>IF(IFS!C136="","",IFS!C136)</f>
        <v>Debt 4: Shareholder Loan</v>
      </c>
      <c r="J45" s="139">
        <f>SUMIF(Timing!$J$5:$AG$5,J$8,IFS!$J136:$AG136)</f>
        <v>0</v>
      </c>
      <c r="K45" s="139">
        <f>SUMIF(Timing!$J$5:$AG$5,K$8,IFS!$J136:$AG136)</f>
        <v>0</v>
      </c>
      <c r="L45" s="156">
        <f>SUMIF(Timing!$J$5:$AG$5,L$8,IFS!$J136:$AG136)</f>
        <v>0</v>
      </c>
      <c r="M45" s="157">
        <f>SUMIF(Timing!$J$5:$AG$5,M$8,IFS!$J136:$AG136)</f>
        <v>0</v>
      </c>
      <c r="N45" s="139">
        <f>SUMIF(Timing!$J$5:$AG$5,N$8,IFS!$J136:$AG136)</f>
        <v>0</v>
      </c>
      <c r="O45" s="156">
        <f>SUMIF(Timing!$J$5:$AG$5,O$8,IFS!$J136:$AG136)</f>
        <v>0</v>
      </c>
      <c r="P45" s="157">
        <f>SUMIF(Timing!$J$5:$AG$5,P$8,IFS!$J136:$AG136)</f>
        <v>0</v>
      </c>
      <c r="Q45" s="139">
        <f>SUMIF(Timing!$J$5:$AG$5,Q$8,IFS!$J136:$AG136)</f>
        <v>0</v>
      </c>
      <c r="R45" s="156">
        <f>SUMIF(Timing!$J$5:$AG$5,R$8,IFS!$J136:$AG136)</f>
        <v>0</v>
      </c>
      <c r="S45" s="157">
        <f>SUMIF(Timing!$J$5:$AG$5,S$8,IFS!$J136:$AG136)</f>
        <v>0</v>
      </c>
      <c r="T45" s="139">
        <f>SUMIF(Timing!$J$5:$AG$5,T$8,IFS!$J136:$AG136)</f>
        <v>0</v>
      </c>
      <c r="U45" s="139">
        <f>SUMIF(Timing!$J$5:$AG$5,U$8,IFS!$J136:$AG136)</f>
        <v>0</v>
      </c>
      <c r="V45" s="140">
        <f t="shared" si="12"/>
        <v>0</v>
      </c>
      <c r="W45" s="162">
        <f>SUMPRODUCT((Timing!$J$29:$AG$29=1)*(Timing!$J$15:$AG$15=2)*(IFS!$J136:$AG136))</f>
        <v>0</v>
      </c>
      <c r="X45" s="165">
        <f>SUMPRODUCT((Timing!$J$29:$AG$29=2)*(Timing!$J$15:$AG$15=2)*(IFS!$J136:$AG136))</f>
        <v>0</v>
      </c>
      <c r="Y45" s="165">
        <f>SUMPRODUCT((Timing!$J$29:$AG$29=3)*(Timing!$J$15:$AG$15=2)*(IFS!$J136:$AG136))</f>
        <v>50000</v>
      </c>
      <c r="Z45" s="157">
        <f>SUMPRODUCT((Timing!$J$29:$AG$29=4)*(Timing!$J$15:$AG$15=2)*(IFS!$J136:$AG136))</f>
        <v>0</v>
      </c>
      <c r="AA45" s="140">
        <f t="shared" si="13"/>
        <v>50000</v>
      </c>
    </row>
    <row r="46" spans="1:27" ht="17.25" customHeight="1">
      <c r="A46" s="800"/>
      <c r="B46" s="125"/>
      <c r="C46" s="199" t="str">
        <f>IF(IFS!C137="","",IFS!C137)</f>
        <v>Overdraft Facility</v>
      </c>
      <c r="J46" s="139">
        <f>SUMIF(Timing!$J$5:$AG$5,J$8,IFS!$J137:$AG137)</f>
        <v>0</v>
      </c>
      <c r="K46" s="139">
        <f>SUMIF(Timing!$J$5:$AG$5,K$8,IFS!$J137:$AG137)</f>
        <v>0</v>
      </c>
      <c r="L46" s="156">
        <f ca="1">SUMIF(Timing!$J$5:$AG$5,L$8,IFS!$J137:$AG137)</f>
        <v>0</v>
      </c>
      <c r="M46" s="157">
        <f ca="1">SUMIF(Timing!$J$5:$AG$5,M$8,IFS!$J137:$AG137)</f>
        <v>0</v>
      </c>
      <c r="N46" s="139">
        <f ca="1">SUMIF(Timing!$J$5:$AG$5,N$8,IFS!$J137:$AG137)</f>
        <v>0</v>
      </c>
      <c r="O46" s="156">
        <f ca="1">SUMIF(Timing!$J$5:$AG$5,O$8,IFS!$J137:$AG137)</f>
        <v>0</v>
      </c>
      <c r="P46" s="157">
        <f ca="1">SUMIF(Timing!$J$5:$AG$5,P$8,IFS!$J137:$AG137)</f>
        <v>0</v>
      </c>
      <c r="Q46" s="139">
        <f ca="1">SUMIF(Timing!$J$5:$AG$5,Q$8,IFS!$J137:$AG137)</f>
        <v>0</v>
      </c>
      <c r="R46" s="156">
        <f ca="1">SUMIF(Timing!$J$5:$AG$5,R$8,IFS!$J137:$AG137)</f>
        <v>0</v>
      </c>
      <c r="S46" s="157">
        <f ca="1">SUMIF(Timing!$J$5:$AG$5,S$8,IFS!$J137:$AG137)</f>
        <v>0</v>
      </c>
      <c r="T46" s="139">
        <f ca="1">SUMIF(Timing!$J$5:$AG$5,T$8,IFS!$J137:$AG137)</f>
        <v>45155.543174629362</v>
      </c>
      <c r="U46" s="139">
        <f ca="1">SUMIF(Timing!$J$5:$AG$5,U$8,IFS!$J137:$AG137)</f>
        <v>-45155.543174629362</v>
      </c>
      <c r="V46" s="140">
        <f t="shared" ca="1" si="12"/>
        <v>0</v>
      </c>
      <c r="W46" s="162">
        <f ca="1">SUMPRODUCT((Timing!$J$29:$AG$29=1)*(Timing!$J$15:$AG$15=2)*(IFS!$J137:$AG137))</f>
        <v>0</v>
      </c>
      <c r="X46" s="165">
        <f ca="1">SUMPRODUCT((Timing!$J$29:$AG$29=2)*(Timing!$J$15:$AG$15=2)*(IFS!$J137:$AG137))</f>
        <v>0</v>
      </c>
      <c r="Y46" s="165">
        <f ca="1">SUMPRODUCT((Timing!$J$29:$AG$29=3)*(Timing!$J$15:$AG$15=2)*(IFS!$J137:$AG137))</f>
        <v>0</v>
      </c>
      <c r="Z46" s="157">
        <f ca="1">SUMPRODUCT((Timing!$J$29:$AG$29=4)*(Timing!$J$15:$AG$15=2)*(IFS!$J137:$AG137))</f>
        <v>0</v>
      </c>
      <c r="AA46" s="140">
        <f t="shared" ca="1" si="13"/>
        <v>0</v>
      </c>
    </row>
    <row r="47" spans="1:27" ht="17.25" customHeight="1">
      <c r="A47" s="800"/>
      <c r="B47" s="125"/>
      <c r="C47" s="133" t="str">
        <f>IF(IFS!C138="","",IFS!C138)</f>
        <v xml:space="preserve">   Total Financing</v>
      </c>
      <c r="D47" s="132"/>
      <c r="E47" s="132"/>
      <c r="F47" s="132"/>
      <c r="G47" s="132"/>
      <c r="H47" s="132"/>
      <c r="I47" s="132"/>
      <c r="J47" s="148">
        <f t="shared" ref="J47:AA47" si="14">SUM(J39:J46)</f>
        <v>0</v>
      </c>
      <c r="K47" s="148">
        <f t="shared" si="14"/>
        <v>0</v>
      </c>
      <c r="L47" s="173">
        <f t="shared" ca="1" si="14"/>
        <v>29864.397428571428</v>
      </c>
      <c r="M47" s="174">
        <f t="shared" ca="1" si="14"/>
        <v>22614.050262160781</v>
      </c>
      <c r="N47" s="148">
        <f t="shared" ca="1" si="14"/>
        <v>177521.5523092678</v>
      </c>
      <c r="O47" s="173">
        <f t="shared" ca="1" si="14"/>
        <v>0</v>
      </c>
      <c r="P47" s="174">
        <f t="shared" ca="1" si="14"/>
        <v>0</v>
      </c>
      <c r="Q47" s="148">
        <f t="shared" ca="1" si="14"/>
        <v>0</v>
      </c>
      <c r="R47" s="173">
        <f t="shared" ca="1" si="14"/>
        <v>0</v>
      </c>
      <c r="S47" s="174">
        <f t="shared" ca="1" si="14"/>
        <v>110000</v>
      </c>
      <c r="T47" s="148">
        <f t="shared" ca="1" si="14"/>
        <v>45155.543174629362</v>
      </c>
      <c r="U47" s="148">
        <f t="shared" ca="1" si="14"/>
        <v>24844.456825370638</v>
      </c>
      <c r="V47" s="148">
        <f t="shared" ca="1" si="14"/>
        <v>410000</v>
      </c>
      <c r="W47" s="173">
        <f t="shared" ca="1" si="14"/>
        <v>-7000</v>
      </c>
      <c r="X47" s="177">
        <f t="shared" ca="1" si="14"/>
        <v>-3000</v>
      </c>
      <c r="Y47" s="177">
        <f t="shared" ca="1" si="14"/>
        <v>47000</v>
      </c>
      <c r="Z47" s="174">
        <f t="shared" ca="1" si="14"/>
        <v>-12000</v>
      </c>
      <c r="AA47" s="148">
        <f t="shared" ca="1" si="14"/>
        <v>25000</v>
      </c>
    </row>
    <row r="48" spans="1:27" ht="12" customHeight="1">
      <c r="A48" s="800"/>
      <c r="B48" s="125"/>
      <c r="C48" s="199" t="str">
        <f>IF(IFS!C139="","",IFS!C139)</f>
        <v/>
      </c>
      <c r="J48" s="138"/>
      <c r="L48" s="160"/>
      <c r="M48" s="161"/>
      <c r="O48" s="160"/>
      <c r="P48" s="161"/>
      <c r="R48" s="160"/>
      <c r="S48" s="161"/>
      <c r="V48" s="140"/>
      <c r="W48" s="160"/>
      <c r="X48" s="167"/>
      <c r="Y48" s="167"/>
      <c r="Z48" s="161"/>
      <c r="AA48" s="149"/>
    </row>
    <row r="49" spans="1:27" ht="17.25" customHeight="1">
      <c r="A49" s="800"/>
      <c r="B49" s="125"/>
      <c r="C49" s="199" t="str">
        <f>IF(IFS!C140="","",IFS!C140)</f>
        <v>Cash flow available for equity (CFADS)</v>
      </c>
      <c r="J49" s="139">
        <f t="shared" ref="J49:AA49" si="15">ROUND(J15+J35+J47,5)</f>
        <v>0</v>
      </c>
      <c r="K49" s="139">
        <f t="shared" si="15"/>
        <v>0</v>
      </c>
      <c r="L49" s="156">
        <f t="shared" ca="1" si="15"/>
        <v>0</v>
      </c>
      <c r="M49" s="157">
        <f t="shared" ca="1" si="15"/>
        <v>0</v>
      </c>
      <c r="N49" s="139">
        <f t="shared" ca="1" si="15"/>
        <v>90215.963050000006</v>
      </c>
      <c r="O49" s="156">
        <f t="shared" ca="1" si="15"/>
        <v>18319.013579999999</v>
      </c>
      <c r="P49" s="157">
        <f t="shared" ca="1" si="15"/>
        <v>-38219.834210000001</v>
      </c>
      <c r="Q49" s="139">
        <f t="shared" ca="1" si="15"/>
        <v>-40640.397819999998</v>
      </c>
      <c r="R49" s="156">
        <f t="shared" ca="1" si="15"/>
        <v>48037.713559999997</v>
      </c>
      <c r="S49" s="157">
        <f t="shared" ca="1" si="15"/>
        <v>-62127.685749999997</v>
      </c>
      <c r="T49" s="139">
        <f t="shared" ca="1" si="15"/>
        <v>-15584.772419999999</v>
      </c>
      <c r="U49" s="139">
        <f t="shared" ca="1" si="15"/>
        <v>147315.40580000001</v>
      </c>
      <c r="V49" s="140">
        <f t="shared" ca="1" si="15"/>
        <v>147315.40580000001</v>
      </c>
      <c r="W49" s="156">
        <f t="shared" ca="1" si="15"/>
        <v>-23134.038</v>
      </c>
      <c r="X49" s="165">
        <f t="shared" ca="1" si="15"/>
        <v>20859.993780000001</v>
      </c>
      <c r="Y49" s="165">
        <f t="shared" ca="1" si="15"/>
        <v>104964.19669</v>
      </c>
      <c r="Z49" s="157">
        <f t="shared" ca="1" si="15"/>
        <v>57339.6417</v>
      </c>
      <c r="AA49" s="140">
        <f t="shared" ca="1" si="15"/>
        <v>160029.79415999999</v>
      </c>
    </row>
    <row r="50" spans="1:27" ht="12" customHeight="1">
      <c r="A50" s="800"/>
      <c r="B50" s="125"/>
      <c r="C50" s="199" t="str">
        <f>IF(IFS!C141="","",IFS!C141)</f>
        <v/>
      </c>
      <c r="J50" s="138"/>
      <c r="L50" s="160"/>
      <c r="M50" s="161"/>
      <c r="O50" s="160"/>
      <c r="P50" s="161"/>
      <c r="R50" s="160"/>
      <c r="S50" s="161"/>
      <c r="V50" s="140"/>
      <c r="W50" s="160"/>
      <c r="X50" s="167"/>
      <c r="Y50" s="167"/>
      <c r="Z50" s="161"/>
      <c r="AA50" s="149"/>
    </row>
    <row r="51" spans="1:27" ht="17.25" customHeight="1">
      <c r="A51" s="800"/>
      <c r="B51" s="125"/>
      <c r="C51" s="199" t="str">
        <f>IF(IFS!C142="","",IFS!C142)</f>
        <v>Dividend payments</v>
      </c>
      <c r="J51" s="139">
        <f>SUMIF(Timing!$J$5:$AG$5,J$8,IFS!$J142:$AG142)</f>
        <v>0</v>
      </c>
      <c r="K51" s="139">
        <f>SUMIF(Timing!$J$5:$AG$5,K$8,IFS!$J142:$AG142)</f>
        <v>0</v>
      </c>
      <c r="L51" s="156">
        <f>SUMIF(Timing!$J$5:$AG$5,L$8,IFS!$J142:$AG142)</f>
        <v>0</v>
      </c>
      <c r="M51" s="157">
        <f>SUMIF(Timing!$J$5:$AG$5,M$8,IFS!$J142:$AG142)</f>
        <v>0</v>
      </c>
      <c r="N51" s="139">
        <f>SUMIF(Timing!$J$5:$AG$5,N$8,IFS!$J142:$AG142)</f>
        <v>0</v>
      </c>
      <c r="O51" s="156">
        <f>SUMIF(Timing!$J$5:$AG$5,O$8,IFS!$J142:$AG142)</f>
        <v>0</v>
      </c>
      <c r="P51" s="157">
        <f>SUMIF(Timing!$J$5:$AG$5,P$8,IFS!$J142:$AG142)</f>
        <v>0</v>
      </c>
      <c r="Q51" s="139">
        <f>SUMIF(Timing!$J$5:$AG$5,Q$8,IFS!$J142:$AG142)</f>
        <v>0</v>
      </c>
      <c r="R51" s="156">
        <f>SUMIF(Timing!$J$5:$AG$5,R$8,IFS!$J142:$AG142)</f>
        <v>0</v>
      </c>
      <c r="S51" s="157">
        <f>SUMIF(Timing!$J$5:$AG$5,S$8,IFS!$J142:$AG142)</f>
        <v>0</v>
      </c>
      <c r="T51" s="139">
        <f>SUMIF(Timing!$J$5:$AG$5,T$8,IFS!$J142:$AG142)</f>
        <v>0</v>
      </c>
      <c r="U51" s="139">
        <f>SUMIF(Timing!$J$5:$AG$5,U$8,IFS!$J142:$AG142)</f>
        <v>0</v>
      </c>
      <c r="V51" s="140">
        <f>SUM(J51:U51)</f>
        <v>0</v>
      </c>
      <c r="W51" s="162">
        <f>SUMPRODUCT((Timing!$J$29:$AG$29=1)*(Timing!$J$15:$AG$15=2)*(IFS!$J142:$AG142))</f>
        <v>0</v>
      </c>
      <c r="X51" s="165">
        <f>SUMPRODUCT((Timing!$J$29:$AG$29=2)*(Timing!$J$15:$AG$15=2)*(IFS!$J142:$AG142))</f>
        <v>0</v>
      </c>
      <c r="Y51" s="165">
        <f>SUMPRODUCT((Timing!$J$29:$AG$29=3)*(Timing!$J$15:$AG$15=2)*(IFS!$J142:$AG142))</f>
        <v>0</v>
      </c>
      <c r="Z51" s="157">
        <f>SUMPRODUCT((Timing!$J$29:$AG$29=4)*(Timing!$J$15:$AG$15=2)*(IFS!$J142:$AG142))</f>
        <v>0</v>
      </c>
      <c r="AA51" s="140">
        <f>SUM(W51:Z51)</f>
        <v>0</v>
      </c>
    </row>
    <row r="52" spans="1:27" ht="12" customHeight="1">
      <c r="A52" s="800"/>
      <c r="B52" s="125"/>
      <c r="C52" s="199" t="str">
        <f>IF(IFS!C143="","",IFS!C143)</f>
        <v/>
      </c>
      <c r="J52" s="138"/>
      <c r="L52" s="160"/>
      <c r="M52" s="161"/>
      <c r="O52" s="160"/>
      <c r="P52" s="161"/>
      <c r="R52" s="160"/>
      <c r="S52" s="161"/>
      <c r="V52" s="140"/>
      <c r="W52" s="160"/>
      <c r="X52" s="167"/>
      <c r="Y52" s="167"/>
      <c r="Z52" s="161"/>
      <c r="AA52" s="149"/>
    </row>
    <row r="53" spans="1:27" ht="20.25">
      <c r="A53" s="800"/>
      <c r="B53" s="125"/>
      <c r="C53" s="2" t="str">
        <f>IF(IFS!C144="","",IFS!C144)</f>
        <v>Change in Cash and Cash Balance</v>
      </c>
      <c r="J53" s="138"/>
      <c r="L53" s="160"/>
      <c r="M53" s="161"/>
      <c r="O53" s="160"/>
      <c r="P53" s="161"/>
      <c r="R53" s="160"/>
      <c r="S53" s="161"/>
      <c r="V53" s="140"/>
      <c r="W53" s="160"/>
      <c r="X53" s="167"/>
      <c r="Y53" s="167"/>
      <c r="Z53" s="161"/>
      <c r="AA53" s="149"/>
    </row>
    <row r="54" spans="1:27" ht="17.25" customHeight="1">
      <c r="A54" s="800"/>
      <c r="B54" s="125"/>
      <c r="C54" s="199" t="str">
        <f>IF(IFS!C145="","",IFS!C145)</f>
        <v>Net Cash Flow</v>
      </c>
      <c r="H54" s="150"/>
      <c r="J54" s="148">
        <f>ROUND(J49+J51,5)</f>
        <v>0</v>
      </c>
      <c r="K54" s="148">
        <f t="shared" ref="K54:AA54" si="16">ROUND(K49+K51,5)</f>
        <v>0</v>
      </c>
      <c r="L54" s="173">
        <f t="shared" ca="1" si="16"/>
        <v>0</v>
      </c>
      <c r="M54" s="174">
        <f t="shared" ca="1" si="16"/>
        <v>0</v>
      </c>
      <c r="N54" s="148">
        <f t="shared" ca="1" si="16"/>
        <v>90215.963050000006</v>
      </c>
      <c r="O54" s="173">
        <f t="shared" ca="1" si="16"/>
        <v>18319.013579999999</v>
      </c>
      <c r="P54" s="174">
        <f t="shared" ca="1" si="16"/>
        <v>-38219.834210000001</v>
      </c>
      <c r="Q54" s="148">
        <f t="shared" ca="1" si="16"/>
        <v>-40640.397819999998</v>
      </c>
      <c r="R54" s="173">
        <f t="shared" ca="1" si="16"/>
        <v>48037.713559999997</v>
      </c>
      <c r="S54" s="174">
        <f t="shared" ca="1" si="16"/>
        <v>-62127.685749999997</v>
      </c>
      <c r="T54" s="148">
        <f t="shared" ca="1" si="16"/>
        <v>-15584.772419999999</v>
      </c>
      <c r="U54" s="148">
        <f t="shared" ca="1" si="16"/>
        <v>147315.40580000001</v>
      </c>
      <c r="V54" s="148">
        <f t="shared" ca="1" si="16"/>
        <v>147315.40580000001</v>
      </c>
      <c r="W54" s="173">
        <f t="shared" ca="1" si="16"/>
        <v>-23134.038</v>
      </c>
      <c r="X54" s="177">
        <f t="shared" ca="1" si="16"/>
        <v>20859.993780000001</v>
      </c>
      <c r="Y54" s="177">
        <f t="shared" ca="1" si="16"/>
        <v>104964.19669</v>
      </c>
      <c r="Z54" s="174">
        <f t="shared" ca="1" si="16"/>
        <v>57339.6417</v>
      </c>
      <c r="AA54" s="148">
        <f t="shared" ca="1" si="16"/>
        <v>160029.79415999999</v>
      </c>
    </row>
    <row r="55" spans="1:27" ht="17.25" customHeight="1">
      <c r="A55" s="800"/>
      <c r="B55" s="125"/>
      <c r="C55" s="199" t="str">
        <f>IF(IFS!C146="","",IFS!C146)</f>
        <v xml:space="preserve">  Cash B/f</v>
      </c>
      <c r="J55" s="138">
        <f t="shared" ref="J55:U55" si="17">I56</f>
        <v>0</v>
      </c>
      <c r="K55" s="138">
        <f t="shared" si="17"/>
        <v>0</v>
      </c>
      <c r="L55" s="175">
        <f t="shared" si="17"/>
        <v>0</v>
      </c>
      <c r="M55" s="176">
        <f t="shared" ca="1" si="17"/>
        <v>0</v>
      </c>
      <c r="N55" s="138">
        <f t="shared" ca="1" si="17"/>
        <v>0</v>
      </c>
      <c r="O55" s="175">
        <f t="shared" ca="1" si="17"/>
        <v>90215.963050000006</v>
      </c>
      <c r="P55" s="176">
        <f t="shared" ca="1" si="17"/>
        <v>108534.97663</v>
      </c>
      <c r="Q55" s="138">
        <f t="shared" ca="1" si="17"/>
        <v>70315.142420000004</v>
      </c>
      <c r="R55" s="175">
        <f t="shared" ca="1" si="17"/>
        <v>29674.744600000005</v>
      </c>
      <c r="S55" s="176">
        <f t="shared" ca="1" si="17"/>
        <v>77712.458160000009</v>
      </c>
      <c r="T55" s="138">
        <f t="shared" ca="1" si="17"/>
        <v>15584.772410000012</v>
      </c>
      <c r="U55" s="138">
        <f t="shared" ca="1" si="17"/>
        <v>0</v>
      </c>
      <c r="V55" s="140">
        <f>I56</f>
        <v>0</v>
      </c>
      <c r="W55" s="175">
        <f t="shared" ref="W55:Z55" ca="1" si="18">V56</f>
        <v>147315.40580000001</v>
      </c>
      <c r="X55" s="178">
        <f t="shared" ca="1" si="18"/>
        <v>124181.36780000001</v>
      </c>
      <c r="Y55" s="178">
        <f t="shared" ca="1" si="18"/>
        <v>145041.36158</v>
      </c>
      <c r="Z55" s="176">
        <f t="shared" ca="1" si="18"/>
        <v>250005.55826999998</v>
      </c>
      <c r="AA55" s="140">
        <f ca="1">V56</f>
        <v>147315.40580000001</v>
      </c>
    </row>
    <row r="56" spans="1:27" ht="17.25" customHeight="1" thickBot="1">
      <c r="A56" s="800"/>
      <c r="B56" s="125"/>
      <c r="C56" s="199" t="str">
        <f>IF(IFS!C147="","",IFS!C147)</f>
        <v xml:space="preserve">  Cash C/f</v>
      </c>
      <c r="I56" s="144">
        <f>Inputs!F269</f>
        <v>0</v>
      </c>
      <c r="J56" s="836">
        <f t="shared" ref="J56:Q56" si="19">IF(ABS(J55+J54)&lt;0.001,0,J55+J54)</f>
        <v>0</v>
      </c>
      <c r="K56" s="836">
        <f t="shared" si="19"/>
        <v>0</v>
      </c>
      <c r="L56" s="837">
        <f t="shared" ca="1" si="19"/>
        <v>0</v>
      </c>
      <c r="M56" s="838">
        <f t="shared" ca="1" si="19"/>
        <v>0</v>
      </c>
      <c r="N56" s="836">
        <f t="shared" ca="1" si="19"/>
        <v>90215.963050000006</v>
      </c>
      <c r="O56" s="837">
        <f t="shared" ca="1" si="19"/>
        <v>108534.97663</v>
      </c>
      <c r="P56" s="838">
        <f t="shared" ca="1" si="19"/>
        <v>70315.142420000004</v>
      </c>
      <c r="Q56" s="836">
        <f t="shared" ca="1" si="19"/>
        <v>29674.744600000005</v>
      </c>
      <c r="R56" s="837">
        <f t="shared" ref="R56:AA56" ca="1" si="20">IF(ABS(R55+R54)&lt;0.001,0,R55+R54)</f>
        <v>77712.458160000009</v>
      </c>
      <c r="S56" s="838">
        <f t="shared" ca="1" si="20"/>
        <v>15584.772410000012</v>
      </c>
      <c r="T56" s="836">
        <f t="shared" ca="1" si="20"/>
        <v>0</v>
      </c>
      <c r="U56" s="836">
        <f t="shared" ca="1" si="20"/>
        <v>147315.40580000001</v>
      </c>
      <c r="V56" s="836">
        <f t="shared" ca="1" si="20"/>
        <v>147315.40580000001</v>
      </c>
      <c r="W56" s="837">
        <f t="shared" ca="1" si="20"/>
        <v>124181.36780000001</v>
      </c>
      <c r="X56" s="839">
        <f t="shared" ca="1" si="20"/>
        <v>145041.36158</v>
      </c>
      <c r="Y56" s="839">
        <f t="shared" ca="1" si="20"/>
        <v>250005.55826999998</v>
      </c>
      <c r="Z56" s="838">
        <f t="shared" ca="1" si="20"/>
        <v>307345.19996999996</v>
      </c>
      <c r="AA56" s="836">
        <f t="shared" ca="1" si="20"/>
        <v>307345.19996</v>
      </c>
    </row>
    <row r="57" spans="1:27" ht="17.25" customHeight="1" thickTop="1">
      <c r="A57" s="800"/>
      <c r="B57" s="188"/>
      <c r="C57" s="375" t="str">
        <f>IF(IFS!C148="","",IFS!C148)</f>
        <v>Check: Cash always ≥ 0</v>
      </c>
      <c r="D57" s="375"/>
      <c r="E57" s="375"/>
      <c r="F57" s="375"/>
      <c r="G57" s="375"/>
      <c r="H57" s="375"/>
      <c r="I57" s="805">
        <f ca="1">SUM(J57:AA57)</f>
        <v>0</v>
      </c>
      <c r="J57" s="22">
        <f>IF(J56&lt;0,1,0)</f>
        <v>0</v>
      </c>
      <c r="K57" s="22">
        <f t="shared" ref="K57:AA57" si="21">IF(K56&lt;0,1,0)</f>
        <v>0</v>
      </c>
      <c r="L57" s="22">
        <f t="shared" ca="1" si="21"/>
        <v>0</v>
      </c>
      <c r="M57" s="22">
        <f t="shared" ca="1" si="21"/>
        <v>0</v>
      </c>
      <c r="N57" s="22">
        <f t="shared" ca="1" si="21"/>
        <v>0</v>
      </c>
      <c r="O57" s="22">
        <f t="shared" ca="1" si="21"/>
        <v>0</v>
      </c>
      <c r="P57" s="22">
        <f t="shared" ca="1" si="21"/>
        <v>0</v>
      </c>
      <c r="Q57" s="22">
        <f t="shared" ca="1" si="21"/>
        <v>0</v>
      </c>
      <c r="R57" s="22">
        <f t="shared" ca="1" si="21"/>
        <v>0</v>
      </c>
      <c r="S57" s="22">
        <f t="shared" ca="1" si="21"/>
        <v>0</v>
      </c>
      <c r="T57" s="22">
        <f t="shared" ca="1" si="21"/>
        <v>0</v>
      </c>
      <c r="U57" s="22">
        <f t="shared" ca="1" si="21"/>
        <v>0</v>
      </c>
      <c r="V57" s="22">
        <f t="shared" ca="1" si="21"/>
        <v>0</v>
      </c>
      <c r="W57" s="22">
        <f t="shared" ca="1" si="21"/>
        <v>0</v>
      </c>
      <c r="X57" s="22">
        <f t="shared" ca="1" si="21"/>
        <v>0</v>
      </c>
      <c r="Y57" s="22">
        <f t="shared" ca="1" si="21"/>
        <v>0</v>
      </c>
      <c r="Z57" s="22">
        <f t="shared" ca="1" si="21"/>
        <v>0</v>
      </c>
      <c r="AA57" s="22">
        <f t="shared" ca="1" si="21"/>
        <v>0</v>
      </c>
    </row>
    <row r="58" spans="1:27" ht="17.25" customHeight="1">
      <c r="A58" s="800"/>
      <c r="B58" s="188"/>
      <c r="C58" s="251" t="s">
        <v>642</v>
      </c>
      <c r="D58" s="375"/>
      <c r="E58" s="375"/>
      <c r="F58" s="375"/>
      <c r="G58" s="375"/>
      <c r="H58" s="375"/>
      <c r="I58" s="805">
        <f ca="1">ROUND(LOOKUP(Enddatum,IFS!$J$5:$AG$5,IFS!$J$147:$AG$147)-LOOKUP(Enddatum,$J$8:$AA$8,$J$56:$AA$56),1)</f>
        <v>0</v>
      </c>
    </row>
    <row r="59" spans="1:27">
      <c r="A59" s="800"/>
      <c r="B59" s="125"/>
      <c r="C59" s="48"/>
    </row>
    <row r="60" spans="1:27">
      <c r="A60" s="800"/>
      <c r="B60" s="125"/>
    </row>
    <row r="61" spans="1:27">
      <c r="A61" s="800"/>
    </row>
    <row r="62" spans="1:27">
      <c r="A62" s="800"/>
    </row>
  </sheetData>
  <sheetProtection password="F66A" sheet="1"/>
  <mergeCells count="2">
    <mergeCell ref="J5:U5"/>
    <mergeCell ref="W5:Z5"/>
  </mergeCells>
  <conditionalFormatting sqref="J57:AA57">
    <cfRule type="cellIs" dxfId="404" priority="11" stopIfTrue="1" operator="equal">
      <formula>1</formula>
    </cfRule>
  </conditionalFormatting>
  <conditionalFormatting sqref="I57">
    <cfRule type="cellIs" dxfId="403" priority="3" operator="notEqual">
      <formula>0</formula>
    </cfRule>
  </conditionalFormatting>
  <conditionalFormatting sqref="I58">
    <cfRule type="cellIs" dxfId="402" priority="2" operator="notEqual">
      <formula>0</formula>
    </cfRule>
  </conditionalFormatting>
  <conditionalFormatting sqref="D3">
    <cfRule type="cellIs" dxfId="401" priority="1" operator="notEqual">
      <formula>0</formula>
    </cfRule>
  </conditionalFormatting>
  <hyperlinks>
    <hyperlink ref="E3" location="Fehlerkontrolle" display="Go to error checks"/>
    <hyperlink ref="E2" location="Index!A1" display="Go to table of contents"/>
  </hyperlinks>
  <pageMargins left="0.39370078740157483" right="0.39370078740157483" top="0.39370078740157483" bottom="0.59055118110236227" header="0.31496062992125984" footer="0.31496062992125984"/>
  <pageSetup paperSize="9" scale="50" fitToWidth="2" orientation="landscape" r:id="rId1"/>
  <headerFooter>
    <oddFooter>&amp;Lwww.excel-financial-model.com&amp;C&amp;A&amp;R&amp;P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ebersicht04">
    <tabColor rgb="FFFF0000"/>
  </sheetPr>
  <dimension ref="A1:NE59"/>
  <sheetViews>
    <sheetView showGridLines="0" zoomScale="85" zoomScaleNormal="85" zoomScaleSheetLayoutView="100" workbookViewId="0"/>
  </sheetViews>
  <sheetFormatPr baseColWidth="10" defaultColWidth="0" defaultRowHeight="12.75" outlineLevelCol="1"/>
  <cols>
    <col min="1" max="2" width="4.140625" style="199" customWidth="1"/>
    <col min="3" max="3" width="36.7109375" style="199" customWidth="1"/>
    <col min="4" max="4" width="9.28515625" style="199" customWidth="1"/>
    <col min="5" max="5" width="4.7109375" style="199" customWidth="1"/>
    <col min="6" max="8" width="2.28515625" style="199" customWidth="1"/>
    <col min="9" max="9" width="10.85546875" style="199" customWidth="1"/>
    <col min="10" max="21" width="13.7109375" style="199" customWidth="1" outlineLevel="1"/>
    <col min="22" max="22" width="17.28515625" style="199" customWidth="1"/>
    <col min="23" max="26" width="13.7109375" style="199" customWidth="1" outlineLevel="1"/>
    <col min="27" max="27" width="17.28515625" style="199" customWidth="1"/>
    <col min="28" max="65" width="11.42578125" style="199" hidden="1" customWidth="1"/>
    <col min="66" max="369" width="0" style="199" hidden="1" customWidth="1"/>
    <col min="370" max="16384" width="11.42578125" style="199" hidden="1"/>
  </cols>
  <sheetData>
    <row r="1" spans="1:28" ht="20.25">
      <c r="A1" s="41" t="s">
        <v>314</v>
      </c>
      <c r="B1" s="41"/>
      <c r="C1" s="41"/>
      <c r="D1" s="41"/>
      <c r="E1" s="41"/>
      <c r="F1" s="41"/>
      <c r="G1" s="41"/>
      <c r="H1" s="41"/>
      <c r="I1" s="41"/>
      <c r="J1" s="41"/>
      <c r="K1" s="41"/>
      <c r="L1" s="41"/>
      <c r="M1" s="41"/>
      <c r="N1" s="41"/>
      <c r="O1" s="41"/>
      <c r="P1" s="41"/>
      <c r="Q1" s="41"/>
      <c r="R1" s="41"/>
      <c r="S1" s="41"/>
      <c r="T1" s="41"/>
      <c r="U1" s="41"/>
      <c r="V1" s="41"/>
      <c r="W1" s="41"/>
      <c r="X1" s="41"/>
      <c r="Y1" s="41"/>
      <c r="Z1" s="41"/>
      <c r="AA1" s="41"/>
    </row>
    <row r="2" spans="1:28" ht="15">
      <c r="A2" s="1053"/>
      <c r="B2" s="182"/>
      <c r="C2" s="182" t="str">
        <f>Timing!C2</f>
        <v>Model: Fictitious 5 Year Forecast</v>
      </c>
      <c r="D2" s="182"/>
      <c r="E2" s="629" t="s">
        <v>148</v>
      </c>
      <c r="F2" s="181"/>
      <c r="G2" s="181"/>
      <c r="H2" s="375"/>
      <c r="I2" s="375"/>
      <c r="J2" s="375"/>
      <c r="K2" s="375"/>
      <c r="L2" s="375"/>
      <c r="M2" s="375"/>
    </row>
    <row r="3" spans="1:28" ht="20.25">
      <c r="A3" s="249"/>
      <c r="B3" s="249"/>
      <c r="C3" s="182" t="str">
        <f>Timing!C3</f>
        <v>Model Integrity:</v>
      </c>
      <c r="D3" s="805">
        <f ca="1">Timing!D3</f>
        <v>0</v>
      </c>
      <c r="E3" s="629" t="s">
        <v>149</v>
      </c>
      <c r="F3" s="181"/>
      <c r="G3" s="250"/>
      <c r="H3" s="250"/>
      <c r="I3" s="184"/>
      <c r="J3" s="375"/>
      <c r="K3" s="375"/>
      <c r="L3" s="375"/>
      <c r="M3" s="375"/>
      <c r="N3" s="375"/>
      <c r="O3" s="375"/>
      <c r="P3" s="375"/>
      <c r="Q3" s="375"/>
      <c r="R3" s="375"/>
      <c r="S3" s="375"/>
      <c r="T3" s="67"/>
      <c r="V3" s="368"/>
      <c r="X3" s="67"/>
      <c r="Z3" s="67"/>
      <c r="AB3" s="67"/>
    </row>
    <row r="4" spans="1:28" ht="24" thickBot="1">
      <c r="A4" s="808"/>
      <c r="B4" s="808"/>
      <c r="C4" s="809"/>
      <c r="D4" s="810"/>
      <c r="E4" s="809"/>
      <c r="F4" s="809"/>
      <c r="G4" s="809"/>
      <c r="H4" s="809"/>
      <c r="I4" s="809"/>
      <c r="J4" s="809"/>
      <c r="K4" s="809"/>
      <c r="L4" s="809"/>
      <c r="M4" s="809"/>
      <c r="N4" s="809"/>
      <c r="O4" s="809"/>
      <c r="P4" s="809"/>
      <c r="Q4" s="809"/>
      <c r="R4" s="809"/>
      <c r="S4" s="809"/>
      <c r="T4" s="809"/>
      <c r="U4" s="809"/>
      <c r="V4" s="809"/>
      <c r="W4" s="809"/>
      <c r="X4" s="809"/>
      <c r="Y4" s="809"/>
      <c r="Z4" s="809"/>
      <c r="AA4" s="809"/>
    </row>
    <row r="5" spans="1:28" ht="17.25" customHeight="1">
      <c r="A5" s="549"/>
      <c r="B5" s="549"/>
      <c r="C5" s="737"/>
      <c r="D5" s="811"/>
      <c r="E5" s="181"/>
      <c r="F5" s="181"/>
      <c r="G5" s="181"/>
      <c r="H5" s="181"/>
      <c r="I5" s="181"/>
      <c r="J5" s="1156" t="s">
        <v>1075</v>
      </c>
      <c r="K5" s="1156"/>
      <c r="L5" s="1156"/>
      <c r="M5" s="1156"/>
      <c r="N5" s="1156"/>
      <c r="O5" s="1156"/>
      <c r="P5" s="1156"/>
      <c r="Q5" s="1156"/>
      <c r="R5" s="1156"/>
      <c r="S5" s="1156"/>
      <c r="T5" s="1156"/>
      <c r="U5" s="1156"/>
      <c r="V5" s="169" t="s">
        <v>1075</v>
      </c>
      <c r="W5" s="1156" t="s">
        <v>1076</v>
      </c>
      <c r="X5" s="1156"/>
      <c r="Y5" s="1156"/>
      <c r="Z5" s="1156"/>
      <c r="AA5" s="169" t="s">
        <v>1076</v>
      </c>
    </row>
    <row r="6" spans="1:28" ht="24" thickBot="1">
      <c r="A6" s="808"/>
      <c r="B6" s="808"/>
      <c r="C6" s="809" t="s">
        <v>314</v>
      </c>
      <c r="D6" s="809"/>
      <c r="E6" s="809"/>
      <c r="F6" s="809"/>
      <c r="G6" s="809"/>
      <c r="H6" s="809"/>
      <c r="I6" s="809"/>
      <c r="J6" s="170"/>
      <c r="K6" s="153">
        <v>1</v>
      </c>
      <c r="L6" s="171"/>
      <c r="M6" s="170"/>
      <c r="N6" s="153">
        <v>2</v>
      </c>
      <c r="O6" s="171"/>
      <c r="P6" s="170"/>
      <c r="Q6" s="153">
        <v>3</v>
      </c>
      <c r="R6" s="171"/>
      <c r="S6" s="170"/>
      <c r="T6" s="153">
        <v>4</v>
      </c>
      <c r="U6" s="171"/>
      <c r="V6" s="172" t="s">
        <v>46</v>
      </c>
      <c r="W6" s="152">
        <v>1</v>
      </c>
      <c r="X6" s="152">
        <v>2</v>
      </c>
      <c r="Y6" s="152">
        <v>3</v>
      </c>
      <c r="Z6" s="152">
        <v>4</v>
      </c>
      <c r="AA6" s="172" t="s">
        <v>46</v>
      </c>
    </row>
    <row r="7" spans="1:28" ht="17.25" customHeight="1">
      <c r="A7" s="549"/>
      <c r="B7" s="549"/>
      <c r="C7" s="191" t="str">
        <f>"   (all figures in " &amp;Currency_Label &amp;")"</f>
        <v xml:space="preserve">   (all figures in USD)</v>
      </c>
      <c r="D7" s="811"/>
      <c r="E7" s="181"/>
      <c r="F7" s="181"/>
      <c r="G7" s="421"/>
      <c r="H7" s="181"/>
      <c r="I7" s="812">
        <v>43131</v>
      </c>
      <c r="J7" s="812">
        <v>43070</v>
      </c>
      <c r="K7" s="812">
        <v>43101</v>
      </c>
      <c r="L7" s="812">
        <v>43132</v>
      </c>
      <c r="M7" s="812">
        <v>43160</v>
      </c>
      <c r="N7" s="812">
        <v>43191</v>
      </c>
      <c r="O7" s="812">
        <v>43221</v>
      </c>
      <c r="P7" s="812">
        <v>43252</v>
      </c>
      <c r="Q7" s="812">
        <v>43282</v>
      </c>
      <c r="R7" s="812">
        <v>43313</v>
      </c>
      <c r="S7" s="812">
        <v>43344</v>
      </c>
      <c r="T7" s="812">
        <v>43374</v>
      </c>
      <c r="U7" s="812">
        <v>43405</v>
      </c>
      <c r="V7" s="813">
        <v>43132</v>
      </c>
      <c r="W7" s="812">
        <v>43435</v>
      </c>
      <c r="X7" s="812">
        <v>43525</v>
      </c>
      <c r="Y7" s="812">
        <v>43617</v>
      </c>
      <c r="Z7" s="812">
        <v>43709</v>
      </c>
      <c r="AA7" s="813">
        <v>43435</v>
      </c>
    </row>
    <row r="8" spans="1:28" ht="17.25" customHeight="1">
      <c r="A8" s="549"/>
      <c r="B8" s="549"/>
      <c r="C8" s="737"/>
      <c r="D8" s="811"/>
      <c r="E8" s="181"/>
      <c r="F8" s="181"/>
      <c r="G8" s="421"/>
      <c r="H8" s="181"/>
      <c r="I8" s="814" t="s">
        <v>564</v>
      </c>
      <c r="J8" s="812">
        <v>43100</v>
      </c>
      <c r="K8" s="812">
        <v>43131</v>
      </c>
      <c r="L8" s="812">
        <v>43159</v>
      </c>
      <c r="M8" s="812">
        <v>43190</v>
      </c>
      <c r="N8" s="812">
        <v>43220</v>
      </c>
      <c r="O8" s="812">
        <v>43251</v>
      </c>
      <c r="P8" s="812">
        <v>43281</v>
      </c>
      <c r="Q8" s="812">
        <v>43312</v>
      </c>
      <c r="R8" s="812">
        <v>43343</v>
      </c>
      <c r="S8" s="812">
        <v>43373</v>
      </c>
      <c r="T8" s="812">
        <v>43404</v>
      </c>
      <c r="U8" s="812">
        <v>43434</v>
      </c>
      <c r="V8" s="813">
        <v>43434</v>
      </c>
      <c r="W8" s="812">
        <v>43524</v>
      </c>
      <c r="X8" s="812">
        <v>43616</v>
      </c>
      <c r="Y8" s="812">
        <v>43708</v>
      </c>
      <c r="Z8" s="812">
        <v>43799</v>
      </c>
      <c r="AA8" s="813">
        <v>43799</v>
      </c>
    </row>
    <row r="9" spans="1:28" ht="18.75" customHeight="1">
      <c r="A9" s="549"/>
      <c r="B9" s="549"/>
      <c r="C9" s="181" t="str">
        <f>IF(IFS!C152="","",IFS!C152)</f>
        <v/>
      </c>
      <c r="D9" s="737"/>
      <c r="E9" s="737"/>
      <c r="F9" s="737"/>
      <c r="G9" s="737"/>
      <c r="H9" s="737"/>
      <c r="I9" s="746"/>
      <c r="J9" s="746"/>
      <c r="K9" s="737"/>
      <c r="L9" s="388"/>
      <c r="M9" s="389"/>
      <c r="N9" s="737"/>
      <c r="O9" s="388"/>
      <c r="P9" s="389"/>
      <c r="Q9" s="737"/>
      <c r="R9" s="388"/>
      <c r="S9" s="389"/>
      <c r="T9" s="737"/>
      <c r="U9" s="737"/>
      <c r="V9" s="815"/>
      <c r="W9" s="388"/>
      <c r="X9" s="816"/>
      <c r="Y9" s="816"/>
      <c r="Z9" s="389"/>
      <c r="AA9" s="815"/>
    </row>
    <row r="10" spans="1:28" ht="18.75" customHeight="1">
      <c r="A10" s="549"/>
      <c r="B10" s="549"/>
      <c r="C10" s="181" t="str">
        <f>IF(IFS!C153="","",IFS!C153)</f>
        <v>Intangible Assets</v>
      </c>
      <c r="D10" s="737"/>
      <c r="E10" s="737"/>
      <c r="F10" s="737"/>
      <c r="G10" s="737"/>
      <c r="H10" s="737"/>
      <c r="I10" s="433">
        <f>Inputs!$F$259</f>
        <v>0</v>
      </c>
      <c r="J10" s="556">
        <f>SUMPRODUCT((Timing!$J$5:$AG$5=J$8)*(IFS!$J153:$AG153))</f>
        <v>0</v>
      </c>
      <c r="K10" s="556">
        <f>SUMPRODUCT((Timing!$J$5:$AG$5=K$8)*(IFS!$J153:$AG153))</f>
        <v>0</v>
      </c>
      <c r="L10" s="383">
        <f>SUMPRODUCT((Timing!$J$5:$AG$5=L$8)*(IFS!$J153:$AG153))</f>
        <v>0</v>
      </c>
      <c r="M10" s="384">
        <f>SUMPRODUCT((Timing!$J$5:$AG$5=M$8)*(IFS!$J153:$AG153))</f>
        <v>0</v>
      </c>
      <c r="N10" s="556">
        <f>SUMPRODUCT((Timing!$J$5:$AG$5=N$8)*(IFS!$J153:$AG153))</f>
        <v>30000</v>
      </c>
      <c r="O10" s="383">
        <f>SUMPRODUCT((Timing!$J$5:$AG$5=O$8)*(IFS!$J153:$AG153))</f>
        <v>29750</v>
      </c>
      <c r="P10" s="384">
        <f>SUMPRODUCT((Timing!$J$5:$AG$5=P$8)*(IFS!$J153:$AG153))</f>
        <v>29500</v>
      </c>
      <c r="Q10" s="556">
        <f>SUMPRODUCT((Timing!$J$5:$AG$5=Q$8)*(IFS!$J153:$AG153))</f>
        <v>29250</v>
      </c>
      <c r="R10" s="383">
        <f>SUMPRODUCT((Timing!$J$5:$AG$5=R$8)*(IFS!$J153:$AG153))</f>
        <v>29000</v>
      </c>
      <c r="S10" s="384">
        <f>SUMPRODUCT((Timing!$J$5:$AG$5=S$8)*(IFS!$J153:$AG153))</f>
        <v>117700</v>
      </c>
      <c r="T10" s="556">
        <f>SUMPRODUCT((Timing!$J$5:$AG$5=T$8)*(IFS!$J153:$AG153))</f>
        <v>116708.75</v>
      </c>
      <c r="U10" s="556">
        <f>SUMPRODUCT((Timing!$J$5:$AG$5=U$8)*(IFS!$J153:$AG153))</f>
        <v>115717.5</v>
      </c>
      <c r="V10" s="381">
        <f>SUMPRODUCT((Timing!$J$5:$AG$5=V$8)*(IFS!$J153:$AG153))</f>
        <v>115717.5</v>
      </c>
      <c r="W10" s="817">
        <f>SUMPRODUCT((Timing!$J$5:$AG$5=W$8)*(IFS!$J153:$AG153))</f>
        <v>112743.75</v>
      </c>
      <c r="X10" s="818">
        <f>SUMPRODUCT((Timing!$J$5:$AG$5=X$8)*(IFS!$J153:$AG153))</f>
        <v>109770</v>
      </c>
      <c r="Y10" s="818">
        <f>SUMPRODUCT((Timing!$J$5:$AG$5=Y$8)*(IFS!$J153:$AG153))</f>
        <v>106796.25</v>
      </c>
      <c r="Z10" s="384">
        <f>SUMPRODUCT((Timing!$J$5:$AG$5=Z$8)*(IFS!$J153:$AG153))</f>
        <v>103822.5</v>
      </c>
      <c r="AA10" s="381">
        <f>SUMPRODUCT((Timing!$J$5:$AG$5=AA$8)*(IFS!$J153:$AG153))</f>
        <v>103822.5</v>
      </c>
    </row>
    <row r="11" spans="1:28" ht="18.75" customHeight="1">
      <c r="A11" s="549"/>
      <c r="B11" s="549"/>
      <c r="C11" s="181" t="str">
        <f>IF(IFS!C154="","",IFS!C154)</f>
        <v>Tangible Assets</v>
      </c>
      <c r="D11" s="737"/>
      <c r="E11" s="737"/>
      <c r="F11" s="737"/>
      <c r="G11" s="737"/>
      <c r="H11" s="737"/>
      <c r="I11" s="433">
        <f>Inputs!$F$260</f>
        <v>5000</v>
      </c>
      <c r="J11" s="556">
        <f>SUMPRODUCT((Timing!$J$5:$AG$5=J$8)*(IFS!$J154:$AG154))</f>
        <v>0</v>
      </c>
      <c r="K11" s="556">
        <f>SUMPRODUCT((Timing!$J$5:$AG$5=K$8)*(IFS!$J154:$AG154))</f>
        <v>0</v>
      </c>
      <c r="L11" s="383">
        <f>SUMPRODUCT((Timing!$J$5:$AG$5=L$8)*(IFS!$J154:$AG154))</f>
        <v>14940.476190476191</v>
      </c>
      <c r="M11" s="384">
        <f>SUMPRODUCT((Timing!$J$5:$AG$5=M$8)*(IFS!$J154:$AG154))</f>
        <v>14761.904761904761</v>
      </c>
      <c r="N11" s="556">
        <f>SUMPRODUCT((Timing!$J$5:$AG$5=N$8)*(IFS!$J154:$AG154))</f>
        <v>34583.333333333336</v>
      </c>
      <c r="O11" s="383">
        <f>SUMPRODUCT((Timing!$J$5:$AG$5=O$8)*(IFS!$J154:$AG154))</f>
        <v>34126.984126984127</v>
      </c>
      <c r="P11" s="384">
        <f>SUMPRODUCT((Timing!$J$5:$AG$5=P$8)*(IFS!$J154:$AG154))</f>
        <v>33670.634920634919</v>
      </c>
      <c r="Q11" s="556">
        <f>SUMPRODUCT((Timing!$J$5:$AG$5=Q$8)*(IFS!$J154:$AG154))</f>
        <v>33214.28571428571</v>
      </c>
      <c r="R11" s="383">
        <f>SUMPRODUCT((Timing!$J$5:$AG$5=R$8)*(IFS!$J154:$AG154))</f>
        <v>67757.936507936509</v>
      </c>
      <c r="S11" s="384">
        <f>SUMPRODUCT((Timing!$J$5:$AG$5=S$8)*(IFS!$J154:$AG154))</f>
        <v>66845.238095238092</v>
      </c>
      <c r="T11" s="556">
        <f>SUMPRODUCT((Timing!$J$5:$AG$5=T$8)*(IFS!$J154:$AG154))</f>
        <v>65932.539682539675</v>
      </c>
      <c r="U11" s="556">
        <f>SUMPRODUCT((Timing!$J$5:$AG$5=U$8)*(IFS!$J154:$AG154))</f>
        <v>65019.841269841265</v>
      </c>
      <c r="V11" s="381">
        <f>SUMPRODUCT((Timing!$J$5:$AG$5=V$8)*(IFS!$J154:$AG154))</f>
        <v>65019.841269841265</v>
      </c>
      <c r="W11" s="817">
        <f>SUMPRODUCT((Timing!$J$5:$AG$5=W$8)*(IFS!$J154:$AG154))</f>
        <v>112281.74603174602</v>
      </c>
      <c r="X11" s="818">
        <f>SUMPRODUCT((Timing!$J$5:$AG$5=X$8)*(IFS!$J154:$AG154))</f>
        <v>107460.31746031746</v>
      </c>
      <c r="Y11" s="818">
        <f>SUMPRODUCT((Timing!$J$5:$AG$5=Y$8)*(IFS!$J154:$AG154))</f>
        <v>99757.936507936494</v>
      </c>
      <c r="Z11" s="384">
        <f>SUMPRODUCT((Timing!$J$5:$AG$5=Z$8)*(IFS!$J154:$AG154))</f>
        <v>95115.079365079335</v>
      </c>
      <c r="AA11" s="381">
        <f>SUMPRODUCT((Timing!$J$5:$AG$5=AA$8)*(IFS!$J154:$AG154))</f>
        <v>95115.079365079335</v>
      </c>
    </row>
    <row r="12" spans="1:28" ht="18.75" customHeight="1">
      <c r="A12" s="549"/>
      <c r="B12" s="549"/>
      <c r="C12" s="181" t="str">
        <f>IF(IFS!C155="","",IFS!C155)</f>
        <v>Financial Assets</v>
      </c>
      <c r="D12" s="737"/>
      <c r="E12" s="737"/>
      <c r="F12" s="737"/>
      <c r="G12" s="737"/>
      <c r="H12" s="737"/>
      <c r="I12" s="433">
        <f>Inputs!$F$264</f>
        <v>0</v>
      </c>
      <c r="J12" s="556">
        <f>SUMPRODUCT((Timing!$J$5:$AG$5=J$8)*(IFS!$J155:$AG155))</f>
        <v>0</v>
      </c>
      <c r="K12" s="556">
        <f>SUMPRODUCT((Timing!$J$5:$AG$5=K$8)*(IFS!$J155:$AG155))</f>
        <v>0</v>
      </c>
      <c r="L12" s="383">
        <f>SUMPRODUCT((Timing!$J$5:$AG$5=L$8)*(IFS!$J155:$AG155))</f>
        <v>0</v>
      </c>
      <c r="M12" s="384">
        <f>SUMPRODUCT((Timing!$J$5:$AG$5=M$8)*(IFS!$J155:$AG155))</f>
        <v>0</v>
      </c>
      <c r="N12" s="556">
        <f>SUMPRODUCT((Timing!$J$5:$AG$5=N$8)*(IFS!$J155:$AG155))</f>
        <v>7500</v>
      </c>
      <c r="O12" s="383">
        <f>SUMPRODUCT((Timing!$J$5:$AG$5=O$8)*(IFS!$J155:$AG155))</f>
        <v>7500</v>
      </c>
      <c r="P12" s="384">
        <f>SUMPRODUCT((Timing!$J$5:$AG$5=P$8)*(IFS!$J155:$AG155))</f>
        <v>7500</v>
      </c>
      <c r="Q12" s="556">
        <f>SUMPRODUCT((Timing!$J$5:$AG$5=Q$8)*(IFS!$J155:$AG155))</f>
        <v>7500</v>
      </c>
      <c r="R12" s="383">
        <f>SUMPRODUCT((Timing!$J$5:$AG$5=R$8)*(IFS!$J155:$AG155))</f>
        <v>7500</v>
      </c>
      <c r="S12" s="384">
        <f>SUMPRODUCT((Timing!$J$5:$AG$5=S$8)*(IFS!$J155:$AG155))</f>
        <v>7500</v>
      </c>
      <c r="T12" s="556">
        <f>SUMPRODUCT((Timing!$J$5:$AG$5=T$8)*(IFS!$J155:$AG155))</f>
        <v>7500</v>
      </c>
      <c r="U12" s="556">
        <f>SUMPRODUCT((Timing!$J$5:$AG$5=U$8)*(IFS!$J155:$AG155))</f>
        <v>7500</v>
      </c>
      <c r="V12" s="381">
        <f>SUMPRODUCT((Timing!$J$5:$AG$5=V$8)*(IFS!$J155:$AG155))</f>
        <v>7500</v>
      </c>
      <c r="W12" s="817">
        <f>SUMPRODUCT((Timing!$J$5:$AG$5=W$8)*(IFS!$J155:$AG155))</f>
        <v>7500</v>
      </c>
      <c r="X12" s="818">
        <f>SUMPRODUCT((Timing!$J$5:$AG$5=X$8)*(IFS!$J155:$AG155))</f>
        <v>19500</v>
      </c>
      <c r="Y12" s="818">
        <f>SUMPRODUCT((Timing!$J$5:$AG$5=Y$8)*(IFS!$J155:$AG155))</f>
        <v>19500</v>
      </c>
      <c r="Z12" s="384">
        <f>SUMPRODUCT((Timing!$J$5:$AG$5=Z$8)*(IFS!$J155:$AG155))</f>
        <v>19500</v>
      </c>
      <c r="AA12" s="381">
        <f>SUMPRODUCT((Timing!$J$5:$AG$5=AA$8)*(IFS!$J155:$AG155))</f>
        <v>19500</v>
      </c>
    </row>
    <row r="13" spans="1:28" ht="18.75" customHeight="1">
      <c r="A13" s="549"/>
      <c r="B13" s="549"/>
      <c r="C13" s="385" t="str">
        <f>IF(IFS!C156="","",IFS!C156)</f>
        <v>Total Non-current Assets</v>
      </c>
      <c r="D13" s="386"/>
      <c r="E13" s="386"/>
      <c r="F13" s="386"/>
      <c r="G13" s="386"/>
      <c r="H13" s="386"/>
      <c r="I13" s="820">
        <f>SUM(I10:I12)</f>
        <v>5000</v>
      </c>
      <c r="J13" s="820">
        <f t="shared" ref="J13:U13" si="0">SUM(J10:J12)</f>
        <v>0</v>
      </c>
      <c r="K13" s="820">
        <f t="shared" si="0"/>
        <v>0</v>
      </c>
      <c r="L13" s="821">
        <f t="shared" si="0"/>
        <v>14940.476190476191</v>
      </c>
      <c r="M13" s="822">
        <f t="shared" si="0"/>
        <v>14761.904761904761</v>
      </c>
      <c r="N13" s="820">
        <f t="shared" si="0"/>
        <v>72083.333333333343</v>
      </c>
      <c r="O13" s="821">
        <f t="shared" si="0"/>
        <v>71376.984126984127</v>
      </c>
      <c r="P13" s="822">
        <f t="shared" si="0"/>
        <v>70670.634920634911</v>
      </c>
      <c r="Q13" s="820">
        <f t="shared" si="0"/>
        <v>69964.28571428571</v>
      </c>
      <c r="R13" s="821">
        <f t="shared" si="0"/>
        <v>104257.93650793651</v>
      </c>
      <c r="S13" s="822">
        <f t="shared" si="0"/>
        <v>192045.23809523811</v>
      </c>
      <c r="T13" s="820">
        <f t="shared" si="0"/>
        <v>190141.28968253967</v>
      </c>
      <c r="U13" s="820">
        <f t="shared" si="0"/>
        <v>188237.34126984127</v>
      </c>
      <c r="V13" s="820">
        <f t="shared" ref="V13" si="1">SUM(V10:V12)</f>
        <v>188237.34126984127</v>
      </c>
      <c r="W13" s="821">
        <f t="shared" ref="W13" si="2">SUM(W10:W12)</f>
        <v>232525.49603174604</v>
      </c>
      <c r="X13" s="823">
        <f t="shared" ref="X13" si="3">SUM(X10:X12)</f>
        <v>236730.31746031746</v>
      </c>
      <c r="Y13" s="823">
        <f t="shared" ref="Y13" si="4">SUM(Y10:Y12)</f>
        <v>226054.18650793651</v>
      </c>
      <c r="Z13" s="822">
        <f t="shared" ref="Z13" si="5">SUM(Z10:Z12)</f>
        <v>218437.57936507935</v>
      </c>
      <c r="AA13" s="820">
        <f t="shared" ref="AA13" si="6">SUM(AA10:AA12)</f>
        <v>218437.57936507935</v>
      </c>
    </row>
    <row r="14" spans="1:28" ht="18.75" customHeight="1">
      <c r="A14" s="549"/>
      <c r="B14" s="549"/>
      <c r="C14" s="181" t="str">
        <f>IF(IFS!C157="","",IFS!C157)</f>
        <v/>
      </c>
      <c r="D14" s="737"/>
      <c r="E14" s="737"/>
      <c r="F14" s="737"/>
      <c r="G14" s="737"/>
      <c r="H14" s="737"/>
      <c r="I14" s="746"/>
      <c r="J14" s="746"/>
      <c r="K14" s="737"/>
      <c r="L14" s="388"/>
      <c r="M14" s="389"/>
      <c r="N14" s="737"/>
      <c r="O14" s="388"/>
      <c r="P14" s="389"/>
      <c r="Q14" s="737"/>
      <c r="R14" s="388"/>
      <c r="S14" s="389"/>
      <c r="T14" s="737"/>
      <c r="U14" s="737"/>
      <c r="V14" s="815"/>
      <c r="W14" s="388"/>
      <c r="X14" s="816"/>
      <c r="Y14" s="816"/>
      <c r="Z14" s="389"/>
      <c r="AA14" s="815"/>
    </row>
    <row r="15" spans="1:28" s="799" customFormat="1" ht="18.75" customHeight="1">
      <c r="A15" s="549"/>
      <c r="B15" s="549"/>
      <c r="C15" s="181" t="str">
        <f>IF(IFS!C158="","",IFS!C158)</f>
        <v>Inventory</v>
      </c>
      <c r="D15" s="737"/>
      <c r="E15" s="737"/>
      <c r="F15" s="737"/>
      <c r="G15" s="737"/>
      <c r="H15" s="737"/>
      <c r="I15" s="433">
        <f>Inputs!$F$267</f>
        <v>2500</v>
      </c>
      <c r="J15" s="556">
        <f ca="1">SUMPRODUCT((Timing!$J$5:$AG$5=J$8)*(IFS!$J158:$AG158))</f>
        <v>0</v>
      </c>
      <c r="K15" s="556">
        <f ca="1">SUMPRODUCT((Timing!$J$5:$AG$5=K$8)*(IFS!$J158:$AG158))</f>
        <v>0</v>
      </c>
      <c r="L15" s="383">
        <f ca="1">SUMPRODUCT((Timing!$J$5:$AG$5=L$8)*(IFS!$J158:$AG158))</f>
        <v>4401.7857142857147</v>
      </c>
      <c r="M15" s="384">
        <f ca="1">SUMPRODUCT((Timing!$J$5:$AG$5=M$8)*(IFS!$J158:$AG158))</f>
        <v>5524.1935483870966</v>
      </c>
      <c r="N15" s="556">
        <f ca="1">SUMPRODUCT((Timing!$J$5:$AG$5=N$8)*(IFS!$J158:$AG158))</f>
        <v>7554.1666666666661</v>
      </c>
      <c r="O15" s="383">
        <f ca="1">SUMPRODUCT((Timing!$J$5:$AG$5=O$8)*(IFS!$J158:$AG158))</f>
        <v>9179.9032258064508</v>
      </c>
      <c r="P15" s="384">
        <f ca="1">SUMPRODUCT((Timing!$J$5:$AG$5=P$8)*(IFS!$J158:$AG158))</f>
        <v>11596.300000000001</v>
      </c>
      <c r="Q15" s="556">
        <f ca="1">SUMPRODUCT((Timing!$J$5:$AG$5=Q$8)*(IFS!$J158:$AG158))</f>
        <v>13252.421935483871</v>
      </c>
      <c r="R15" s="383">
        <f ca="1">SUMPRODUCT((Timing!$J$5:$AG$5=R$8)*(IFS!$J158:$AG158))</f>
        <v>15547.771716129037</v>
      </c>
      <c r="S15" s="384">
        <f ca="1">SUMPRODUCT((Timing!$J$5:$AG$5=S$8)*(IFS!$J158:$AG158))</f>
        <v>18437.406244266669</v>
      </c>
      <c r="T15" s="556">
        <f ca="1">SUMPRODUCT((Timing!$J$5:$AG$5=T$8)*(IFS!$J158:$AG158))</f>
        <v>20278.345742616777</v>
      </c>
      <c r="U15" s="556">
        <f ca="1">SUMPRODUCT((Timing!$J$5:$AG$5=U$8)*(IFS!$J158:$AG158))</f>
        <v>22871.404438065496</v>
      </c>
      <c r="V15" s="381">
        <f ca="1">SUMPRODUCT((Timing!$J$5:$AG$5=V$8)*(IFS!$J158:$AG158))</f>
        <v>22871.404438065496</v>
      </c>
      <c r="W15" s="817">
        <f ca="1">SUMPRODUCT((Timing!$J$5:$AG$5=W$8)*(IFS!$J158:$AG158))</f>
        <v>30216.397253245192</v>
      </c>
      <c r="X15" s="818">
        <f ca="1">SUMPRODUCT((Timing!$J$5:$AG$5=X$8)*(IFS!$J158:$AG158))</f>
        <v>33223.666155006824</v>
      </c>
      <c r="Y15" s="818">
        <f ca="1">SUMPRODUCT((Timing!$J$5:$AG$5=Y$8)*(IFS!$J158:$AG158))</f>
        <v>39252.270463256071</v>
      </c>
      <c r="Z15" s="384">
        <f ca="1">SUMPRODUCT((Timing!$J$5:$AG$5=Z$8)*(IFS!$J158:$AG158))</f>
        <v>47063.926298615683</v>
      </c>
      <c r="AA15" s="381">
        <f ca="1">SUMPRODUCT((Timing!$J$5:$AG$5=AA$8)*(IFS!$J158:$AG158))</f>
        <v>47063.926298615683</v>
      </c>
    </row>
    <row r="16" spans="1:28" s="799" customFormat="1" ht="18.75" customHeight="1">
      <c r="A16" s="549"/>
      <c r="B16" s="549"/>
      <c r="C16" s="181" t="str">
        <f>IF(IFS!C159="","",IFS!C159)</f>
        <v>Advance Payments</v>
      </c>
      <c r="D16" s="737"/>
      <c r="E16" s="737"/>
      <c r="F16" s="737"/>
      <c r="G16" s="737"/>
      <c r="H16" s="737"/>
      <c r="I16" s="423"/>
      <c r="J16" s="556">
        <f>SUMPRODUCT((Timing!$J$5:$AG$5=J$8)*(IFS!$J159:$AG159))</f>
        <v>0</v>
      </c>
      <c r="K16" s="556">
        <f>SUMPRODUCT((Timing!$J$5:$AG$5=K$8)*(IFS!$J159:$AG159))</f>
        <v>0</v>
      </c>
      <c r="L16" s="383">
        <f>SUMPRODUCT((Timing!$J$5:$AG$5=L$8)*(IFS!$J159:$AG159))</f>
        <v>0</v>
      </c>
      <c r="M16" s="384">
        <f>SUMPRODUCT((Timing!$J$5:$AG$5=M$8)*(IFS!$J159:$AG159))</f>
        <v>0</v>
      </c>
      <c r="N16" s="556">
        <f>SUMPRODUCT((Timing!$J$5:$AG$5=N$8)*(IFS!$J159:$AG159))</f>
        <v>0</v>
      </c>
      <c r="O16" s="383">
        <f>SUMPRODUCT((Timing!$J$5:$AG$5=O$8)*(IFS!$J159:$AG159))</f>
        <v>0</v>
      </c>
      <c r="P16" s="384">
        <f>SUMPRODUCT((Timing!$J$5:$AG$5=P$8)*(IFS!$J159:$AG159))</f>
        <v>0</v>
      </c>
      <c r="Q16" s="556">
        <f>SUMPRODUCT((Timing!$J$5:$AG$5=Q$8)*(IFS!$J159:$AG159))</f>
        <v>0</v>
      </c>
      <c r="R16" s="383">
        <f>SUMPRODUCT((Timing!$J$5:$AG$5=R$8)*(IFS!$J159:$AG159))</f>
        <v>0</v>
      </c>
      <c r="S16" s="384">
        <f>SUMPRODUCT((Timing!$J$5:$AG$5=S$8)*(IFS!$J159:$AG159))</f>
        <v>0</v>
      </c>
      <c r="T16" s="556">
        <f>SUMPRODUCT((Timing!$J$5:$AG$5=T$8)*(IFS!$J159:$AG159))</f>
        <v>0</v>
      </c>
      <c r="U16" s="556">
        <f>SUMPRODUCT((Timing!$J$5:$AG$5=U$8)*(IFS!$J159:$AG159))</f>
        <v>0</v>
      </c>
      <c r="V16" s="381">
        <f>SUMPRODUCT((Timing!$J$5:$AG$5=V$8)*(IFS!$J159:$AG159))</f>
        <v>0</v>
      </c>
      <c r="W16" s="817">
        <f>SUMPRODUCT((Timing!$J$5:$AG$5=W$8)*(IFS!$J159:$AG159))</f>
        <v>0</v>
      </c>
      <c r="X16" s="818">
        <f>SUMPRODUCT((Timing!$J$5:$AG$5=X$8)*(IFS!$J159:$AG159))</f>
        <v>2750</v>
      </c>
      <c r="Y16" s="818">
        <f>SUMPRODUCT((Timing!$J$5:$AG$5=Y$8)*(IFS!$J159:$AG159))</f>
        <v>2750</v>
      </c>
      <c r="Z16" s="384">
        <f>SUMPRODUCT((Timing!$J$5:$AG$5=Z$8)*(IFS!$J159:$AG159))</f>
        <v>2250</v>
      </c>
      <c r="AA16" s="381">
        <f>SUMPRODUCT((Timing!$J$5:$AG$5=AA$8)*(IFS!$J159:$AG159))</f>
        <v>2250</v>
      </c>
    </row>
    <row r="17" spans="1:27" ht="18.75" customHeight="1">
      <c r="A17" s="549"/>
      <c r="B17" s="549"/>
      <c r="C17" s="181" t="str">
        <f>IF(IFS!C160="","",IFS!C160)</f>
        <v>Accounts Receivables</v>
      </c>
      <c r="D17" s="737"/>
      <c r="E17" s="737"/>
      <c r="F17" s="737"/>
      <c r="G17" s="737"/>
      <c r="H17" s="737"/>
      <c r="I17" s="433">
        <f>Inputs!$F$268</f>
        <v>5000</v>
      </c>
      <c r="J17" s="556">
        <f ca="1">SUMPRODUCT((Timing!$J$5:$AG$5=J$8)*(IFS!$J160:$AG160))</f>
        <v>0</v>
      </c>
      <c r="K17" s="556">
        <f ca="1">SUMPRODUCT((Timing!$J$5:$AG$5=K$8)*(IFS!$J160:$AG160))</f>
        <v>0</v>
      </c>
      <c r="L17" s="383">
        <f ca="1">SUMPRODUCT((Timing!$J$5:$AG$5=L$8)*(IFS!$J160:$AG160))</f>
        <v>15066.566666666666</v>
      </c>
      <c r="M17" s="384">
        <f ca="1">SUMPRODUCT((Timing!$J$5:$AG$5=M$8)*(IFS!$J160:$AG160))</f>
        <v>30330.633333333335</v>
      </c>
      <c r="N17" s="556">
        <f ca="1">SUMPRODUCT((Timing!$J$5:$AG$5=N$8)*(IFS!$J160:$AG160))</f>
        <v>51163.450000000004</v>
      </c>
      <c r="O17" s="383">
        <f ca="1">SUMPRODUCT((Timing!$J$5:$AG$5=O$8)*(IFS!$J160:$AG160))</f>
        <v>29400.526666666676</v>
      </c>
      <c r="P17" s="384">
        <f ca="1">SUMPRODUCT((Timing!$J$5:$AG$5=P$8)*(IFS!$J160:$AG160))</f>
        <v>62338.073333333341</v>
      </c>
      <c r="Q17" s="556">
        <f ca="1">SUMPRODUCT((Timing!$J$5:$AG$5=Q$8)*(IFS!$J160:$AG160))</f>
        <v>101670.54480000002</v>
      </c>
      <c r="R17" s="383">
        <f ca="1">SUMPRODUCT((Timing!$J$5:$AG$5=R$8)*(IFS!$J160:$AG160))</f>
        <v>47265.709392000026</v>
      </c>
      <c r="S17" s="384">
        <f ca="1">SUMPRODUCT((Timing!$J$5:$AG$5=S$8)*(IFS!$J160:$AG160))</f>
        <v>101794.27344768003</v>
      </c>
      <c r="T17" s="556">
        <f ca="1">SUMPRODUCT((Timing!$J$5:$AG$5=T$8)*(IFS!$J160:$AG160))</f>
        <v>163948.88819358725</v>
      </c>
      <c r="U17" s="556">
        <f ca="1">SUMPRODUCT((Timing!$J$5:$AG$5=U$8)*(IFS!$J160:$AG160))</f>
        <v>67970.387531743501</v>
      </c>
      <c r="V17" s="381">
        <f ca="1">SUMPRODUCT((Timing!$J$5:$AG$5=V$8)*(IFS!$J160:$AG160))</f>
        <v>67970.387531743501</v>
      </c>
      <c r="W17" s="817">
        <f ca="1">SUMPRODUCT((Timing!$J$5:$AG$5=W$8)*(IFS!$J160:$AG160))</f>
        <v>84211.994843069464</v>
      </c>
      <c r="X17" s="818">
        <f ca="1">SUMPRODUCT((Timing!$J$5:$AG$5=X$8)*(IFS!$J160:$AG160))</f>
        <v>102826.05912366163</v>
      </c>
      <c r="Y17" s="818">
        <f ca="1">SUMPRODUCT((Timing!$J$5:$AG$5=Y$8)*(IFS!$J160:$AG160))</f>
        <v>121751.19782166573</v>
      </c>
      <c r="Z17" s="384">
        <f ca="1">SUMPRODUCT((Timing!$J$5:$AG$5=Z$8)*(IFS!$J160:$AG160))</f>
        <v>141512.87883048612</v>
      </c>
      <c r="AA17" s="381">
        <f ca="1">SUMPRODUCT((Timing!$J$5:$AG$5=AA$8)*(IFS!$J160:$AG160))</f>
        <v>141512.87883048612</v>
      </c>
    </row>
    <row r="18" spans="1:27" ht="18.75" customHeight="1">
      <c r="A18" s="549"/>
      <c r="B18" s="549"/>
      <c r="C18" s="181" t="str">
        <f>IF(IFS!C161="","",IFS!C161)</f>
        <v>VAT owed to company</v>
      </c>
      <c r="D18" s="737"/>
      <c r="E18" s="737"/>
      <c r="F18" s="737"/>
      <c r="G18" s="737"/>
      <c r="H18" s="737"/>
      <c r="I18" s="423"/>
      <c r="J18" s="556">
        <f ca="1">SUMPRODUCT((Timing!$J$5:$AG$5=J$8)*(IFS!$J161:$AG161))</f>
        <v>0</v>
      </c>
      <c r="K18" s="556">
        <f ca="1">SUMPRODUCT((Timing!$J$5:$AG$5=K$8)*(IFS!$J161:$AG161))</f>
        <v>0</v>
      </c>
      <c r="L18" s="383">
        <f ca="1">SUMPRODUCT((Timing!$J$5:$AG$5=L$8)*(IFS!$J161:$AG161))</f>
        <v>1743.9840000000004</v>
      </c>
      <c r="M18" s="384">
        <f ca="1">SUMPRODUCT((Timing!$J$5:$AG$5=M$8)*(IFS!$J161:$AG161))</f>
        <v>4319.5680000000011</v>
      </c>
      <c r="N18" s="556">
        <f ca="1">SUMPRODUCT((Timing!$J$5:$AG$5=N$8)*(IFS!$J161:$AG161))</f>
        <v>7786.1520000000019</v>
      </c>
      <c r="O18" s="383">
        <f ca="1">SUMPRODUCT((Timing!$J$5:$AG$5=O$8)*(IFS!$J161:$AG161))</f>
        <v>4437.4176000000025</v>
      </c>
      <c r="P18" s="384">
        <f ca="1">SUMPRODUCT((Timing!$J$5:$AG$5=P$8)*(IFS!$J161:$AG161))</f>
        <v>9840.7584000000024</v>
      </c>
      <c r="Q18" s="556">
        <f ca="1">SUMPRODUCT((Timing!$J$5:$AG$5=Q$8)*(IFS!$J161:$AG161))</f>
        <v>16267.287168000003</v>
      </c>
      <c r="R18" s="383">
        <f ca="1">SUMPRODUCT((Timing!$J$5:$AG$5=R$8)*(IFS!$J161:$AG161))</f>
        <v>7562.5135027200013</v>
      </c>
      <c r="S18" s="384">
        <f ca="1">SUMPRODUCT((Timing!$J$5:$AG$5=S$8)*(IFS!$J161:$AG161))</f>
        <v>16287.083751628805</v>
      </c>
      <c r="T18" s="556">
        <f ca="1">SUMPRODUCT((Timing!$J$5:$AG$5=T$8)*(IFS!$J161:$AG161))</f>
        <v>26231.822110973961</v>
      </c>
      <c r="U18" s="556">
        <f ca="1">SUMPRODUCT((Timing!$J$5:$AG$5=U$8)*(IFS!$J161:$AG161))</f>
        <v>10875.262005078956</v>
      </c>
      <c r="V18" s="381">
        <f ca="1">SUMPRODUCT((Timing!$J$5:$AG$5=V$8)*(IFS!$J161:$AG161))</f>
        <v>10875.262005078956</v>
      </c>
      <c r="W18" s="817">
        <f ca="1">SUMPRODUCT((Timing!$J$5:$AG$5=W$8)*(IFS!$J161:$AG161))</f>
        <v>13473.919174891118</v>
      </c>
      <c r="X18" s="818">
        <f ca="1">SUMPRODUCT((Timing!$J$5:$AG$5=X$8)*(IFS!$J161:$AG161))</f>
        <v>16452.169459785873</v>
      </c>
      <c r="Y18" s="818">
        <f ca="1">SUMPRODUCT((Timing!$J$5:$AG$5=Y$8)*(IFS!$J161:$AG161))</f>
        <v>19480.191651466528</v>
      </c>
      <c r="Z18" s="384">
        <f ca="1">SUMPRODUCT((Timing!$J$5:$AG$5=Z$8)*(IFS!$J161:$AG161))</f>
        <v>22642.060612877809</v>
      </c>
      <c r="AA18" s="381">
        <f ca="1">SUMPRODUCT((Timing!$J$5:$AG$5=AA$8)*(IFS!$J161:$AG161))</f>
        <v>22642.060612877809</v>
      </c>
    </row>
    <row r="19" spans="1:27" ht="18.75" customHeight="1">
      <c r="A19" s="549"/>
      <c r="B19" s="549"/>
      <c r="C19" s="181" t="str">
        <f>IF(IFS!C162="","",IFS!C162)</f>
        <v>Cash at Bank</v>
      </c>
      <c r="D19" s="737"/>
      <c r="E19" s="737"/>
      <c r="F19" s="737"/>
      <c r="G19" s="737"/>
      <c r="H19" s="737"/>
      <c r="I19" s="433">
        <f>Inputs!$F$269</f>
        <v>0</v>
      </c>
      <c r="J19" s="556">
        <f ca="1">SUMPRODUCT((Timing!$J$5:$AG$5=J$8)*(IFS!$J162:$AG162))</f>
        <v>0</v>
      </c>
      <c r="K19" s="556">
        <f ca="1">SUMPRODUCT((Timing!$J$5:$AG$5=K$8)*(IFS!$J162:$AG162))</f>
        <v>0</v>
      </c>
      <c r="L19" s="383">
        <f ca="1">SUMPRODUCT((Timing!$J$5:$AG$5=L$8)*(IFS!$J162:$AG162))</f>
        <v>0</v>
      </c>
      <c r="M19" s="384">
        <f ca="1">SUMPRODUCT((Timing!$J$5:$AG$5=M$8)*(IFS!$J162:$AG162))</f>
        <v>0</v>
      </c>
      <c r="N19" s="556">
        <f ca="1">SUMPRODUCT((Timing!$J$5:$AG$5=N$8)*(IFS!$J162:$AG162))</f>
        <v>90215.963050000006</v>
      </c>
      <c r="O19" s="383">
        <f ca="1">SUMPRODUCT((Timing!$J$5:$AG$5=O$8)*(IFS!$J162:$AG162))</f>
        <v>108534.97663</v>
      </c>
      <c r="P19" s="384">
        <f ca="1">SUMPRODUCT((Timing!$J$5:$AG$5=P$8)*(IFS!$J162:$AG162))</f>
        <v>70315.142420000004</v>
      </c>
      <c r="Q19" s="556">
        <f ca="1">SUMPRODUCT((Timing!$J$5:$AG$5=Q$8)*(IFS!$J162:$AG162))</f>
        <v>29674.744600000005</v>
      </c>
      <c r="R19" s="383">
        <f ca="1">SUMPRODUCT((Timing!$J$5:$AG$5=R$8)*(IFS!$J162:$AG162))</f>
        <v>77712.458160000009</v>
      </c>
      <c r="S19" s="384">
        <f ca="1">SUMPRODUCT((Timing!$J$5:$AG$5=S$8)*(IFS!$J162:$AG162))</f>
        <v>15584.772410000012</v>
      </c>
      <c r="T19" s="556">
        <f ca="1">SUMPRODUCT((Timing!$J$5:$AG$5=T$8)*(IFS!$J162:$AG162))</f>
        <v>0</v>
      </c>
      <c r="U19" s="556">
        <f ca="1">SUMPRODUCT((Timing!$J$5:$AG$5=U$8)*(IFS!$J162:$AG162))</f>
        <v>147315.40580000001</v>
      </c>
      <c r="V19" s="381">
        <f ca="1">SUMPRODUCT((Timing!$J$5:$AG$5=V$8)*(IFS!$J162:$AG162))</f>
        <v>147315.40580000001</v>
      </c>
      <c r="W19" s="817">
        <f ca="1">SUMPRODUCT((Timing!$J$5:$AG$5=W$8)*(IFS!$J162:$AG162))</f>
        <v>124181.36780000001</v>
      </c>
      <c r="X19" s="818">
        <f ca="1">SUMPRODUCT((Timing!$J$5:$AG$5=X$8)*(IFS!$J162:$AG162))</f>
        <v>145041.36158</v>
      </c>
      <c r="Y19" s="818">
        <f ca="1">SUMPRODUCT((Timing!$J$5:$AG$5=Y$8)*(IFS!$J162:$AG162))</f>
        <v>250005.55827000001</v>
      </c>
      <c r="Z19" s="384">
        <f ca="1">SUMPRODUCT((Timing!$J$5:$AG$5=Z$8)*(IFS!$J162:$AG162))</f>
        <v>307345.19997000002</v>
      </c>
      <c r="AA19" s="381">
        <f ca="1">SUMPRODUCT((Timing!$J$5:$AG$5=AA$8)*(IFS!$J162:$AG162))</f>
        <v>307345.19997000002</v>
      </c>
    </row>
    <row r="20" spans="1:27" ht="18.75" customHeight="1">
      <c r="A20" s="549"/>
      <c r="B20" s="549"/>
      <c r="C20" s="385" t="str">
        <f>IF(IFS!C163="","",IFS!C163)</f>
        <v>Total Current Assets</v>
      </c>
      <c r="D20" s="386"/>
      <c r="E20" s="386"/>
      <c r="F20" s="386"/>
      <c r="G20" s="386"/>
      <c r="H20" s="386"/>
      <c r="I20" s="820">
        <f t="shared" ref="I20:AA20" si="7">SUM(I15:I19)</f>
        <v>7500</v>
      </c>
      <c r="J20" s="820">
        <f t="shared" ca="1" si="7"/>
        <v>0</v>
      </c>
      <c r="K20" s="820">
        <f t="shared" ca="1" si="7"/>
        <v>0</v>
      </c>
      <c r="L20" s="821">
        <f t="shared" ca="1" si="7"/>
        <v>21212.33638095238</v>
      </c>
      <c r="M20" s="822">
        <f t="shared" ca="1" si="7"/>
        <v>40174.394881720429</v>
      </c>
      <c r="N20" s="820">
        <f t="shared" ca="1" si="7"/>
        <v>156719.73171666666</v>
      </c>
      <c r="O20" s="821">
        <f t="shared" ca="1" si="7"/>
        <v>151552.82412247313</v>
      </c>
      <c r="P20" s="822">
        <f t="shared" ca="1" si="7"/>
        <v>154090.27415333333</v>
      </c>
      <c r="Q20" s="820">
        <f t="shared" ca="1" si="7"/>
        <v>160864.99850348389</v>
      </c>
      <c r="R20" s="821">
        <f t="shared" ca="1" si="7"/>
        <v>148088.45277084908</v>
      </c>
      <c r="S20" s="822">
        <f t="shared" ca="1" si="7"/>
        <v>152103.53585357551</v>
      </c>
      <c r="T20" s="820">
        <f t="shared" ca="1" si="7"/>
        <v>210459.05604717799</v>
      </c>
      <c r="U20" s="820">
        <f t="shared" ca="1" si="7"/>
        <v>249032.45977488795</v>
      </c>
      <c r="V20" s="820">
        <f t="shared" ca="1" si="7"/>
        <v>249032.45977488795</v>
      </c>
      <c r="W20" s="821">
        <f t="shared" ca="1" si="7"/>
        <v>252083.67907120578</v>
      </c>
      <c r="X20" s="823">
        <f t="shared" ca="1" si="7"/>
        <v>300293.25631845428</v>
      </c>
      <c r="Y20" s="823">
        <f t="shared" ca="1" si="7"/>
        <v>433239.21820638835</v>
      </c>
      <c r="Z20" s="822">
        <f t="shared" ca="1" si="7"/>
        <v>520814.06571197964</v>
      </c>
      <c r="AA20" s="820">
        <f t="shared" ca="1" si="7"/>
        <v>520814.06571197964</v>
      </c>
    </row>
    <row r="21" spans="1:27" ht="18.75" customHeight="1">
      <c r="A21" s="549"/>
      <c r="B21" s="549"/>
      <c r="C21" s="181" t="str">
        <f>IF(IFS!C164="","",IFS!C164)</f>
        <v/>
      </c>
      <c r="D21" s="737"/>
      <c r="E21" s="737"/>
      <c r="F21" s="737"/>
      <c r="G21" s="737"/>
      <c r="H21" s="737"/>
      <c r="I21" s="746"/>
      <c r="J21" s="746"/>
      <c r="K21" s="737"/>
      <c r="L21" s="388"/>
      <c r="M21" s="389"/>
      <c r="N21" s="737"/>
      <c r="O21" s="388"/>
      <c r="P21" s="389"/>
      <c r="Q21" s="737"/>
      <c r="R21" s="388"/>
      <c r="S21" s="389"/>
      <c r="T21" s="737"/>
      <c r="U21" s="737"/>
      <c r="V21" s="815"/>
      <c r="W21" s="388"/>
      <c r="X21" s="816"/>
      <c r="Y21" s="816"/>
      <c r="Z21" s="389"/>
      <c r="AA21" s="815"/>
    </row>
    <row r="22" spans="1:27" s="799" customFormat="1" ht="18.75" customHeight="1">
      <c r="A22" s="549"/>
      <c r="B22" s="549"/>
      <c r="C22" s="181" t="str">
        <f>IF(IFS!C165="","",IFS!C165)</f>
        <v>Overdraft Facility</v>
      </c>
      <c r="D22" s="737"/>
      <c r="E22" s="737"/>
      <c r="F22" s="737"/>
      <c r="G22" s="737"/>
      <c r="H22" s="737"/>
      <c r="I22" s="433">
        <f>Inputs!$F$272</f>
        <v>0</v>
      </c>
      <c r="J22" s="556">
        <f ca="1">SUMPRODUCT((Timing!$J$5:$AG$5=J$8)*(IFS!$J165:$AG165))</f>
        <v>0</v>
      </c>
      <c r="K22" s="556">
        <f ca="1">SUMPRODUCT((Timing!$J$5:$AG$5=K$8)*(IFS!$J165:$AG165))</f>
        <v>0</v>
      </c>
      <c r="L22" s="383">
        <f ca="1">SUMPRODUCT((Timing!$J$5:$AG$5=L$8)*(IFS!$J165:$AG165))</f>
        <v>0</v>
      </c>
      <c r="M22" s="384">
        <f ca="1">SUMPRODUCT((Timing!$J$5:$AG$5=M$8)*(IFS!$J165:$AG165))</f>
        <v>0</v>
      </c>
      <c r="N22" s="556">
        <f ca="1">SUMPRODUCT((Timing!$J$5:$AG$5=N$8)*(IFS!$J165:$AG165))</f>
        <v>0</v>
      </c>
      <c r="O22" s="383">
        <f ca="1">SUMPRODUCT((Timing!$J$5:$AG$5=O$8)*(IFS!$J165:$AG165))</f>
        <v>0</v>
      </c>
      <c r="P22" s="384">
        <f ca="1">SUMPRODUCT((Timing!$J$5:$AG$5=P$8)*(IFS!$J165:$AG165))</f>
        <v>0</v>
      </c>
      <c r="Q22" s="556">
        <f ca="1">SUMPRODUCT((Timing!$J$5:$AG$5=Q$8)*(IFS!$J165:$AG165))</f>
        <v>0</v>
      </c>
      <c r="R22" s="383">
        <f ca="1">SUMPRODUCT((Timing!$J$5:$AG$5=R$8)*(IFS!$J165:$AG165))</f>
        <v>0</v>
      </c>
      <c r="S22" s="384">
        <f ca="1">SUMPRODUCT((Timing!$J$5:$AG$5=S$8)*(IFS!$J165:$AG165))</f>
        <v>0</v>
      </c>
      <c r="T22" s="556">
        <f ca="1">SUMPRODUCT((Timing!$J$5:$AG$5=T$8)*(IFS!$J165:$AG165))</f>
        <v>45155.543174629362</v>
      </c>
      <c r="U22" s="556">
        <f ca="1">SUMPRODUCT((Timing!$J$5:$AG$5=U$8)*(IFS!$J165:$AG165))</f>
        <v>0</v>
      </c>
      <c r="V22" s="381">
        <f ca="1">SUMPRODUCT((Timing!$J$5:$AG$5=V$8)*(IFS!$J165:$AG165))</f>
        <v>0</v>
      </c>
      <c r="W22" s="817">
        <f ca="1">SUMPRODUCT((Timing!$J$5:$AG$5=W$8)*(IFS!$J165:$AG165))</f>
        <v>0</v>
      </c>
      <c r="X22" s="818">
        <f ca="1">SUMPRODUCT((Timing!$J$5:$AG$5=X$8)*(IFS!$J165:$AG165))</f>
        <v>0</v>
      </c>
      <c r="Y22" s="818">
        <f ca="1">SUMPRODUCT((Timing!$J$5:$AG$5=Y$8)*(IFS!$J165:$AG165))</f>
        <v>0</v>
      </c>
      <c r="Z22" s="384">
        <f ca="1">SUMPRODUCT((Timing!$J$5:$AG$5=Z$8)*(IFS!$J165:$AG165))</f>
        <v>0</v>
      </c>
      <c r="AA22" s="381">
        <f ca="1">SUMPRODUCT((Timing!$J$5:$AG$5=AA$8)*(IFS!$J165:$AG165))</f>
        <v>0</v>
      </c>
    </row>
    <row r="23" spans="1:27" s="799" customFormat="1" ht="18.75" customHeight="1">
      <c r="A23" s="549"/>
      <c r="B23" s="549"/>
      <c r="C23" s="181" t="str">
        <f>IF(IFS!C166="","",IFS!C166)</f>
        <v>Advances Received</v>
      </c>
      <c r="D23" s="737"/>
      <c r="E23" s="737"/>
      <c r="F23" s="737"/>
      <c r="G23" s="737"/>
      <c r="H23" s="737"/>
      <c r="I23" s="549"/>
      <c r="J23" s="556">
        <f>SUMPRODUCT((Timing!$J$5:$AG$5=J$8)*(IFS!$J166:$AG166))</f>
        <v>0</v>
      </c>
      <c r="K23" s="556">
        <f>SUMPRODUCT((Timing!$J$5:$AG$5=K$8)*(IFS!$J166:$AG166))</f>
        <v>0</v>
      </c>
      <c r="L23" s="383">
        <f>SUMPRODUCT((Timing!$J$5:$AG$5=L$8)*(IFS!$J166:$AG166))</f>
        <v>0</v>
      </c>
      <c r="M23" s="384">
        <f>SUMPRODUCT((Timing!$J$5:$AG$5=M$8)*(IFS!$J166:$AG166))</f>
        <v>0</v>
      </c>
      <c r="N23" s="556">
        <f>SUMPRODUCT((Timing!$J$5:$AG$5=N$8)*(IFS!$J166:$AG166))</f>
        <v>3500</v>
      </c>
      <c r="O23" s="383">
        <f>SUMPRODUCT((Timing!$J$5:$AG$5=O$8)*(IFS!$J166:$AG166))</f>
        <v>3500</v>
      </c>
      <c r="P23" s="384">
        <f>SUMPRODUCT((Timing!$J$5:$AG$5=P$8)*(IFS!$J166:$AG166))</f>
        <v>3500</v>
      </c>
      <c r="Q23" s="556">
        <f>SUMPRODUCT((Timing!$J$5:$AG$5=Q$8)*(IFS!$J166:$AG166))</f>
        <v>3500</v>
      </c>
      <c r="R23" s="383">
        <f>SUMPRODUCT((Timing!$J$5:$AG$5=R$8)*(IFS!$J166:$AG166))</f>
        <v>3500</v>
      </c>
      <c r="S23" s="384">
        <f>SUMPRODUCT((Timing!$J$5:$AG$5=S$8)*(IFS!$J166:$AG166))</f>
        <v>3500</v>
      </c>
      <c r="T23" s="556">
        <f>SUMPRODUCT((Timing!$J$5:$AG$5=T$8)*(IFS!$J166:$AG166))</f>
        <v>1500</v>
      </c>
      <c r="U23" s="556">
        <f>SUMPRODUCT((Timing!$J$5:$AG$5=U$8)*(IFS!$J166:$AG166))</f>
        <v>1500</v>
      </c>
      <c r="V23" s="381">
        <f>SUMPRODUCT((Timing!$J$5:$AG$5=V$8)*(IFS!$J166:$AG166))</f>
        <v>1500</v>
      </c>
      <c r="W23" s="817">
        <f>SUMPRODUCT((Timing!$J$5:$AG$5=W$8)*(IFS!$J166:$AG166))</f>
        <v>1500</v>
      </c>
      <c r="X23" s="818">
        <f>SUMPRODUCT((Timing!$J$5:$AG$5=X$8)*(IFS!$J166:$AG166))</f>
        <v>1500</v>
      </c>
      <c r="Y23" s="818">
        <f>SUMPRODUCT((Timing!$J$5:$AG$5=Y$8)*(IFS!$J166:$AG166))</f>
        <v>1500</v>
      </c>
      <c r="Z23" s="384">
        <f>SUMPRODUCT((Timing!$J$5:$AG$5=Z$8)*(IFS!$J166:$AG166))</f>
        <v>4250</v>
      </c>
      <c r="AA23" s="381">
        <f>SUMPRODUCT((Timing!$J$5:$AG$5=AA$8)*(IFS!$J166:$AG166))</f>
        <v>4250</v>
      </c>
    </row>
    <row r="24" spans="1:27" s="799" customFormat="1" ht="18.75" customHeight="1">
      <c r="A24" s="549"/>
      <c r="B24" s="549"/>
      <c r="C24" s="181" t="str">
        <f>IF(IFS!C167="","",IFS!C167)</f>
        <v>Accounts Payables</v>
      </c>
      <c r="D24" s="737"/>
      <c r="E24" s="737"/>
      <c r="F24" s="737"/>
      <c r="G24" s="737"/>
      <c r="H24" s="737"/>
      <c r="I24" s="433">
        <f>Inputs!$F$273</f>
        <v>6000</v>
      </c>
      <c r="J24" s="556">
        <f ca="1">SUMPRODUCT((Timing!$J$5:$AG$5=J$8)*(IFS!$J167:$AG167))</f>
        <v>0</v>
      </c>
      <c r="K24" s="556">
        <f ca="1">SUMPRODUCT((Timing!$J$5:$AG$5=K$8)*(IFS!$J167:$AG167))</f>
        <v>0</v>
      </c>
      <c r="L24" s="383">
        <f ca="1">SUMPRODUCT((Timing!$J$5:$AG$5=L$8)*(IFS!$J167:$AG167))</f>
        <v>9780</v>
      </c>
      <c r="M24" s="384">
        <f ca="1">SUMPRODUCT((Timing!$J$5:$AG$5=M$8)*(IFS!$J167:$AG167))</f>
        <v>10825</v>
      </c>
      <c r="N24" s="556">
        <f ca="1">SUMPRODUCT((Timing!$J$5:$AG$5=N$8)*(IFS!$J167:$AG167))</f>
        <v>18070.149999999998</v>
      </c>
      <c r="O24" s="383">
        <f ca="1">SUMPRODUCT((Timing!$J$5:$AG$5=O$8)*(IFS!$J167:$AG167))</f>
        <v>16993.601499999997</v>
      </c>
      <c r="P24" s="384">
        <f ca="1">SUMPRODUCT((Timing!$J$5:$AG$5=P$8)*(IFS!$J167:$AG167))</f>
        <v>11569.077514999999</v>
      </c>
      <c r="Q24" s="556">
        <f ca="1">SUMPRODUCT((Timing!$J$5:$AG$5=Q$8)*(IFS!$J167:$AG167))</f>
        <v>11746.649890150002</v>
      </c>
      <c r="R24" s="383">
        <f ca="1">SUMPRODUCT((Timing!$J$5:$AG$5=R$8)*(IFS!$J167:$AG167))</f>
        <v>9376.3932530515049</v>
      </c>
      <c r="S24" s="384">
        <f ca="1">SUMPRODUCT((Timing!$J$5:$AG$5=S$8)*(IFS!$J167:$AG167))</f>
        <v>8408.3851241420198</v>
      </c>
      <c r="T24" s="556">
        <f ca="1">SUMPRODUCT((Timing!$J$5:$AG$5=T$8)*(IFS!$J167:$AG167))</f>
        <v>8492.7060314858354</v>
      </c>
      <c r="U24" s="556">
        <f ca="1">SUMPRODUCT((Timing!$J$5:$AG$5=U$8)*(IFS!$J167:$AG167))</f>
        <v>10079.439630147192</v>
      </c>
      <c r="V24" s="381">
        <f ca="1">SUMPRODUCT((Timing!$J$5:$AG$5=V$8)*(IFS!$J167:$AG167))</f>
        <v>10079.439630147192</v>
      </c>
      <c r="W24" s="817">
        <f ca="1">SUMPRODUCT((Timing!$J$5:$AG$5=W$8)*(IFS!$J167:$AG167))</f>
        <v>10905.002671483157</v>
      </c>
      <c r="X24" s="818">
        <f ca="1">SUMPRODUCT((Timing!$J$5:$AG$5=X$8)*(IFS!$J167:$AG167))</f>
        <v>10655.618773270111</v>
      </c>
      <c r="Y24" s="818">
        <f ca="1">SUMPRODUCT((Timing!$J$5:$AG$5=Y$8)*(IFS!$J167:$AG167))</f>
        <v>13834.132699746147</v>
      </c>
      <c r="Z24" s="384">
        <f ca="1">SUMPRODUCT((Timing!$J$5:$AG$5=Z$8)*(IFS!$J167:$AG167))</f>
        <v>11543.73583463632</v>
      </c>
      <c r="AA24" s="381">
        <f ca="1">SUMPRODUCT((Timing!$J$5:$AG$5=AA$8)*(IFS!$J167:$AG167))</f>
        <v>11543.73583463632</v>
      </c>
    </row>
    <row r="25" spans="1:27" s="799" customFormat="1" ht="18.75" customHeight="1">
      <c r="A25" s="549"/>
      <c r="B25" s="549"/>
      <c r="C25" s="181" t="str">
        <f>IF(IFS!C168="","",IFS!C168)</f>
        <v>Deferred Revenue</v>
      </c>
      <c r="D25" s="737"/>
      <c r="E25" s="737"/>
      <c r="F25" s="737"/>
      <c r="G25" s="737"/>
      <c r="H25" s="737"/>
      <c r="I25" s="549"/>
      <c r="J25" s="556">
        <f>SUMPRODUCT((Timing!$J$5:$AG$5=J$8)*(IFS!$J168:$AG168))</f>
        <v>0</v>
      </c>
      <c r="K25" s="556">
        <f>SUMPRODUCT((Timing!$J$5:$AG$5=K$8)*(IFS!$J168:$AG168))</f>
        <v>0</v>
      </c>
      <c r="L25" s="383">
        <f>SUMPRODUCT((Timing!$J$5:$AG$5=L$8)*(IFS!$J168:$AG168))</f>
        <v>0</v>
      </c>
      <c r="M25" s="384">
        <f>SUMPRODUCT((Timing!$J$5:$AG$5=M$8)*(IFS!$J168:$AG168))</f>
        <v>0</v>
      </c>
      <c r="N25" s="556">
        <f>SUMPRODUCT((Timing!$J$5:$AG$5=N$8)*(IFS!$J168:$AG168))</f>
        <v>0</v>
      </c>
      <c r="O25" s="383">
        <f>SUMPRODUCT((Timing!$J$5:$AG$5=O$8)*(IFS!$J168:$AG168))</f>
        <v>0</v>
      </c>
      <c r="P25" s="384">
        <f>SUMPRODUCT((Timing!$J$5:$AG$5=P$8)*(IFS!$J168:$AG168))</f>
        <v>0</v>
      </c>
      <c r="Q25" s="556">
        <f>SUMPRODUCT((Timing!$J$5:$AG$5=Q$8)*(IFS!$J168:$AG168))</f>
        <v>0</v>
      </c>
      <c r="R25" s="383">
        <f>SUMPRODUCT((Timing!$J$5:$AG$5=R$8)*(IFS!$J168:$AG168))</f>
        <v>0</v>
      </c>
      <c r="S25" s="384">
        <f>SUMPRODUCT((Timing!$J$5:$AG$5=S$8)*(IFS!$J168:$AG168))</f>
        <v>0</v>
      </c>
      <c r="T25" s="556">
        <f>SUMPRODUCT((Timing!$J$5:$AG$5=T$8)*(IFS!$J168:$AG168))</f>
        <v>0</v>
      </c>
      <c r="U25" s="556">
        <f>SUMPRODUCT((Timing!$J$5:$AG$5=U$8)*(IFS!$J168:$AG168))</f>
        <v>0</v>
      </c>
      <c r="V25" s="381">
        <f>SUMPRODUCT((Timing!$J$5:$AG$5=V$8)*(IFS!$J168:$AG168))</f>
        <v>0</v>
      </c>
      <c r="W25" s="817">
        <f>SUMPRODUCT((Timing!$J$5:$AG$5=W$8)*(IFS!$J168:$AG168))</f>
        <v>0</v>
      </c>
      <c r="X25" s="818">
        <f>SUMPRODUCT((Timing!$J$5:$AG$5=X$8)*(IFS!$J168:$AG168))</f>
        <v>0</v>
      </c>
      <c r="Y25" s="818">
        <f>SUMPRODUCT((Timing!$J$5:$AG$5=Y$8)*(IFS!$J168:$AG168))</f>
        <v>0</v>
      </c>
      <c r="Z25" s="384">
        <f>SUMPRODUCT((Timing!$J$5:$AG$5=Z$8)*(IFS!$J168:$AG168))</f>
        <v>0</v>
      </c>
      <c r="AA25" s="381">
        <f>SUMPRODUCT((Timing!$J$5:$AG$5=AA$8)*(IFS!$J168:$AG168))</f>
        <v>0</v>
      </c>
    </row>
    <row r="26" spans="1:27" s="799" customFormat="1" ht="18.75" customHeight="1">
      <c r="A26" s="549"/>
      <c r="B26" s="549"/>
      <c r="C26" s="181" t="str">
        <f>IF(IFS!C169="","",IFS!C169)</f>
        <v>Accrued Revenue Share</v>
      </c>
      <c r="D26" s="737"/>
      <c r="E26" s="737"/>
      <c r="F26" s="737"/>
      <c r="G26" s="737"/>
      <c r="H26" s="737"/>
      <c r="I26" s="423"/>
      <c r="J26" s="556">
        <f ca="1">SUMPRODUCT((Timing!$J$5:$AG$5=J$8)*(IFS!$J169:$AG169))</f>
        <v>0</v>
      </c>
      <c r="K26" s="556">
        <f ca="1">SUMPRODUCT((Timing!$J$5:$AG$5=K$8)*(IFS!$J169:$AG169))</f>
        <v>0</v>
      </c>
      <c r="L26" s="383">
        <f ca="1">SUMPRODUCT((Timing!$J$5:$AG$5=L$8)*(IFS!$J169:$AG169))</f>
        <v>0</v>
      </c>
      <c r="M26" s="384">
        <f ca="1">SUMPRODUCT((Timing!$J$5:$AG$5=M$8)*(IFS!$J169:$AG169))</f>
        <v>0</v>
      </c>
      <c r="N26" s="556">
        <f ca="1">SUMPRODUCT((Timing!$J$5:$AG$5=N$8)*(IFS!$J169:$AG169))</f>
        <v>0</v>
      </c>
      <c r="O26" s="383">
        <f ca="1">SUMPRODUCT((Timing!$J$5:$AG$5=O$8)*(IFS!$J169:$AG169))</f>
        <v>0</v>
      </c>
      <c r="P26" s="384">
        <f ca="1">SUMPRODUCT((Timing!$J$5:$AG$5=P$8)*(IFS!$J169:$AG169))</f>
        <v>0</v>
      </c>
      <c r="Q26" s="556">
        <f ca="1">SUMPRODUCT((Timing!$J$5:$AG$5=Q$8)*(IFS!$J169:$AG169))</f>
        <v>0</v>
      </c>
      <c r="R26" s="383">
        <f ca="1">SUMPRODUCT((Timing!$J$5:$AG$5=R$8)*(IFS!$J169:$AG169))</f>
        <v>0</v>
      </c>
      <c r="S26" s="384">
        <f ca="1">SUMPRODUCT((Timing!$J$5:$AG$5=S$8)*(IFS!$J169:$AG169))</f>
        <v>0</v>
      </c>
      <c r="T26" s="556">
        <f ca="1">SUMPRODUCT((Timing!$J$5:$AG$5=T$8)*(IFS!$J169:$AG169))</f>
        <v>0</v>
      </c>
      <c r="U26" s="556">
        <f ca="1">SUMPRODUCT((Timing!$J$5:$AG$5=U$8)*(IFS!$J169:$AG169))</f>
        <v>0</v>
      </c>
      <c r="V26" s="381">
        <f ca="1">SUMPRODUCT((Timing!$J$5:$AG$5=V$8)*(IFS!$J169:$AG169))</f>
        <v>0</v>
      </c>
      <c r="W26" s="817">
        <f ca="1">SUMPRODUCT((Timing!$J$5:$AG$5=W$8)*(IFS!$J169:$AG169))</f>
        <v>0</v>
      </c>
      <c r="X26" s="818">
        <f ca="1">SUMPRODUCT((Timing!$J$5:$AG$5=X$8)*(IFS!$J169:$AG169))</f>
        <v>0</v>
      </c>
      <c r="Y26" s="818">
        <f ca="1">SUMPRODUCT((Timing!$J$5:$AG$5=Y$8)*(IFS!$J169:$AG169))</f>
        <v>0</v>
      </c>
      <c r="Z26" s="384">
        <f ca="1">SUMPRODUCT((Timing!$J$5:$AG$5=Z$8)*(IFS!$J169:$AG169))</f>
        <v>0</v>
      </c>
      <c r="AA26" s="381">
        <f ca="1">SUMPRODUCT((Timing!$J$5:$AG$5=AA$8)*(IFS!$J169:$AG169))</f>
        <v>0</v>
      </c>
    </row>
    <row r="27" spans="1:27" s="799" customFormat="1" ht="18.75" customHeight="1">
      <c r="A27" s="549"/>
      <c r="B27" s="549"/>
      <c r="C27" s="181" t="str">
        <f>IF(IFS!C170="","",IFS!C170)</f>
        <v>Accruals</v>
      </c>
      <c r="D27" s="737"/>
      <c r="E27" s="737"/>
      <c r="F27" s="737"/>
      <c r="G27" s="737"/>
      <c r="H27" s="737"/>
      <c r="I27" s="433">
        <f>Inputs!$F$274</f>
        <v>0</v>
      </c>
      <c r="J27" s="556">
        <f>SUMPRODUCT((Timing!$J$5:$AG$5=J$8)*(IFS!$J170:$AG170))</f>
        <v>0</v>
      </c>
      <c r="K27" s="556">
        <f>SUMPRODUCT((Timing!$J$5:$AG$5=K$8)*(IFS!$J170:$AG170))</f>
        <v>0</v>
      </c>
      <c r="L27" s="383">
        <f>SUMPRODUCT((Timing!$J$5:$AG$5=L$8)*(IFS!$J170:$AG170))</f>
        <v>0</v>
      </c>
      <c r="M27" s="384">
        <f>SUMPRODUCT((Timing!$J$5:$AG$5=M$8)*(IFS!$J170:$AG170))</f>
        <v>0</v>
      </c>
      <c r="N27" s="556">
        <f>SUMPRODUCT((Timing!$J$5:$AG$5=N$8)*(IFS!$J170:$AG170))</f>
        <v>0</v>
      </c>
      <c r="O27" s="383">
        <f>SUMPRODUCT((Timing!$J$5:$AG$5=O$8)*(IFS!$J170:$AG170))</f>
        <v>0</v>
      </c>
      <c r="P27" s="384">
        <f>SUMPRODUCT((Timing!$J$5:$AG$5=P$8)*(IFS!$J170:$AG170))</f>
        <v>0</v>
      </c>
      <c r="Q27" s="556">
        <f>SUMPRODUCT((Timing!$J$5:$AG$5=Q$8)*(IFS!$J170:$AG170))</f>
        <v>6750</v>
      </c>
      <c r="R27" s="383">
        <f>SUMPRODUCT((Timing!$J$5:$AG$5=R$8)*(IFS!$J170:$AG170))</f>
        <v>6750</v>
      </c>
      <c r="S27" s="384">
        <f>SUMPRODUCT((Timing!$J$5:$AG$5=S$8)*(IFS!$J170:$AG170))</f>
        <v>6750</v>
      </c>
      <c r="T27" s="556">
        <f>SUMPRODUCT((Timing!$J$5:$AG$5=T$8)*(IFS!$J170:$AG170))</f>
        <v>6750</v>
      </c>
      <c r="U27" s="556">
        <f>SUMPRODUCT((Timing!$J$5:$AG$5=U$8)*(IFS!$J170:$AG170))</f>
        <v>6750</v>
      </c>
      <c r="V27" s="381">
        <f>SUMPRODUCT((Timing!$J$5:$AG$5=V$8)*(IFS!$J170:$AG170))</f>
        <v>6750</v>
      </c>
      <c r="W27" s="817">
        <f>SUMPRODUCT((Timing!$J$5:$AG$5=W$8)*(IFS!$J170:$AG170))</f>
        <v>6750</v>
      </c>
      <c r="X27" s="818">
        <f>SUMPRODUCT((Timing!$J$5:$AG$5=X$8)*(IFS!$J170:$AG170))</f>
        <v>6750</v>
      </c>
      <c r="Y27" s="818">
        <f>SUMPRODUCT((Timing!$J$5:$AG$5=Y$8)*(IFS!$J170:$AG170))</f>
        <v>5750</v>
      </c>
      <c r="Z27" s="384">
        <f>SUMPRODUCT((Timing!$J$5:$AG$5=Z$8)*(IFS!$J170:$AG170))</f>
        <v>5750</v>
      </c>
      <c r="AA27" s="381">
        <f>SUMPRODUCT((Timing!$J$5:$AG$5=AA$8)*(IFS!$J170:$AG170))</f>
        <v>5750</v>
      </c>
    </row>
    <row r="28" spans="1:27" s="799" customFormat="1" ht="18.75" customHeight="1">
      <c r="A28" s="549"/>
      <c r="B28" s="549"/>
      <c r="C28" s="181" t="str">
        <f>IF(IFS!C171="","",IFS!C171)</f>
        <v>Finance Lease Obligations</v>
      </c>
      <c r="D28" s="737"/>
      <c r="E28" s="737"/>
      <c r="F28" s="737"/>
      <c r="G28" s="737"/>
      <c r="H28" s="737"/>
      <c r="I28" s="423"/>
      <c r="J28" s="556">
        <f>SUMPRODUCT((Timing!$J$5:$AG$5=J$8)*(IFS!$J171:$AG171))</f>
        <v>0</v>
      </c>
      <c r="K28" s="556">
        <f>SUMPRODUCT((Timing!$J$5:$AG$5=K$8)*(IFS!$J171:$AG171))</f>
        <v>0</v>
      </c>
      <c r="L28" s="383">
        <f>SUMPRODUCT((Timing!$J$5:$AG$5=L$8)*(IFS!$J171:$AG171))</f>
        <v>0</v>
      </c>
      <c r="M28" s="384">
        <f>SUMPRODUCT((Timing!$J$5:$AG$5=M$8)*(IFS!$J171:$AG171))</f>
        <v>0</v>
      </c>
      <c r="N28" s="556">
        <f>SUMPRODUCT((Timing!$J$5:$AG$5=N$8)*(IFS!$J171:$AG171))</f>
        <v>0</v>
      </c>
      <c r="O28" s="383">
        <f>SUMPRODUCT((Timing!$J$5:$AG$5=O$8)*(IFS!$J171:$AG171))</f>
        <v>0</v>
      </c>
      <c r="P28" s="384">
        <f>SUMPRODUCT((Timing!$J$5:$AG$5=P$8)*(IFS!$J171:$AG171))</f>
        <v>0</v>
      </c>
      <c r="Q28" s="556">
        <f>SUMPRODUCT((Timing!$J$5:$AG$5=Q$8)*(IFS!$J171:$AG171))</f>
        <v>0</v>
      </c>
      <c r="R28" s="383">
        <f>SUMPRODUCT((Timing!$J$5:$AG$5=R$8)*(IFS!$J171:$AG171))</f>
        <v>20000</v>
      </c>
      <c r="S28" s="384">
        <f>SUMPRODUCT((Timing!$J$5:$AG$5=S$8)*(IFS!$J171:$AG171))</f>
        <v>19000</v>
      </c>
      <c r="T28" s="556">
        <f>SUMPRODUCT((Timing!$J$5:$AG$5=T$8)*(IFS!$J171:$AG171))</f>
        <v>18000</v>
      </c>
      <c r="U28" s="556">
        <f>SUMPRODUCT((Timing!$J$5:$AG$5=U$8)*(IFS!$J171:$AG171))</f>
        <v>17000</v>
      </c>
      <c r="V28" s="381">
        <f>SUMPRODUCT((Timing!$J$5:$AG$5=V$8)*(IFS!$J171:$AG171))</f>
        <v>17000</v>
      </c>
      <c r="W28" s="817">
        <f>SUMPRODUCT((Timing!$J$5:$AG$5=W$8)*(IFS!$J171:$AG171))</f>
        <v>14000</v>
      </c>
      <c r="X28" s="818">
        <f>SUMPRODUCT((Timing!$J$5:$AG$5=X$8)*(IFS!$J171:$AG171))</f>
        <v>11000</v>
      </c>
      <c r="Y28" s="818">
        <f>SUMPRODUCT((Timing!$J$5:$AG$5=Y$8)*(IFS!$J171:$AG171))</f>
        <v>8000</v>
      </c>
      <c r="Z28" s="384">
        <f>SUMPRODUCT((Timing!$J$5:$AG$5=Z$8)*(IFS!$J171:$AG171))</f>
        <v>5000</v>
      </c>
      <c r="AA28" s="381">
        <f>SUMPRODUCT((Timing!$J$5:$AG$5=AA$8)*(IFS!$J171:$AG171))</f>
        <v>5000</v>
      </c>
    </row>
    <row r="29" spans="1:27" s="799" customFormat="1" ht="18.75" customHeight="1">
      <c r="A29" s="549"/>
      <c r="B29" s="549"/>
      <c r="C29" s="181" t="str">
        <f>IF(IFS!C172="","",IFS!C172)</f>
        <v>Payroll withholdings owed</v>
      </c>
      <c r="D29" s="737"/>
      <c r="E29" s="737"/>
      <c r="F29" s="737"/>
      <c r="G29" s="737"/>
      <c r="H29" s="737"/>
      <c r="I29" s="433">
        <f>Inputs!$F$275</f>
        <v>0</v>
      </c>
      <c r="J29" s="556">
        <f ca="1">SUMPRODUCT((Timing!$J$5:$AG$5=J$8)*(IFS!$J172:$AG172))</f>
        <v>0</v>
      </c>
      <c r="K29" s="556">
        <f ca="1">SUMPRODUCT((Timing!$J$5:$AG$5=K$8)*(IFS!$J172:$AG172))</f>
        <v>0</v>
      </c>
      <c r="L29" s="383">
        <f ca="1">SUMPRODUCT((Timing!$J$5:$AG$5=L$8)*(IFS!$J172:$AG172))</f>
        <v>1774.7555555555555</v>
      </c>
      <c r="M29" s="384">
        <f ca="1">SUMPRODUCT((Timing!$J$5:$AG$5=M$8)*(IFS!$J172:$AG172))</f>
        <v>2140.3111111111116</v>
      </c>
      <c r="N29" s="556">
        <f ca="1">SUMPRODUCT((Timing!$J$5:$AG$5=N$8)*(IFS!$J172:$AG172))</f>
        <v>2493.0888888888899</v>
      </c>
      <c r="O29" s="383">
        <f ca="1">SUMPRODUCT((Timing!$J$5:$AG$5=O$8)*(IFS!$J172:$AG172))</f>
        <v>2778.184444444445</v>
      </c>
      <c r="P29" s="384">
        <f ca="1">SUMPRODUCT((Timing!$J$5:$AG$5=P$8)*(IFS!$J172:$AG172))</f>
        <v>3087.7488888888897</v>
      </c>
      <c r="Q29" s="556">
        <f ca="1">SUMPRODUCT((Timing!$J$5:$AG$5=Q$8)*(IFS!$J172:$AG172))</f>
        <v>3990.6492444444448</v>
      </c>
      <c r="R29" s="383">
        <f ca="1">SUMPRODUCT((Timing!$J$5:$AG$5=R$8)*(IFS!$J172:$AG172))</f>
        <v>4300.7119475555555</v>
      </c>
      <c r="S29" s="384">
        <f ca="1">SUMPRODUCT((Timing!$J$5:$AG$5=S$8)*(IFS!$J172:$AG172))</f>
        <v>5718.9223054577787</v>
      </c>
      <c r="T29" s="556">
        <f ca="1">SUMPRODUCT((Timing!$J$5:$AG$5=T$8)*(IFS!$J172:$AG172))</f>
        <v>6064.9334110094223</v>
      </c>
      <c r="U29" s="556">
        <f ca="1">SUMPRODUCT((Timing!$J$5:$AG$5=U$8)*(IFS!$J172:$AG172))</f>
        <v>6337.5372774498001</v>
      </c>
      <c r="V29" s="381">
        <f ca="1">SUMPRODUCT((Timing!$J$5:$AG$5=V$8)*(IFS!$J172:$AG172))</f>
        <v>6337.5372774498001</v>
      </c>
      <c r="W29" s="817">
        <f ca="1">SUMPRODUCT((Timing!$J$5:$AG$5=W$8)*(IFS!$J172:$AG172))</f>
        <v>7346.3257714228821</v>
      </c>
      <c r="X29" s="818">
        <f ca="1">SUMPRODUCT((Timing!$J$5:$AG$5=X$8)*(IFS!$J172:$AG172))</f>
        <v>8869.5681566572039</v>
      </c>
      <c r="Y29" s="818">
        <f ca="1">SUMPRODUCT((Timing!$J$5:$AG$5=Y$8)*(IFS!$J172:$AG172))</f>
        <v>10417.360618485664</v>
      </c>
      <c r="Z29" s="384">
        <f ca="1">SUMPRODUCT((Timing!$J$5:$AG$5=Z$8)*(IFS!$J172:$AG172))</f>
        <v>12014.983221382212</v>
      </c>
      <c r="AA29" s="381">
        <f ca="1">SUMPRODUCT((Timing!$J$5:$AG$5=AA$8)*(IFS!$J172:$AG172))</f>
        <v>12014.983221382212</v>
      </c>
    </row>
    <row r="30" spans="1:27" s="799" customFormat="1" ht="18.75" customHeight="1">
      <c r="A30" s="549"/>
      <c r="B30" s="549"/>
      <c r="C30" s="181" t="str">
        <f>IF(IFS!C173="","",IFS!C173)</f>
        <v>VAT owed by company</v>
      </c>
      <c r="D30" s="737"/>
      <c r="E30" s="737"/>
      <c r="F30" s="737"/>
      <c r="G30" s="737"/>
      <c r="H30" s="737"/>
      <c r="I30" s="746"/>
      <c r="J30" s="556">
        <f ca="1">SUMPRODUCT((Timing!$J$5:$AG$5=J$8)*(IFS!$J173:$AG173))</f>
        <v>0</v>
      </c>
      <c r="K30" s="556">
        <f ca="1">SUMPRODUCT((Timing!$J$5:$AG$5=K$8)*(IFS!$J173:$AG173))</f>
        <v>0</v>
      </c>
      <c r="L30" s="383">
        <f ca="1">SUMPRODUCT((Timing!$J$5:$AG$5=L$8)*(IFS!$J173:$AG173))</f>
        <v>1356</v>
      </c>
      <c r="M30" s="384">
        <f ca="1">SUMPRODUCT((Timing!$J$5:$AG$5=M$8)*(IFS!$J173:$AG173))</f>
        <v>2165</v>
      </c>
      <c r="N30" s="556">
        <f ca="1">SUMPRODUCT((Timing!$J$5:$AG$5=N$8)*(IFS!$J173:$AG173))</f>
        <v>3614.0299999999997</v>
      </c>
      <c r="O30" s="383">
        <f ca="1">SUMPRODUCT((Timing!$J$5:$AG$5=O$8)*(IFS!$J173:$AG173))</f>
        <v>3398.720299999999</v>
      </c>
      <c r="P30" s="384">
        <f ca="1">SUMPRODUCT((Timing!$J$5:$AG$5=P$8)*(IFS!$J173:$AG173))</f>
        <v>2313.8155029999989</v>
      </c>
      <c r="Q30" s="556">
        <f ca="1">SUMPRODUCT((Timing!$J$5:$AG$5=Q$8)*(IFS!$J173:$AG173))</f>
        <v>2349.3299780299994</v>
      </c>
      <c r="R30" s="383">
        <f ca="1">SUMPRODUCT((Timing!$J$5:$AG$5=R$8)*(IFS!$J173:$AG173))</f>
        <v>1875.2786506103002</v>
      </c>
      <c r="S30" s="384">
        <f ca="1">SUMPRODUCT((Timing!$J$5:$AG$5=S$8)*(IFS!$J173:$AG173))</f>
        <v>1681.6770248284029</v>
      </c>
      <c r="T30" s="556">
        <f ca="1">SUMPRODUCT((Timing!$J$5:$AG$5=T$8)*(IFS!$J173:$AG173))</f>
        <v>1698.5412062971661</v>
      </c>
      <c r="U30" s="556">
        <f ca="1">SUMPRODUCT((Timing!$J$5:$AG$5=U$8)*(IFS!$J173:$AG173))</f>
        <v>2015.887926029437</v>
      </c>
      <c r="V30" s="381">
        <f ca="1">SUMPRODUCT((Timing!$J$5:$AG$5=V$8)*(IFS!$J173:$AG173))</f>
        <v>2015.887926029437</v>
      </c>
      <c r="W30" s="817">
        <f ca="1">SUMPRODUCT((Timing!$J$5:$AG$5=W$8)*(IFS!$J173:$AG173))</f>
        <v>2181.000534296631</v>
      </c>
      <c r="X30" s="818">
        <f ca="1">SUMPRODUCT((Timing!$J$5:$AG$5=X$8)*(IFS!$J173:$AG173))</f>
        <v>2131.1237546540219</v>
      </c>
      <c r="Y30" s="818">
        <f ca="1">SUMPRODUCT((Timing!$J$5:$AG$5=Y$8)*(IFS!$J173:$AG173))</f>
        <v>2766.8265399492288</v>
      </c>
      <c r="Z30" s="384">
        <f ca="1">SUMPRODUCT((Timing!$J$5:$AG$5=Z$8)*(IFS!$J173:$AG173))</f>
        <v>2308.7471669272636</v>
      </c>
      <c r="AA30" s="381">
        <f ca="1">SUMPRODUCT((Timing!$J$5:$AG$5=AA$8)*(IFS!$J173:$AG173))</f>
        <v>2308.7471669272636</v>
      </c>
    </row>
    <row r="31" spans="1:27" s="799" customFormat="1" ht="18.75" customHeight="1">
      <c r="A31" s="549"/>
      <c r="B31" s="549"/>
      <c r="C31" s="181" t="str">
        <f>IF(IFS!C174="","",IFS!C174)</f>
        <v>Taxes on income owed</v>
      </c>
      <c r="D31" s="737"/>
      <c r="E31" s="737"/>
      <c r="F31" s="737"/>
      <c r="G31" s="737"/>
      <c r="H31" s="737"/>
      <c r="I31" s="746"/>
      <c r="J31" s="556">
        <f ca="1">SUMPRODUCT((Timing!$J$5:$AG$5=J$8)*(IFS!$J174:$AG174))</f>
        <v>0</v>
      </c>
      <c r="K31" s="556">
        <f ca="1">SUMPRODUCT((Timing!$J$5:$AG$5=K$8)*(IFS!$J174:$AG174))</f>
        <v>0</v>
      </c>
      <c r="L31" s="383">
        <f ca="1">SUMPRODUCT((Timing!$J$5:$AG$5=L$8)*(IFS!$J174:$AG174))</f>
        <v>-1250</v>
      </c>
      <c r="M31" s="384">
        <f ca="1">SUMPRODUCT((Timing!$J$5:$AG$5=M$8)*(IFS!$J174:$AG174))</f>
        <v>-1250</v>
      </c>
      <c r="N31" s="556">
        <f ca="1">SUMPRODUCT((Timing!$J$5:$AG$5=N$8)*(IFS!$J174:$AG174))</f>
        <v>-1250</v>
      </c>
      <c r="O31" s="383">
        <f ca="1">SUMPRODUCT((Timing!$J$5:$AG$5=O$8)*(IFS!$J174:$AG174))</f>
        <v>-2500</v>
      </c>
      <c r="P31" s="384">
        <f ca="1">SUMPRODUCT((Timing!$J$5:$AG$5=P$8)*(IFS!$J174:$AG174))</f>
        <v>-2500</v>
      </c>
      <c r="Q31" s="556">
        <f ca="1">SUMPRODUCT((Timing!$J$5:$AG$5=Q$8)*(IFS!$J174:$AG174))</f>
        <v>-2500</v>
      </c>
      <c r="R31" s="383">
        <f ca="1">SUMPRODUCT((Timing!$J$5:$AG$5=R$8)*(IFS!$J174:$AG174))</f>
        <v>-3750</v>
      </c>
      <c r="S31" s="384">
        <f ca="1">SUMPRODUCT((Timing!$J$5:$AG$5=S$8)*(IFS!$J174:$AG174))</f>
        <v>-3750</v>
      </c>
      <c r="T31" s="556">
        <f ca="1">SUMPRODUCT((Timing!$J$5:$AG$5=T$8)*(IFS!$J174:$AG174))</f>
        <v>-3750</v>
      </c>
      <c r="U31" s="556">
        <f ca="1">SUMPRODUCT((Timing!$J$5:$AG$5=U$8)*(IFS!$J174:$AG174))</f>
        <v>-5000</v>
      </c>
      <c r="V31" s="381">
        <f ca="1">SUMPRODUCT((Timing!$J$5:$AG$5=V$8)*(IFS!$J174:$AG174))</f>
        <v>-5000</v>
      </c>
      <c r="W31" s="817">
        <f ca="1">SUMPRODUCT((Timing!$J$5:$AG$5=W$8)*(IFS!$J174:$AG174))</f>
        <v>520.07028176554923</v>
      </c>
      <c r="X31" s="818">
        <f ca="1">SUMPRODUCT((Timing!$J$5:$AG$5=X$8)*(IFS!$J174:$AG174))</f>
        <v>11040.1405635311</v>
      </c>
      <c r="Y31" s="818">
        <f ca="1">SUMPRODUCT((Timing!$J$5:$AG$5=Y$8)*(IFS!$J174:$AG174))</f>
        <v>16560.210845296649</v>
      </c>
      <c r="Z31" s="384">
        <f ca="1">SUMPRODUCT((Timing!$J$5:$AG$5=Z$8)*(IFS!$J174:$AG174))</f>
        <v>22080.281127062201</v>
      </c>
      <c r="AA31" s="381">
        <f ca="1">SUMPRODUCT((Timing!$J$5:$AG$5=AA$8)*(IFS!$J174:$AG174))</f>
        <v>22080.281127062201</v>
      </c>
    </row>
    <row r="32" spans="1:27" s="799" customFormat="1" ht="18.75" customHeight="1">
      <c r="A32" s="549"/>
      <c r="B32" s="549"/>
      <c r="C32" s="181" t="str">
        <f>IF(IFS!C175="","",IFS!C175)</f>
        <v>VAT owed to tax authority</v>
      </c>
      <c r="D32" s="737"/>
      <c r="E32" s="737"/>
      <c r="F32" s="737"/>
      <c r="G32" s="737"/>
      <c r="H32" s="737"/>
      <c r="I32" s="746"/>
      <c r="J32" s="556">
        <f ca="1">SUMPRODUCT((Timing!$J$5:$AG$5=J$8)*(IFS!$J175:$AG175))</f>
        <v>0</v>
      </c>
      <c r="K32" s="556">
        <f ca="1">SUMPRODUCT((Timing!$J$5:$AG$5=K$8)*(IFS!$J175:$AG175))</f>
        <v>0</v>
      </c>
      <c r="L32" s="383">
        <f ca="1">SUMPRODUCT((Timing!$J$5:$AG$5=L$8)*(IFS!$J175:$AG175))</f>
        <v>-1740.957714285714</v>
      </c>
      <c r="M32" s="384">
        <f ca="1">SUMPRODUCT((Timing!$J$5:$AG$5=M$8)*(IFS!$J175:$AG175))</f>
        <v>587.54274654377969</v>
      </c>
      <c r="N32" s="556">
        <f ca="1">SUMPRODUCT((Timing!$J$5:$AG$5=N$8)*(IFS!$J175:$AG175))</f>
        <v>-6555.1549523809508</v>
      </c>
      <c r="O32" s="383">
        <f ca="1">SUMPRODUCT((Timing!$J$5:$AG$5=O$8)*(IFS!$J175:$AG175))</f>
        <v>-4834.4717418433156</v>
      </c>
      <c r="P32" s="384">
        <f ca="1">SUMPRODUCT((Timing!$J$5:$AG$5=P$8)*(IFS!$J175:$AG175))</f>
        <v>2888.6273131290322</v>
      </c>
      <c r="Q32" s="556">
        <f ca="1">SUMPRODUCT((Timing!$J$5:$AG$5=Q$8)*(IFS!$J175:$AG175))</f>
        <v>7107.973332421614</v>
      </c>
      <c r="R32" s="383">
        <f ca="1">SUMPRODUCT((Timing!$J$5:$AG$5=R$8)*(IFS!$J175:$AG175))</f>
        <v>8265.0759367380888</v>
      </c>
      <c r="S32" s="384">
        <f ca="1">SUMPRODUCT((Timing!$J$5:$AG$5=S$8)*(IFS!$J175:$AG175))</f>
        <v>-11450.49335038372</v>
      </c>
      <c r="T32" s="556">
        <f ca="1">SUMPRODUCT((Timing!$J$5:$AG$5=T$8)*(IFS!$J175:$AG175))</f>
        <v>-3824.9867687877413</v>
      </c>
      <c r="U32" s="556">
        <f ca="1">SUMPRODUCT((Timing!$J$5:$AG$5=U$8)*(IFS!$J175:$AG175))</f>
        <v>3703.5295864169129</v>
      </c>
      <c r="V32" s="381">
        <f ca="1">SUMPRODUCT((Timing!$J$5:$AG$5=V$8)*(IFS!$J175:$AG175))</f>
        <v>3703.5295864169129</v>
      </c>
      <c r="W32" s="817">
        <f ca="1">SUMPRODUCT((Timing!$J$5:$AG$5=W$8)*(IFS!$J175:$AG175))</f>
        <v>25928.859475302808</v>
      </c>
      <c r="X32" s="818">
        <f ca="1">SUMPRODUCT((Timing!$J$5:$AG$5=X$8)*(IFS!$J175:$AG175))</f>
        <v>36493.716385533546</v>
      </c>
      <c r="Y32" s="818">
        <f ca="1">SUMPRODUCT((Timing!$J$5:$AG$5=Y$8)*(IFS!$J175:$AG175))</f>
        <v>42309.583659788113</v>
      </c>
      <c r="Z32" s="384">
        <f ca="1">SUMPRODUCT((Timing!$J$5:$AG$5=Z$8)*(IFS!$J175:$AG175))</f>
        <v>51482.773215328045</v>
      </c>
      <c r="AA32" s="381">
        <f ca="1">SUMPRODUCT((Timing!$J$5:$AG$5=AA$8)*(IFS!$J175:$AG175))</f>
        <v>51482.773215328045</v>
      </c>
    </row>
    <row r="33" spans="1:27" s="799" customFormat="1" ht="18.75" customHeight="1">
      <c r="A33" s="549"/>
      <c r="B33" s="549"/>
      <c r="C33" s="385" t="str">
        <f>IF(IFS!C176="","",IFS!C176)</f>
        <v>Total Current Liabilities</v>
      </c>
      <c r="D33" s="386"/>
      <c r="E33" s="386"/>
      <c r="F33" s="386"/>
      <c r="G33" s="386"/>
      <c r="H33" s="386"/>
      <c r="I33" s="820">
        <f>SUM(I22:I32)</f>
        <v>6000</v>
      </c>
      <c r="J33" s="820">
        <f t="shared" ref="J33:AA33" ca="1" si="8">SUM(J22:J32)</f>
        <v>0</v>
      </c>
      <c r="K33" s="820">
        <f t="shared" ca="1" si="8"/>
        <v>0</v>
      </c>
      <c r="L33" s="821">
        <f t="shared" ca="1" si="8"/>
        <v>9919.7978412698412</v>
      </c>
      <c r="M33" s="822">
        <f t="shared" ca="1" si="8"/>
        <v>14467.853857654893</v>
      </c>
      <c r="N33" s="820">
        <f t="shared" ca="1" si="8"/>
        <v>19872.113936507936</v>
      </c>
      <c r="O33" s="821">
        <f t="shared" ca="1" si="8"/>
        <v>19336.034502601127</v>
      </c>
      <c r="P33" s="822">
        <f t="shared" ca="1" si="8"/>
        <v>20859.269220017919</v>
      </c>
      <c r="Q33" s="820">
        <f t="shared" ca="1" si="8"/>
        <v>32944.602445046061</v>
      </c>
      <c r="R33" s="821">
        <f t="shared" ca="1" si="8"/>
        <v>50317.459787955442</v>
      </c>
      <c r="S33" s="822">
        <f t="shared" ca="1" si="8"/>
        <v>29858.491104044482</v>
      </c>
      <c r="T33" s="820">
        <f t="shared" ca="1" si="8"/>
        <v>80086.737054634039</v>
      </c>
      <c r="U33" s="820">
        <f t="shared" ca="1" si="8"/>
        <v>42386.394420043347</v>
      </c>
      <c r="V33" s="820">
        <f t="shared" ca="1" si="8"/>
        <v>42386.394420043347</v>
      </c>
      <c r="W33" s="821">
        <f t="shared" ca="1" si="8"/>
        <v>69131.258734271018</v>
      </c>
      <c r="X33" s="823">
        <f t="shared" ca="1" si="8"/>
        <v>88440.167633645993</v>
      </c>
      <c r="Y33" s="823">
        <f t="shared" ca="1" si="8"/>
        <v>101138.11436326581</v>
      </c>
      <c r="Z33" s="822">
        <f t="shared" ca="1" si="8"/>
        <v>114430.52056533605</v>
      </c>
      <c r="AA33" s="820">
        <f t="shared" ca="1" si="8"/>
        <v>114430.52056533605</v>
      </c>
    </row>
    <row r="34" spans="1:27" s="799" customFormat="1" ht="18.75" customHeight="1">
      <c r="A34" s="549"/>
      <c r="B34" s="549"/>
      <c r="C34" s="181" t="str">
        <f>IF(IFS!C177="","",IFS!C177)</f>
        <v/>
      </c>
      <c r="D34" s="737"/>
      <c r="E34" s="737"/>
      <c r="F34" s="737"/>
      <c r="G34" s="737"/>
      <c r="H34" s="737"/>
      <c r="I34" s="746"/>
      <c r="J34" s="746"/>
      <c r="K34" s="737"/>
      <c r="L34" s="388"/>
      <c r="M34" s="389"/>
      <c r="N34" s="737"/>
      <c r="O34" s="388"/>
      <c r="P34" s="389"/>
      <c r="Q34" s="737"/>
      <c r="R34" s="388"/>
      <c r="S34" s="389"/>
      <c r="T34" s="737"/>
      <c r="U34" s="737"/>
      <c r="V34" s="815"/>
      <c r="W34" s="388"/>
      <c r="X34" s="816"/>
      <c r="Y34" s="816"/>
      <c r="Z34" s="389"/>
      <c r="AA34" s="815"/>
    </row>
    <row r="35" spans="1:27" s="799" customFormat="1" ht="18.75" customHeight="1">
      <c r="A35" s="549"/>
      <c r="B35" s="549"/>
      <c r="C35" s="182" t="str">
        <f>IF(IFS!C178="","",IFS!C178)</f>
        <v>Net current assets</v>
      </c>
      <c r="D35" s="737"/>
      <c r="E35" s="737"/>
      <c r="F35" s="737"/>
      <c r="G35" s="737"/>
      <c r="H35" s="737"/>
      <c r="I35" s="824">
        <f t="shared" ref="I35" si="9">I20-I33</f>
        <v>1500</v>
      </c>
      <c r="J35" s="824">
        <f t="shared" ref="J35:AA35" ca="1" si="10">J20-J33</f>
        <v>0</v>
      </c>
      <c r="K35" s="824">
        <f t="shared" ca="1" si="10"/>
        <v>0</v>
      </c>
      <c r="L35" s="825">
        <f t="shared" ca="1" si="10"/>
        <v>11292.538539682539</v>
      </c>
      <c r="M35" s="826">
        <f t="shared" ca="1" si="10"/>
        <v>25706.541024065536</v>
      </c>
      <c r="N35" s="824">
        <f t="shared" ca="1" si="10"/>
        <v>136847.61778015873</v>
      </c>
      <c r="O35" s="825">
        <f t="shared" ca="1" si="10"/>
        <v>132216.789619872</v>
      </c>
      <c r="P35" s="826">
        <f t="shared" ca="1" si="10"/>
        <v>133231.00493331542</v>
      </c>
      <c r="Q35" s="824">
        <f t="shared" ca="1" si="10"/>
        <v>127920.39605843782</v>
      </c>
      <c r="R35" s="825">
        <f t="shared" ca="1" si="10"/>
        <v>97770.992982893629</v>
      </c>
      <c r="S35" s="826">
        <f t="shared" ca="1" si="10"/>
        <v>122245.04474953102</v>
      </c>
      <c r="T35" s="824">
        <f t="shared" ca="1" si="10"/>
        <v>130372.31899254395</v>
      </c>
      <c r="U35" s="824">
        <f t="shared" ca="1" si="10"/>
        <v>206646.06535484461</v>
      </c>
      <c r="V35" s="827">
        <f t="shared" ca="1" si="10"/>
        <v>206646.06535484461</v>
      </c>
      <c r="W35" s="828">
        <f t="shared" ca="1" si="10"/>
        <v>182952.42033693477</v>
      </c>
      <c r="X35" s="829">
        <f t="shared" ca="1" si="10"/>
        <v>211853.08868480829</v>
      </c>
      <c r="Y35" s="829">
        <f t="shared" ca="1" si="10"/>
        <v>332101.10384312255</v>
      </c>
      <c r="Z35" s="826">
        <f t="shared" ca="1" si="10"/>
        <v>406383.54514664359</v>
      </c>
      <c r="AA35" s="827">
        <f t="shared" ca="1" si="10"/>
        <v>406383.54514664359</v>
      </c>
    </row>
    <row r="36" spans="1:27" s="799" customFormat="1" ht="18.75" customHeight="1">
      <c r="A36" s="549"/>
      <c r="B36" s="549"/>
      <c r="C36" s="182" t="str">
        <f>IF(IFS!C179="","",IFS!C179)</f>
        <v>Total assets less current liabilities</v>
      </c>
      <c r="D36" s="737"/>
      <c r="E36" s="737"/>
      <c r="F36" s="737"/>
      <c r="G36" s="737"/>
      <c r="H36" s="737"/>
      <c r="I36" s="830">
        <f t="shared" ref="I36" si="11">I13+I20-I33</f>
        <v>6500</v>
      </c>
      <c r="J36" s="830">
        <f t="shared" ref="J36:AA36" ca="1" si="12">J13+J20-J33</f>
        <v>0</v>
      </c>
      <c r="K36" s="830">
        <f t="shared" ca="1" si="12"/>
        <v>0</v>
      </c>
      <c r="L36" s="831">
        <f t="shared" ca="1" si="12"/>
        <v>26233.014730158728</v>
      </c>
      <c r="M36" s="832">
        <f t="shared" ca="1" si="12"/>
        <v>40468.445785970296</v>
      </c>
      <c r="N36" s="830">
        <f t="shared" ca="1" si="12"/>
        <v>208930.95111349208</v>
      </c>
      <c r="O36" s="831">
        <f t="shared" ca="1" si="12"/>
        <v>203593.77374685614</v>
      </c>
      <c r="P36" s="832">
        <f t="shared" ca="1" si="12"/>
        <v>203901.63985395033</v>
      </c>
      <c r="Q36" s="830">
        <f t="shared" ca="1" si="12"/>
        <v>197884.68177272353</v>
      </c>
      <c r="R36" s="831">
        <f t="shared" ca="1" si="12"/>
        <v>202028.92949083014</v>
      </c>
      <c r="S36" s="832">
        <f t="shared" ca="1" si="12"/>
        <v>314290.28284476913</v>
      </c>
      <c r="T36" s="830">
        <f t="shared" ca="1" si="12"/>
        <v>320513.60867508361</v>
      </c>
      <c r="U36" s="830">
        <f t="shared" ca="1" si="12"/>
        <v>394883.40662468586</v>
      </c>
      <c r="V36" s="833">
        <f t="shared" ca="1" si="12"/>
        <v>394883.40662468586</v>
      </c>
      <c r="W36" s="834">
        <f t="shared" ca="1" si="12"/>
        <v>415477.91636868077</v>
      </c>
      <c r="X36" s="835">
        <f t="shared" ca="1" si="12"/>
        <v>448583.4061451258</v>
      </c>
      <c r="Y36" s="835">
        <f t="shared" ca="1" si="12"/>
        <v>558155.29035105905</v>
      </c>
      <c r="Z36" s="832">
        <f t="shared" ca="1" si="12"/>
        <v>624821.12451172294</v>
      </c>
      <c r="AA36" s="833">
        <f t="shared" ca="1" si="12"/>
        <v>624821.12451172294</v>
      </c>
    </row>
    <row r="37" spans="1:27" s="799" customFormat="1" ht="18.75" customHeight="1">
      <c r="A37" s="549"/>
      <c r="B37" s="549"/>
      <c r="C37" s="181" t="str">
        <f>IF(IFS!C180="","",IFS!C180)</f>
        <v/>
      </c>
      <c r="D37" s="737"/>
      <c r="E37" s="737"/>
      <c r="F37" s="737"/>
      <c r="G37" s="737"/>
      <c r="H37" s="737"/>
      <c r="I37" s="746"/>
      <c r="J37" s="746"/>
      <c r="K37" s="737"/>
      <c r="L37" s="388"/>
      <c r="M37" s="389"/>
      <c r="N37" s="737"/>
      <c r="O37" s="388"/>
      <c r="P37" s="389"/>
      <c r="Q37" s="737"/>
      <c r="R37" s="388"/>
      <c r="S37" s="389"/>
      <c r="T37" s="737"/>
      <c r="U37" s="737"/>
      <c r="V37" s="815"/>
      <c r="W37" s="388"/>
      <c r="X37" s="816"/>
      <c r="Y37" s="816"/>
      <c r="Z37" s="389"/>
      <c r="AA37" s="815"/>
    </row>
    <row r="38" spans="1:27" s="799" customFormat="1" ht="18.75" customHeight="1">
      <c r="A38" s="549"/>
      <c r="B38" s="549"/>
      <c r="C38" s="181" t="str">
        <f>IF(IFS!C181="","",IFS!C181)</f>
        <v>Debt Facilities (at model start)</v>
      </c>
      <c r="D38" s="737"/>
      <c r="E38" s="737"/>
      <c r="F38" s="737"/>
      <c r="G38" s="737"/>
      <c r="H38" s="737"/>
      <c r="I38" s="433">
        <f>Inputs!$F$278</f>
        <v>10000</v>
      </c>
      <c r="J38" s="556">
        <f>SUMPRODUCT((Timing!$J$5:$AG$5=J$8)*(IFS!$J181:$AG181))</f>
        <v>0</v>
      </c>
      <c r="K38" s="556">
        <f>SUMPRODUCT((Timing!$J$5:$AG$5=K$8)*(IFS!$J181:$AG181))</f>
        <v>0</v>
      </c>
      <c r="L38" s="383">
        <f>SUMPRODUCT((Timing!$J$5:$AG$5=L$8)*(IFS!$J181:$AG181))</f>
        <v>10000</v>
      </c>
      <c r="M38" s="384">
        <f>SUMPRODUCT((Timing!$J$5:$AG$5=M$8)*(IFS!$J181:$AG181))</f>
        <v>10000</v>
      </c>
      <c r="N38" s="556">
        <f>SUMPRODUCT((Timing!$J$5:$AG$5=N$8)*(IFS!$J181:$AG181))</f>
        <v>10000</v>
      </c>
      <c r="O38" s="383">
        <f>SUMPRODUCT((Timing!$J$5:$AG$5=O$8)*(IFS!$J181:$AG181))</f>
        <v>10000</v>
      </c>
      <c r="P38" s="384">
        <f>SUMPRODUCT((Timing!$J$5:$AG$5=P$8)*(IFS!$J181:$AG181))</f>
        <v>10000</v>
      </c>
      <c r="Q38" s="556">
        <f>SUMPRODUCT((Timing!$J$5:$AG$5=Q$8)*(IFS!$J181:$AG181))</f>
        <v>10000</v>
      </c>
      <c r="R38" s="383">
        <f>SUMPRODUCT((Timing!$J$5:$AG$5=R$8)*(IFS!$J181:$AG181))</f>
        <v>10000</v>
      </c>
      <c r="S38" s="384">
        <f>SUMPRODUCT((Timing!$J$5:$AG$5=S$8)*(IFS!$J181:$AG181))</f>
        <v>10000</v>
      </c>
      <c r="T38" s="556">
        <f>SUMPRODUCT((Timing!$J$5:$AG$5=T$8)*(IFS!$J181:$AG181))</f>
        <v>10000</v>
      </c>
      <c r="U38" s="556">
        <f>SUMPRODUCT((Timing!$J$5:$AG$5=U$8)*(IFS!$J181:$AG181))</f>
        <v>10000</v>
      </c>
      <c r="V38" s="381">
        <f>SUMPRODUCT((Timing!$J$5:$AG$5=V$8)*(IFS!$J181:$AG181))</f>
        <v>10000</v>
      </c>
      <c r="W38" s="817">
        <f>SUMPRODUCT((Timing!$J$5:$AG$5=W$8)*(IFS!$J181:$AG181))</f>
        <v>5000</v>
      </c>
      <c r="X38" s="818">
        <f>SUMPRODUCT((Timing!$J$5:$AG$5=X$8)*(IFS!$J181:$AG181))</f>
        <v>5000</v>
      </c>
      <c r="Y38" s="818">
        <f>SUMPRODUCT((Timing!$J$5:$AG$5=Y$8)*(IFS!$J181:$AG181))</f>
        <v>5000</v>
      </c>
      <c r="Z38" s="384">
        <f>SUMPRODUCT((Timing!$J$5:$AG$5=Z$8)*(IFS!$J181:$AG181))</f>
        <v>5000</v>
      </c>
      <c r="AA38" s="381">
        <f>SUMPRODUCT((Timing!$J$5:$AG$5=AA$8)*(IFS!$J181:$AG181))</f>
        <v>5000</v>
      </c>
    </row>
    <row r="39" spans="1:27" s="799" customFormat="1" ht="18.75" customHeight="1">
      <c r="A39" s="549"/>
      <c r="B39" s="549"/>
      <c r="C39" s="181" t="str">
        <f>IF(IFS!C182="","",IFS!C182)</f>
        <v>Debt 1: EasyCredit</v>
      </c>
      <c r="D39" s="737"/>
      <c r="E39" s="737"/>
      <c r="F39" s="737"/>
      <c r="G39" s="737"/>
      <c r="H39" s="737"/>
      <c r="I39" s="746"/>
      <c r="J39" s="556">
        <f ca="1">SUMPRODUCT((Timing!$J$5:$AG$5=J$8)*(IFS!$J182:$AG182))</f>
        <v>0</v>
      </c>
      <c r="K39" s="556">
        <f ca="1">SUMPRODUCT((Timing!$J$5:$AG$5=K$8)*(IFS!$J182:$AG182))</f>
        <v>0</v>
      </c>
      <c r="L39" s="383">
        <f ca="1">SUMPRODUCT((Timing!$J$5:$AG$5=L$8)*(IFS!$J182:$AG182))</f>
        <v>0</v>
      </c>
      <c r="M39" s="384">
        <f ca="1">SUMPRODUCT((Timing!$J$5:$AG$5=M$8)*(IFS!$J182:$AG182))</f>
        <v>0</v>
      </c>
      <c r="N39" s="556">
        <f ca="1">SUMPRODUCT((Timing!$J$5:$AG$5=N$8)*(IFS!$J182:$AG182))</f>
        <v>0</v>
      </c>
      <c r="O39" s="383">
        <f ca="1">SUMPRODUCT((Timing!$J$5:$AG$5=O$8)*(IFS!$J182:$AG182))</f>
        <v>0</v>
      </c>
      <c r="P39" s="384">
        <f ca="1">SUMPRODUCT((Timing!$J$5:$AG$5=P$8)*(IFS!$J182:$AG182))</f>
        <v>0</v>
      </c>
      <c r="Q39" s="556">
        <f ca="1">SUMPRODUCT((Timing!$J$5:$AG$5=Q$8)*(IFS!$J182:$AG182))</f>
        <v>0</v>
      </c>
      <c r="R39" s="383">
        <f ca="1">SUMPRODUCT((Timing!$J$5:$AG$5=R$8)*(IFS!$J182:$AG182))</f>
        <v>0</v>
      </c>
      <c r="S39" s="384">
        <f ca="1">SUMPRODUCT((Timing!$J$5:$AG$5=S$8)*(IFS!$J182:$AG182))</f>
        <v>0</v>
      </c>
      <c r="T39" s="556">
        <f ca="1">SUMPRODUCT((Timing!$J$5:$AG$5=T$8)*(IFS!$J182:$AG182))</f>
        <v>0</v>
      </c>
      <c r="U39" s="556">
        <f ca="1">SUMPRODUCT((Timing!$J$5:$AG$5=U$8)*(IFS!$J182:$AG182))</f>
        <v>0</v>
      </c>
      <c r="V39" s="381">
        <f ca="1">SUMPRODUCT((Timing!$J$5:$AG$5=V$8)*(IFS!$J182:$AG182))</f>
        <v>0</v>
      </c>
      <c r="W39" s="817">
        <f ca="1">SUMPRODUCT((Timing!$J$5:$AG$5=W$8)*(IFS!$J182:$AG182))</f>
        <v>0</v>
      </c>
      <c r="X39" s="818">
        <f ca="1">SUMPRODUCT((Timing!$J$5:$AG$5=X$8)*(IFS!$J182:$AG182))</f>
        <v>0</v>
      </c>
      <c r="Y39" s="818">
        <f ca="1">SUMPRODUCT((Timing!$J$5:$AG$5=Y$8)*(IFS!$J182:$AG182))</f>
        <v>0</v>
      </c>
      <c r="Z39" s="384">
        <f ca="1">SUMPRODUCT((Timing!$J$5:$AG$5=Z$8)*(IFS!$J182:$AG182))</f>
        <v>0</v>
      </c>
      <c r="AA39" s="381">
        <f ca="1">SUMPRODUCT((Timing!$J$5:$AG$5=AA$8)*(IFS!$J182:$AG182))</f>
        <v>0</v>
      </c>
    </row>
    <row r="40" spans="1:27" s="799" customFormat="1" ht="18.75" customHeight="1">
      <c r="A40" s="549"/>
      <c r="B40" s="549"/>
      <c r="C40" s="181" t="str">
        <f>IF(IFS!C183="","",IFS!C183)</f>
        <v>Debt 2: URB Bank</v>
      </c>
      <c r="D40" s="737"/>
      <c r="E40" s="737"/>
      <c r="F40" s="737"/>
      <c r="G40" s="737"/>
      <c r="H40" s="737"/>
      <c r="I40" s="746"/>
      <c r="J40" s="556">
        <f>SUMPRODUCT((Timing!$J$5:$AG$5=J$8)*(IFS!$J183:$AG183))</f>
        <v>0</v>
      </c>
      <c r="K40" s="556">
        <f>SUMPRODUCT((Timing!$J$5:$AG$5=K$8)*(IFS!$J183:$AG183))</f>
        <v>0</v>
      </c>
      <c r="L40" s="383">
        <f>SUMPRODUCT((Timing!$J$5:$AG$5=L$8)*(IFS!$J183:$AG183))</f>
        <v>0</v>
      </c>
      <c r="M40" s="384">
        <f>SUMPRODUCT((Timing!$J$5:$AG$5=M$8)*(IFS!$J183:$AG183))</f>
        <v>0</v>
      </c>
      <c r="N40" s="556">
        <f>SUMPRODUCT((Timing!$J$5:$AG$5=N$8)*(IFS!$J183:$AG183))</f>
        <v>0</v>
      </c>
      <c r="O40" s="383">
        <f>SUMPRODUCT((Timing!$J$5:$AG$5=O$8)*(IFS!$J183:$AG183))</f>
        <v>0</v>
      </c>
      <c r="P40" s="384">
        <f>SUMPRODUCT((Timing!$J$5:$AG$5=P$8)*(IFS!$J183:$AG183))</f>
        <v>0</v>
      </c>
      <c r="Q40" s="556">
        <f>SUMPRODUCT((Timing!$J$5:$AG$5=Q$8)*(IFS!$J183:$AG183))</f>
        <v>0</v>
      </c>
      <c r="R40" s="383">
        <f>SUMPRODUCT((Timing!$J$5:$AG$5=R$8)*(IFS!$J183:$AG183))</f>
        <v>0</v>
      </c>
      <c r="S40" s="384">
        <f>SUMPRODUCT((Timing!$J$5:$AG$5=S$8)*(IFS!$J183:$AG183))</f>
        <v>0</v>
      </c>
      <c r="T40" s="556">
        <f>SUMPRODUCT((Timing!$J$5:$AG$5=T$8)*(IFS!$J183:$AG183))</f>
        <v>0</v>
      </c>
      <c r="U40" s="556">
        <f>SUMPRODUCT((Timing!$J$5:$AG$5=U$8)*(IFS!$J183:$AG183))</f>
        <v>70000</v>
      </c>
      <c r="V40" s="381">
        <f>SUMPRODUCT((Timing!$J$5:$AG$5=V$8)*(IFS!$J183:$AG183))</f>
        <v>70000</v>
      </c>
      <c r="W40" s="817">
        <f>SUMPRODUCT((Timing!$J$5:$AG$5=W$8)*(IFS!$J183:$AG183))</f>
        <v>70000</v>
      </c>
      <c r="X40" s="818">
        <f>SUMPRODUCT((Timing!$J$5:$AG$5=X$8)*(IFS!$J183:$AG183))</f>
        <v>70000</v>
      </c>
      <c r="Y40" s="818">
        <f>SUMPRODUCT((Timing!$J$5:$AG$5=Y$8)*(IFS!$J183:$AG183))</f>
        <v>70000</v>
      </c>
      <c r="Z40" s="384">
        <f>SUMPRODUCT((Timing!$J$5:$AG$5=Z$8)*(IFS!$J183:$AG183))</f>
        <v>60000</v>
      </c>
      <c r="AA40" s="381">
        <f>SUMPRODUCT((Timing!$J$5:$AG$5=AA$8)*(IFS!$J183:$AG183))</f>
        <v>60000</v>
      </c>
    </row>
    <row r="41" spans="1:27" s="799" customFormat="1" ht="18.75" customHeight="1">
      <c r="A41" s="549"/>
      <c r="B41" s="549"/>
      <c r="C41" s="181" t="str">
        <f>IF(IFS!C184="","",IFS!C184)</f>
        <v>Debt 3: FounderBank</v>
      </c>
      <c r="D41" s="737"/>
      <c r="E41" s="737"/>
      <c r="F41" s="737"/>
      <c r="G41" s="737"/>
      <c r="H41" s="737"/>
      <c r="I41" s="746"/>
      <c r="J41" s="556">
        <f>SUMPRODUCT((Timing!$J$5:$AG$5=J$8)*(IFS!$J184:$AG184))</f>
        <v>0</v>
      </c>
      <c r="K41" s="556">
        <f>SUMPRODUCT((Timing!$J$5:$AG$5=K$8)*(IFS!$J184:$AG184))</f>
        <v>0</v>
      </c>
      <c r="L41" s="383">
        <f>SUMPRODUCT((Timing!$J$5:$AG$5=L$8)*(IFS!$J184:$AG184))</f>
        <v>0</v>
      </c>
      <c r="M41" s="384">
        <f>SUMPRODUCT((Timing!$J$5:$AG$5=M$8)*(IFS!$J184:$AG184))</f>
        <v>0</v>
      </c>
      <c r="N41" s="556">
        <f>SUMPRODUCT((Timing!$J$5:$AG$5=N$8)*(IFS!$J184:$AG184))</f>
        <v>0</v>
      </c>
      <c r="O41" s="383">
        <f>SUMPRODUCT((Timing!$J$5:$AG$5=O$8)*(IFS!$J184:$AG184))</f>
        <v>0</v>
      </c>
      <c r="P41" s="384">
        <f>SUMPRODUCT((Timing!$J$5:$AG$5=P$8)*(IFS!$J184:$AG184))</f>
        <v>0</v>
      </c>
      <c r="Q41" s="556">
        <f>SUMPRODUCT((Timing!$J$5:$AG$5=Q$8)*(IFS!$J184:$AG184))</f>
        <v>0</v>
      </c>
      <c r="R41" s="383">
        <f>SUMPRODUCT((Timing!$J$5:$AG$5=R$8)*(IFS!$J184:$AG184))</f>
        <v>0</v>
      </c>
      <c r="S41" s="384">
        <f>SUMPRODUCT((Timing!$J$5:$AG$5=S$8)*(IFS!$J184:$AG184))</f>
        <v>110000</v>
      </c>
      <c r="T41" s="556">
        <f>SUMPRODUCT((Timing!$J$5:$AG$5=T$8)*(IFS!$J184:$AG184))</f>
        <v>110000</v>
      </c>
      <c r="U41" s="556">
        <f>SUMPRODUCT((Timing!$J$5:$AG$5=U$8)*(IFS!$J184:$AG184))</f>
        <v>110000</v>
      </c>
      <c r="V41" s="381">
        <f>SUMPRODUCT((Timing!$J$5:$AG$5=V$8)*(IFS!$J184:$AG184))</f>
        <v>110000</v>
      </c>
      <c r="W41" s="817">
        <f>SUMPRODUCT((Timing!$J$5:$AG$5=W$8)*(IFS!$J184:$AG184))</f>
        <v>108000</v>
      </c>
      <c r="X41" s="818">
        <f>SUMPRODUCT((Timing!$J$5:$AG$5=X$8)*(IFS!$J184:$AG184))</f>
        <v>105000</v>
      </c>
      <c r="Y41" s="818">
        <f>SUMPRODUCT((Timing!$J$5:$AG$5=Y$8)*(IFS!$J184:$AG184))</f>
        <v>102000</v>
      </c>
      <c r="Z41" s="384">
        <f>SUMPRODUCT((Timing!$J$5:$AG$5=Z$8)*(IFS!$J184:$AG184))</f>
        <v>100000</v>
      </c>
      <c r="AA41" s="381">
        <f>SUMPRODUCT((Timing!$J$5:$AG$5=AA$8)*(IFS!$J184:$AG184))</f>
        <v>100000</v>
      </c>
    </row>
    <row r="42" spans="1:27" s="799" customFormat="1" ht="18.75" customHeight="1">
      <c r="A42" s="549"/>
      <c r="B42" s="549"/>
      <c r="C42" s="181" t="str">
        <f>IF(IFS!C185="","",IFS!C185)</f>
        <v>Debt 4: Shareholder Loan</v>
      </c>
      <c r="D42" s="737"/>
      <c r="E42" s="737"/>
      <c r="F42" s="737"/>
      <c r="G42" s="737"/>
      <c r="H42" s="737"/>
      <c r="I42" s="746"/>
      <c r="J42" s="556">
        <f>SUMPRODUCT((Timing!$J$5:$AG$5=J$8)*(IFS!$J185:$AG185))</f>
        <v>0</v>
      </c>
      <c r="K42" s="556">
        <f>SUMPRODUCT((Timing!$J$5:$AG$5=K$8)*(IFS!$J185:$AG185))</f>
        <v>0</v>
      </c>
      <c r="L42" s="383">
        <f>SUMPRODUCT((Timing!$J$5:$AG$5=L$8)*(IFS!$J185:$AG185))</f>
        <v>0</v>
      </c>
      <c r="M42" s="384">
        <f>SUMPRODUCT((Timing!$J$5:$AG$5=M$8)*(IFS!$J185:$AG185))</f>
        <v>0</v>
      </c>
      <c r="N42" s="556">
        <f>SUMPRODUCT((Timing!$J$5:$AG$5=N$8)*(IFS!$J185:$AG185))</f>
        <v>0</v>
      </c>
      <c r="O42" s="383">
        <f>SUMPRODUCT((Timing!$J$5:$AG$5=O$8)*(IFS!$J185:$AG185))</f>
        <v>0</v>
      </c>
      <c r="P42" s="384">
        <f>SUMPRODUCT((Timing!$J$5:$AG$5=P$8)*(IFS!$J185:$AG185))</f>
        <v>0</v>
      </c>
      <c r="Q42" s="556">
        <f>SUMPRODUCT((Timing!$J$5:$AG$5=Q$8)*(IFS!$J185:$AG185))</f>
        <v>0</v>
      </c>
      <c r="R42" s="383">
        <f>SUMPRODUCT((Timing!$J$5:$AG$5=R$8)*(IFS!$J185:$AG185))</f>
        <v>0</v>
      </c>
      <c r="S42" s="384">
        <f>SUMPRODUCT((Timing!$J$5:$AG$5=S$8)*(IFS!$J185:$AG185))</f>
        <v>0</v>
      </c>
      <c r="T42" s="556">
        <f>SUMPRODUCT((Timing!$J$5:$AG$5=T$8)*(IFS!$J185:$AG185))</f>
        <v>0</v>
      </c>
      <c r="U42" s="556">
        <f>SUMPRODUCT((Timing!$J$5:$AG$5=U$8)*(IFS!$J185:$AG185))</f>
        <v>0</v>
      </c>
      <c r="V42" s="381">
        <f>SUMPRODUCT((Timing!$J$5:$AG$5=V$8)*(IFS!$J185:$AG185))</f>
        <v>0</v>
      </c>
      <c r="W42" s="817">
        <f>SUMPRODUCT((Timing!$J$5:$AG$5=W$8)*(IFS!$J185:$AG185))</f>
        <v>0</v>
      </c>
      <c r="X42" s="818">
        <f>SUMPRODUCT((Timing!$J$5:$AG$5=X$8)*(IFS!$J185:$AG185))</f>
        <v>0</v>
      </c>
      <c r="Y42" s="818">
        <f>SUMPRODUCT((Timing!$J$5:$AG$5=Y$8)*(IFS!$J185:$AG185))</f>
        <v>50000</v>
      </c>
      <c r="Z42" s="384">
        <f>SUMPRODUCT((Timing!$J$5:$AG$5=Z$8)*(IFS!$J185:$AG185))</f>
        <v>50000</v>
      </c>
      <c r="AA42" s="381">
        <f>SUMPRODUCT((Timing!$J$5:$AG$5=AA$8)*(IFS!$J185:$AG185))</f>
        <v>50000</v>
      </c>
    </row>
    <row r="43" spans="1:27" s="799" customFormat="1" ht="18.75" customHeight="1">
      <c r="A43" s="549"/>
      <c r="B43" s="549"/>
      <c r="C43" s="385" t="str">
        <f>IF(IFS!C186="","",IFS!C186)</f>
        <v>Long-term Liabilities</v>
      </c>
      <c r="D43" s="386"/>
      <c r="E43" s="386"/>
      <c r="F43" s="386"/>
      <c r="G43" s="386"/>
      <c r="H43" s="386"/>
      <c r="I43" s="820">
        <f>SUM(I38:I42)</f>
        <v>10000</v>
      </c>
      <c r="J43" s="820">
        <f t="shared" ref="J43:AA43" ca="1" si="13">SUM(J38:J42)</f>
        <v>0</v>
      </c>
      <c r="K43" s="820">
        <f t="shared" ca="1" si="13"/>
        <v>0</v>
      </c>
      <c r="L43" s="821">
        <f t="shared" ca="1" si="13"/>
        <v>10000</v>
      </c>
      <c r="M43" s="822">
        <f t="shared" ca="1" si="13"/>
        <v>10000</v>
      </c>
      <c r="N43" s="820">
        <f t="shared" ca="1" si="13"/>
        <v>10000</v>
      </c>
      <c r="O43" s="821">
        <f t="shared" ca="1" si="13"/>
        <v>10000</v>
      </c>
      <c r="P43" s="822">
        <f t="shared" ca="1" si="13"/>
        <v>10000</v>
      </c>
      <c r="Q43" s="820">
        <f t="shared" ca="1" si="13"/>
        <v>10000</v>
      </c>
      <c r="R43" s="821">
        <f t="shared" ca="1" si="13"/>
        <v>10000</v>
      </c>
      <c r="S43" s="822">
        <f t="shared" ca="1" si="13"/>
        <v>120000</v>
      </c>
      <c r="T43" s="820">
        <f t="shared" ca="1" si="13"/>
        <v>120000</v>
      </c>
      <c r="U43" s="820">
        <f t="shared" ca="1" si="13"/>
        <v>190000</v>
      </c>
      <c r="V43" s="820">
        <f t="shared" ca="1" si="13"/>
        <v>190000</v>
      </c>
      <c r="W43" s="821">
        <f t="shared" ca="1" si="13"/>
        <v>183000</v>
      </c>
      <c r="X43" s="823">
        <f t="shared" ca="1" si="13"/>
        <v>180000</v>
      </c>
      <c r="Y43" s="823">
        <f t="shared" ca="1" si="13"/>
        <v>227000</v>
      </c>
      <c r="Z43" s="822">
        <f t="shared" ca="1" si="13"/>
        <v>215000</v>
      </c>
      <c r="AA43" s="820">
        <f t="shared" ca="1" si="13"/>
        <v>215000</v>
      </c>
    </row>
    <row r="44" spans="1:27" s="799" customFormat="1" ht="18.75" customHeight="1">
      <c r="A44" s="549"/>
      <c r="B44" s="549"/>
      <c r="C44" s="181" t="str">
        <f>IF(IFS!C187="","",IFS!C187)</f>
        <v/>
      </c>
      <c r="D44" s="737"/>
      <c r="E44" s="737"/>
      <c r="F44" s="737"/>
      <c r="G44" s="737"/>
      <c r="H44" s="737"/>
      <c r="I44" s="746"/>
      <c r="J44" s="746"/>
      <c r="K44" s="737"/>
      <c r="L44" s="388"/>
      <c r="M44" s="389"/>
      <c r="N44" s="737"/>
      <c r="O44" s="388"/>
      <c r="P44" s="389"/>
      <c r="Q44" s="737"/>
      <c r="R44" s="388"/>
      <c r="S44" s="389"/>
      <c r="T44" s="737"/>
      <c r="U44" s="737"/>
      <c r="V44" s="815"/>
      <c r="W44" s="388"/>
      <c r="X44" s="816"/>
      <c r="Y44" s="816"/>
      <c r="Z44" s="389"/>
      <c r="AA44" s="815"/>
    </row>
    <row r="45" spans="1:27" s="799" customFormat="1" ht="18.75" customHeight="1" thickBot="1">
      <c r="A45" s="549"/>
      <c r="B45" s="549"/>
      <c r="C45" s="841" t="str">
        <f>IF(IFS!C188="","",IFS!C188)</f>
        <v>NET ASSETS</v>
      </c>
      <c r="D45" s="842"/>
      <c r="E45" s="842"/>
      <c r="F45" s="842"/>
      <c r="G45" s="842"/>
      <c r="H45" s="842"/>
      <c r="I45" s="840">
        <f>I36-I43</f>
        <v>-3500</v>
      </c>
      <c r="J45" s="840">
        <f ca="1">J36-J43</f>
        <v>0</v>
      </c>
      <c r="K45" s="840">
        <f t="shared" ref="K45:AA45" ca="1" si="14">K36-K43</f>
        <v>0</v>
      </c>
      <c r="L45" s="843">
        <f t="shared" ca="1" si="14"/>
        <v>16233.014730158728</v>
      </c>
      <c r="M45" s="844">
        <f t="shared" ca="1" si="14"/>
        <v>30468.445785970296</v>
      </c>
      <c r="N45" s="840">
        <f t="shared" ca="1" si="14"/>
        <v>198930.95111349208</v>
      </c>
      <c r="O45" s="843">
        <f t="shared" ca="1" si="14"/>
        <v>193593.77374685614</v>
      </c>
      <c r="P45" s="844">
        <f t="shared" ca="1" si="14"/>
        <v>193901.63985395033</v>
      </c>
      <c r="Q45" s="840">
        <f t="shared" ca="1" si="14"/>
        <v>187884.68177272353</v>
      </c>
      <c r="R45" s="843">
        <f t="shared" ca="1" si="14"/>
        <v>192028.92949083014</v>
      </c>
      <c r="S45" s="844">
        <f t="shared" ca="1" si="14"/>
        <v>194290.28284476913</v>
      </c>
      <c r="T45" s="840">
        <f t="shared" ca="1" si="14"/>
        <v>200513.60867508361</v>
      </c>
      <c r="U45" s="840">
        <f t="shared" ca="1" si="14"/>
        <v>204883.40662468586</v>
      </c>
      <c r="V45" s="840">
        <f t="shared" ca="1" si="14"/>
        <v>204883.40662468586</v>
      </c>
      <c r="W45" s="843">
        <f t="shared" ca="1" si="14"/>
        <v>232477.91636868077</v>
      </c>
      <c r="X45" s="845">
        <f t="shared" ca="1" si="14"/>
        <v>268583.4061451258</v>
      </c>
      <c r="Y45" s="845">
        <f t="shared" ca="1" si="14"/>
        <v>331155.29035105905</v>
      </c>
      <c r="Z45" s="844">
        <f t="shared" ca="1" si="14"/>
        <v>409821.12451172294</v>
      </c>
      <c r="AA45" s="840">
        <f t="shared" ca="1" si="14"/>
        <v>409821.12451172294</v>
      </c>
    </row>
    <row r="46" spans="1:27" s="799" customFormat="1" ht="18.75" customHeight="1" thickTop="1">
      <c r="A46" s="549"/>
      <c r="B46" s="549"/>
      <c r="C46" s="181" t="str">
        <f>IF(IFS!C189="","",IFS!C189)</f>
        <v/>
      </c>
      <c r="D46" s="737"/>
      <c r="E46" s="737"/>
      <c r="F46" s="737"/>
      <c r="G46" s="737"/>
      <c r="H46" s="737"/>
      <c r="I46" s="746"/>
      <c r="J46" s="746"/>
      <c r="K46" s="737"/>
      <c r="L46" s="388"/>
      <c r="M46" s="389"/>
      <c r="N46" s="737"/>
      <c r="O46" s="388"/>
      <c r="P46" s="389"/>
      <c r="Q46" s="737"/>
      <c r="R46" s="388"/>
      <c r="S46" s="389"/>
      <c r="T46" s="737"/>
      <c r="U46" s="737"/>
      <c r="V46" s="815"/>
      <c r="W46" s="388"/>
      <c r="X46" s="816"/>
      <c r="Y46" s="816"/>
      <c r="Z46" s="389"/>
      <c r="AA46" s="815"/>
    </row>
    <row r="47" spans="1:27" s="799" customFormat="1" ht="18.75" customHeight="1">
      <c r="A47" s="549"/>
      <c r="B47" s="549"/>
      <c r="C47" s="181" t="str">
        <f>IF(IFS!C190="","",IFS!C190)</f>
        <v>Share Capital</v>
      </c>
      <c r="D47" s="737"/>
      <c r="E47" s="737"/>
      <c r="F47" s="737"/>
      <c r="G47" s="737"/>
      <c r="H47" s="737"/>
      <c r="I47" s="433">
        <f>Inputs!$F$283</f>
        <v>20000</v>
      </c>
      <c r="J47" s="556">
        <f ca="1">SUMPRODUCT((Timing!$J$5:$AG$5=J$8)*(IFS!$J190:$AG190))</f>
        <v>0</v>
      </c>
      <c r="K47" s="556">
        <f ca="1">SUMPRODUCT((Timing!$J$5:$AG$5=K$8)*(IFS!$J190:$AG190))</f>
        <v>0</v>
      </c>
      <c r="L47" s="383">
        <f ca="1">SUMPRODUCT((Timing!$J$5:$AG$5=L$8)*(IFS!$J190:$AG190))</f>
        <v>49864.397428571428</v>
      </c>
      <c r="M47" s="384">
        <f ca="1">SUMPRODUCT((Timing!$J$5:$AG$5=M$8)*(IFS!$J190:$AG190))</f>
        <v>72478.44769073221</v>
      </c>
      <c r="N47" s="556">
        <f ca="1">SUMPRODUCT((Timing!$J$5:$AG$5=N$8)*(IFS!$J190:$AG190))</f>
        <v>250000</v>
      </c>
      <c r="O47" s="383">
        <f ca="1">SUMPRODUCT((Timing!$J$5:$AG$5=O$8)*(IFS!$J190:$AG190))</f>
        <v>250000</v>
      </c>
      <c r="P47" s="384">
        <f ca="1">SUMPRODUCT((Timing!$J$5:$AG$5=P$8)*(IFS!$J190:$AG190))</f>
        <v>250000</v>
      </c>
      <c r="Q47" s="556">
        <f ca="1">SUMPRODUCT((Timing!$J$5:$AG$5=Q$8)*(IFS!$J190:$AG190))</f>
        <v>250000</v>
      </c>
      <c r="R47" s="383">
        <f ca="1">SUMPRODUCT((Timing!$J$5:$AG$5=R$8)*(IFS!$J190:$AG190))</f>
        <v>250000</v>
      </c>
      <c r="S47" s="384">
        <f ca="1">SUMPRODUCT((Timing!$J$5:$AG$5=S$8)*(IFS!$J190:$AG190))</f>
        <v>250000</v>
      </c>
      <c r="T47" s="556">
        <f ca="1">SUMPRODUCT((Timing!$J$5:$AG$5=T$8)*(IFS!$J190:$AG190))</f>
        <v>250000</v>
      </c>
      <c r="U47" s="556">
        <f ca="1">SUMPRODUCT((Timing!$J$5:$AG$5=U$8)*(IFS!$J190:$AG190))</f>
        <v>250000</v>
      </c>
      <c r="V47" s="381">
        <f ca="1">SUMPRODUCT((Timing!$J$5:$AG$5=V$8)*(IFS!$J190:$AG190))</f>
        <v>250000</v>
      </c>
      <c r="W47" s="817">
        <f ca="1">SUMPRODUCT((Timing!$J$5:$AG$5=W$8)*(IFS!$J190:$AG190))</f>
        <v>250000</v>
      </c>
      <c r="X47" s="818">
        <f ca="1">SUMPRODUCT((Timing!$J$5:$AG$5=X$8)*(IFS!$J190:$AG190))</f>
        <v>250000</v>
      </c>
      <c r="Y47" s="818">
        <f ca="1">SUMPRODUCT((Timing!$J$5:$AG$5=Y$8)*(IFS!$J190:$AG190))</f>
        <v>250000</v>
      </c>
      <c r="Z47" s="384">
        <f ca="1">SUMPRODUCT((Timing!$J$5:$AG$5=Z$8)*(IFS!$J190:$AG190))</f>
        <v>250000</v>
      </c>
      <c r="AA47" s="381">
        <f ca="1">SUMPRODUCT((Timing!$J$5:$AG$5=AA$8)*(IFS!$J190:$AG190))</f>
        <v>250000</v>
      </c>
    </row>
    <row r="48" spans="1:27" s="799" customFormat="1" ht="18.75" customHeight="1">
      <c r="A48" s="549"/>
      <c r="B48" s="549"/>
      <c r="C48" s="181" t="str">
        <f>IF(IFS!C191="","",IFS!C191)</f>
        <v>Retained Earnings / (loss carried forward)</v>
      </c>
      <c r="D48" s="737"/>
      <c r="E48" s="737"/>
      <c r="F48" s="737"/>
      <c r="G48" s="737"/>
      <c r="H48" s="737"/>
      <c r="I48" s="433">
        <f>Inputs!$F$284</f>
        <v>-23500</v>
      </c>
      <c r="J48" s="556">
        <f ca="1">SUMPRODUCT((Timing!$J$5:$AG$5=J$8)*(IFS!$J191:$AG191))</f>
        <v>0</v>
      </c>
      <c r="K48" s="556">
        <f ca="1">SUMPRODUCT((Timing!$J$5:$AG$5=K$8)*(IFS!$J191:$AG191))</f>
        <v>0</v>
      </c>
      <c r="L48" s="383">
        <f ca="1">SUMPRODUCT((Timing!$J$5:$AG$5=L$8)*(IFS!$J191:$AG191))</f>
        <v>-33631.382698412701</v>
      </c>
      <c r="M48" s="384">
        <f ca="1">SUMPRODUCT((Timing!$J$5:$AG$5=M$8)*(IFS!$J191:$AG191))</f>
        <v>-42010.001904761913</v>
      </c>
      <c r="N48" s="556">
        <f ca="1">SUMPRODUCT((Timing!$J$5:$AG$5=N$8)*(IFS!$J191:$AG191))</f>
        <v>-51069.048888888894</v>
      </c>
      <c r="O48" s="383">
        <f ca="1">SUMPRODUCT((Timing!$J$5:$AG$5=O$8)*(IFS!$J191:$AG191))</f>
        <v>-56406.226252539687</v>
      </c>
      <c r="P48" s="384">
        <f ca="1">SUMPRODUCT((Timing!$J$5:$AG$5=P$8)*(IFS!$J191:$AG191))</f>
        <v>-56098.360141989535</v>
      </c>
      <c r="Q48" s="556">
        <f ca="1">SUMPRODUCT((Timing!$J$5:$AG$5=Q$8)*(IFS!$J191:$AG191))</f>
        <v>-62115.318219903114</v>
      </c>
      <c r="R48" s="383">
        <f ca="1">SUMPRODUCT((Timing!$J$5:$AG$5=R$8)*(IFS!$J191:$AG191))</f>
        <v>-57971.070499150163</v>
      </c>
      <c r="S48" s="384">
        <f ca="1">SUMPRODUCT((Timing!$J$5:$AG$5=S$8)*(IFS!$J191:$AG191))</f>
        <v>-55709.71714932235</v>
      </c>
      <c r="T48" s="556">
        <f ca="1">SUMPRODUCT((Timing!$J$5:$AG$5=T$8)*(IFS!$J191:$AG191))</f>
        <v>-49486.391324916469</v>
      </c>
      <c r="U48" s="556">
        <f ca="1">SUMPRODUCT((Timing!$J$5:$AG$5=U$8)*(IFS!$J191:$AG191))</f>
        <v>-45116.593373115204</v>
      </c>
      <c r="V48" s="381">
        <f ca="1">SUMPRODUCT((Timing!$J$5:$AG$5=V$8)*(IFS!$J191:$AG191))</f>
        <v>-45116.593373115204</v>
      </c>
      <c r="W48" s="817">
        <f ca="1">SUMPRODUCT((Timing!$J$5:$AG$5=W$8)*(IFS!$J191:$AG191))</f>
        <v>-17522.083632955699</v>
      </c>
      <c r="X48" s="818">
        <f ca="1">SUMPRODUCT((Timing!$J$5:$AG$5=X$8)*(IFS!$J191:$AG191))</f>
        <v>18583.406145735342</v>
      </c>
      <c r="Y48" s="818">
        <f ca="1">SUMPRODUCT((Timing!$J$5:$AG$5=Y$8)*(IFS!$J191:$AG191))</f>
        <v>81155.29034969183</v>
      </c>
      <c r="Z48" s="384">
        <f ca="1">SUMPRODUCT((Timing!$J$5:$AG$5=Z$8)*(IFS!$J191:$AG191))</f>
        <v>159821.12450824879</v>
      </c>
      <c r="AA48" s="381">
        <f ca="1">SUMPRODUCT((Timing!$J$5:$AG$5=AA$8)*(IFS!$J191:$AG191))</f>
        <v>159821.12450824879</v>
      </c>
    </row>
    <row r="49" spans="1:27" s="799" customFormat="1" ht="18.75" customHeight="1" thickBot="1">
      <c r="A49" s="549"/>
      <c r="B49" s="549"/>
      <c r="C49" s="841" t="str">
        <f>IF(IFS!C192="","",IFS!C192)</f>
        <v>Shareholders Equity</v>
      </c>
      <c r="D49" s="842"/>
      <c r="E49" s="842"/>
      <c r="F49" s="842"/>
      <c r="G49" s="842"/>
      <c r="H49" s="842"/>
      <c r="I49" s="840">
        <f t="shared" ref="I49:AA49" si="15">SUM(I47:I48)</f>
        <v>-3500</v>
      </c>
      <c r="J49" s="840">
        <f t="shared" ca="1" si="15"/>
        <v>0</v>
      </c>
      <c r="K49" s="840">
        <f t="shared" ca="1" si="15"/>
        <v>0</v>
      </c>
      <c r="L49" s="843">
        <f t="shared" ca="1" si="15"/>
        <v>16233.014730158728</v>
      </c>
      <c r="M49" s="844">
        <f t="shared" ca="1" si="15"/>
        <v>30468.445785970296</v>
      </c>
      <c r="N49" s="840">
        <f t="shared" ca="1" si="15"/>
        <v>198930.95111111109</v>
      </c>
      <c r="O49" s="843">
        <f t="shared" ca="1" si="15"/>
        <v>193593.77374746031</v>
      </c>
      <c r="P49" s="844">
        <f t="shared" ca="1" si="15"/>
        <v>193901.63985801046</v>
      </c>
      <c r="Q49" s="840">
        <f t="shared" ca="1" si="15"/>
        <v>187884.6817800969</v>
      </c>
      <c r="R49" s="843">
        <f t="shared" ca="1" si="15"/>
        <v>192028.92950084983</v>
      </c>
      <c r="S49" s="844">
        <f t="shared" ca="1" si="15"/>
        <v>194290.28285067764</v>
      </c>
      <c r="T49" s="840">
        <f t="shared" ca="1" si="15"/>
        <v>200513.60867508352</v>
      </c>
      <c r="U49" s="840">
        <f t="shared" ca="1" si="15"/>
        <v>204883.4066268848</v>
      </c>
      <c r="V49" s="840">
        <f t="shared" ca="1" si="15"/>
        <v>204883.4066268848</v>
      </c>
      <c r="W49" s="843">
        <f t="shared" ca="1" si="15"/>
        <v>232477.91636704429</v>
      </c>
      <c r="X49" s="845">
        <f t="shared" ca="1" si="15"/>
        <v>268583.40614573535</v>
      </c>
      <c r="Y49" s="845">
        <f t="shared" ca="1" si="15"/>
        <v>331155.29034969182</v>
      </c>
      <c r="Z49" s="844">
        <f t="shared" ca="1" si="15"/>
        <v>409821.12450824876</v>
      </c>
      <c r="AA49" s="840">
        <f t="shared" ca="1" si="15"/>
        <v>409821.12450824876</v>
      </c>
    </row>
    <row r="50" spans="1:27" s="799" customFormat="1" ht="18.75" customHeight="1" thickTop="1">
      <c r="A50" s="549"/>
      <c r="B50" s="549"/>
      <c r="C50" s="737"/>
      <c r="D50" s="737"/>
      <c r="E50" s="737"/>
      <c r="F50" s="737"/>
      <c r="G50" s="737"/>
      <c r="H50" s="737"/>
      <c r="I50" s="737"/>
      <c r="J50" s="737"/>
      <c r="K50" s="737"/>
      <c r="L50" s="737"/>
      <c r="M50" s="737"/>
      <c r="N50" s="737"/>
      <c r="O50" s="737"/>
      <c r="P50" s="737"/>
      <c r="Q50" s="737"/>
      <c r="R50" s="737"/>
      <c r="S50" s="737"/>
      <c r="T50" s="737"/>
      <c r="U50" s="737"/>
      <c r="V50" s="737"/>
      <c r="W50" s="737"/>
      <c r="X50" s="737"/>
      <c r="Y50" s="737"/>
      <c r="Z50" s="737"/>
      <c r="AA50" s="737"/>
    </row>
    <row r="51" spans="1:27" ht="18.75" customHeight="1">
      <c r="A51" s="549"/>
      <c r="B51" s="549"/>
      <c r="C51" s="181" t="str">
        <f>IF(IFS!C194="","",IFS!C194)</f>
        <v xml:space="preserve">   Check 1</v>
      </c>
      <c r="D51" s="737"/>
      <c r="E51" s="737"/>
      <c r="F51" s="737"/>
      <c r="G51" s="737"/>
      <c r="H51" s="737"/>
      <c r="I51" s="805">
        <f ca="1">SUM(J51:AA51)</f>
        <v>0</v>
      </c>
      <c r="J51" s="746">
        <f t="shared" ref="J51:AA51" ca="1" si="16">ROUND(J45-J49,1)</f>
        <v>0</v>
      </c>
      <c r="K51" s="746">
        <f t="shared" ca="1" si="16"/>
        <v>0</v>
      </c>
      <c r="L51" s="746">
        <f t="shared" ca="1" si="16"/>
        <v>0</v>
      </c>
      <c r="M51" s="746">
        <f t="shared" ca="1" si="16"/>
        <v>0</v>
      </c>
      <c r="N51" s="746">
        <f t="shared" ca="1" si="16"/>
        <v>0</v>
      </c>
      <c r="O51" s="746">
        <f t="shared" ca="1" si="16"/>
        <v>0</v>
      </c>
      <c r="P51" s="746">
        <f t="shared" ca="1" si="16"/>
        <v>0</v>
      </c>
      <c r="Q51" s="746">
        <f t="shared" ca="1" si="16"/>
        <v>0</v>
      </c>
      <c r="R51" s="746">
        <f t="shared" ca="1" si="16"/>
        <v>0</v>
      </c>
      <c r="S51" s="746">
        <f t="shared" ca="1" si="16"/>
        <v>0</v>
      </c>
      <c r="T51" s="746">
        <f t="shared" ca="1" si="16"/>
        <v>0</v>
      </c>
      <c r="U51" s="746">
        <f t="shared" ca="1" si="16"/>
        <v>0</v>
      </c>
      <c r="V51" s="746">
        <f t="shared" ca="1" si="16"/>
        <v>0</v>
      </c>
      <c r="W51" s="746">
        <f t="shared" ca="1" si="16"/>
        <v>0</v>
      </c>
      <c r="X51" s="746">
        <f t="shared" ca="1" si="16"/>
        <v>0</v>
      </c>
      <c r="Y51" s="746">
        <f t="shared" ca="1" si="16"/>
        <v>0</v>
      </c>
      <c r="Z51" s="746">
        <f t="shared" ca="1" si="16"/>
        <v>0</v>
      </c>
      <c r="AA51" s="746">
        <f t="shared" ca="1" si="16"/>
        <v>0</v>
      </c>
    </row>
    <row r="52" spans="1:27" ht="18.75" customHeight="1">
      <c r="A52" s="549"/>
      <c r="B52" s="549"/>
      <c r="C52" s="181" t="str">
        <f>IF(IFS!C195="","",IFS!C195)</f>
        <v xml:space="preserve">   Check 2</v>
      </c>
      <c r="D52" s="737"/>
      <c r="E52" s="737"/>
      <c r="F52" s="737"/>
      <c r="G52" s="737"/>
      <c r="H52" s="737"/>
      <c r="I52" s="805">
        <f ca="1">SUM(J52:AA52)</f>
        <v>0</v>
      </c>
      <c r="J52" s="819"/>
      <c r="K52" s="746">
        <f t="shared" ref="K52:AA52" ca="1" si="17">K51-J51</f>
        <v>0</v>
      </c>
      <c r="L52" s="746">
        <f t="shared" ca="1" si="17"/>
        <v>0</v>
      </c>
      <c r="M52" s="746">
        <f t="shared" ca="1" si="17"/>
        <v>0</v>
      </c>
      <c r="N52" s="746">
        <f t="shared" ca="1" si="17"/>
        <v>0</v>
      </c>
      <c r="O52" s="746">
        <f t="shared" ca="1" si="17"/>
        <v>0</v>
      </c>
      <c r="P52" s="746">
        <f t="shared" ca="1" si="17"/>
        <v>0</v>
      </c>
      <c r="Q52" s="746">
        <f t="shared" ca="1" si="17"/>
        <v>0</v>
      </c>
      <c r="R52" s="746">
        <f t="shared" ca="1" si="17"/>
        <v>0</v>
      </c>
      <c r="S52" s="746">
        <f t="shared" ca="1" si="17"/>
        <v>0</v>
      </c>
      <c r="T52" s="746">
        <f t="shared" ca="1" si="17"/>
        <v>0</v>
      </c>
      <c r="U52" s="746">
        <f t="shared" ca="1" si="17"/>
        <v>0</v>
      </c>
      <c r="V52" s="746">
        <f t="shared" ca="1" si="17"/>
        <v>0</v>
      </c>
      <c r="W52" s="746">
        <f t="shared" ca="1" si="17"/>
        <v>0</v>
      </c>
      <c r="X52" s="746">
        <f t="shared" ca="1" si="17"/>
        <v>0</v>
      </c>
      <c r="Y52" s="746">
        <f t="shared" ca="1" si="17"/>
        <v>0</v>
      </c>
      <c r="Z52" s="746">
        <f t="shared" ca="1" si="17"/>
        <v>0</v>
      </c>
      <c r="AA52" s="746">
        <f t="shared" ca="1" si="17"/>
        <v>0</v>
      </c>
    </row>
    <row r="53" spans="1:27" ht="18.75" customHeight="1">
      <c r="A53" s="549"/>
      <c r="B53" s="549"/>
      <c r="C53" s="251" t="str">
        <f>"   Check 3 (aggregation)"</f>
        <v xml:space="preserve">   Check 3 (aggregation)</v>
      </c>
      <c r="D53" s="737"/>
      <c r="E53" s="737"/>
      <c r="F53" s="737"/>
      <c r="G53" s="737"/>
      <c r="H53" s="737"/>
      <c r="I53" s="805">
        <f ca="1">ROUND(LOOKUP(Enddatum,IFS!$J$5:$AG$5,IFS!J188:AG188)-LOOKUP(Enddatum,$J$8:$AA$8,$J$45:$AA$45),1)</f>
        <v>0</v>
      </c>
      <c r="J53" s="746"/>
      <c r="K53" s="737"/>
      <c r="L53" s="737"/>
      <c r="M53" s="737"/>
      <c r="N53" s="737"/>
      <c r="O53" s="737"/>
      <c r="P53" s="737"/>
      <c r="Q53" s="737"/>
      <c r="R53" s="737"/>
      <c r="S53" s="737"/>
      <c r="T53" s="737"/>
      <c r="U53" s="737"/>
      <c r="V53" s="737"/>
      <c r="W53" s="737"/>
      <c r="X53" s="737"/>
      <c r="Y53" s="737"/>
      <c r="Z53" s="737"/>
      <c r="AA53" s="737"/>
    </row>
    <row r="54" spans="1:27">
      <c r="A54" s="549"/>
      <c r="B54" s="549"/>
      <c r="C54" s="737"/>
      <c r="D54" s="737"/>
      <c r="E54" s="737"/>
      <c r="F54" s="737"/>
      <c r="G54" s="737"/>
      <c r="H54" s="737"/>
      <c r="I54" s="737"/>
      <c r="J54" s="737"/>
      <c r="K54" s="737"/>
      <c r="L54" s="737"/>
      <c r="M54" s="737"/>
      <c r="N54" s="737"/>
      <c r="O54" s="737"/>
      <c r="P54" s="737"/>
      <c r="Q54" s="737"/>
      <c r="R54" s="737"/>
      <c r="S54" s="737"/>
      <c r="T54" s="737"/>
      <c r="U54" s="737"/>
      <c r="V54" s="737"/>
      <c r="W54" s="737"/>
      <c r="X54" s="737"/>
      <c r="Y54" s="737"/>
      <c r="Z54" s="737"/>
      <c r="AA54" s="737"/>
    </row>
    <row r="55" spans="1:27">
      <c r="A55" s="549"/>
      <c r="B55" s="549"/>
      <c r="C55" s="737"/>
      <c r="D55" s="737"/>
      <c r="E55" s="737"/>
      <c r="F55" s="737"/>
      <c r="G55" s="737"/>
      <c r="H55" s="737"/>
      <c r="I55" s="737"/>
      <c r="J55" s="737"/>
      <c r="K55" s="737"/>
      <c r="L55" s="737"/>
      <c r="M55" s="737"/>
      <c r="N55" s="737"/>
      <c r="O55" s="737"/>
      <c r="P55" s="737"/>
      <c r="Q55" s="737"/>
      <c r="R55" s="737"/>
      <c r="S55" s="737"/>
      <c r="T55" s="737"/>
      <c r="U55" s="737"/>
      <c r="V55" s="737"/>
      <c r="W55" s="737"/>
      <c r="X55" s="737"/>
      <c r="Y55" s="737"/>
      <c r="Z55" s="737"/>
      <c r="AA55" s="737"/>
    </row>
    <row r="56" spans="1:27">
      <c r="A56" s="549"/>
      <c r="B56" s="549"/>
      <c r="C56" s="737"/>
      <c r="D56" s="737"/>
      <c r="E56" s="737"/>
      <c r="F56" s="737"/>
      <c r="G56" s="737"/>
      <c r="H56" s="737"/>
      <c r="I56" s="737"/>
      <c r="J56" s="737"/>
      <c r="K56" s="737"/>
      <c r="L56" s="737"/>
      <c r="M56" s="737"/>
      <c r="N56" s="737"/>
      <c r="O56" s="737"/>
      <c r="P56" s="737"/>
      <c r="Q56" s="737"/>
      <c r="R56" s="737"/>
      <c r="S56" s="737"/>
      <c r="T56" s="737"/>
      <c r="U56" s="737"/>
      <c r="V56" s="737"/>
      <c r="W56" s="737"/>
      <c r="X56" s="737"/>
      <c r="Y56" s="737"/>
      <c r="Z56" s="737"/>
      <c r="AA56" s="737"/>
    </row>
    <row r="57" spans="1:27">
      <c r="A57" s="549"/>
      <c r="B57" s="549"/>
      <c r="C57" s="737"/>
      <c r="D57" s="737"/>
      <c r="E57" s="737"/>
      <c r="F57" s="737"/>
      <c r="G57" s="737"/>
      <c r="H57" s="737"/>
      <c r="I57" s="737"/>
      <c r="J57" s="737"/>
      <c r="K57" s="737"/>
      <c r="L57" s="737"/>
      <c r="M57" s="737"/>
      <c r="N57" s="737"/>
      <c r="O57" s="737"/>
      <c r="P57" s="737"/>
      <c r="Q57" s="737"/>
      <c r="R57" s="737"/>
      <c r="S57" s="737"/>
      <c r="T57" s="737"/>
      <c r="U57" s="737"/>
      <c r="V57" s="737"/>
      <c r="W57" s="737"/>
      <c r="X57" s="737"/>
      <c r="Y57" s="737"/>
      <c r="Z57" s="737"/>
      <c r="AA57" s="737"/>
    </row>
    <row r="58" spans="1:27">
      <c r="A58" s="549"/>
      <c r="B58" s="737"/>
      <c r="C58" s="737"/>
      <c r="D58" s="737"/>
      <c r="E58" s="737"/>
      <c r="F58" s="737"/>
      <c r="G58" s="737"/>
      <c r="H58" s="737"/>
      <c r="I58" s="737"/>
      <c r="J58" s="737"/>
      <c r="K58" s="737"/>
      <c r="L58" s="737"/>
      <c r="M58" s="737"/>
      <c r="N58" s="737"/>
      <c r="O58" s="737"/>
      <c r="P58" s="737"/>
      <c r="Q58" s="737"/>
      <c r="R58" s="737"/>
      <c r="S58" s="737"/>
      <c r="T58" s="737"/>
      <c r="U58" s="737"/>
      <c r="V58" s="737"/>
      <c r="W58" s="737"/>
      <c r="X58" s="737"/>
      <c r="Y58" s="737"/>
      <c r="Z58" s="737"/>
      <c r="AA58" s="737"/>
    </row>
    <row r="59" spans="1:27">
      <c r="A59" s="737"/>
      <c r="B59" s="737"/>
      <c r="C59" s="737"/>
      <c r="D59" s="737"/>
      <c r="E59" s="737"/>
      <c r="F59" s="737"/>
      <c r="G59" s="737"/>
      <c r="H59" s="737"/>
      <c r="I59" s="737"/>
      <c r="J59" s="737"/>
      <c r="K59" s="737"/>
      <c r="L59" s="737"/>
      <c r="M59" s="737"/>
      <c r="N59" s="737"/>
      <c r="O59" s="737"/>
      <c r="P59" s="737"/>
      <c r="Q59" s="737"/>
      <c r="R59" s="737"/>
      <c r="S59" s="737"/>
      <c r="T59" s="737"/>
      <c r="U59" s="737"/>
      <c r="V59" s="737"/>
      <c r="W59" s="737"/>
      <c r="X59" s="737"/>
      <c r="Y59" s="737"/>
      <c r="Z59" s="737"/>
      <c r="AA59" s="737"/>
    </row>
  </sheetData>
  <sheetProtection password="F66A" sheet="1"/>
  <mergeCells count="2">
    <mergeCell ref="J5:U5"/>
    <mergeCell ref="W5:Z5"/>
  </mergeCells>
  <conditionalFormatting sqref="I52">
    <cfRule type="cellIs" dxfId="400" priority="3" operator="notEqual">
      <formula>0</formula>
    </cfRule>
  </conditionalFormatting>
  <conditionalFormatting sqref="D3">
    <cfRule type="cellIs" dxfId="399" priority="2" operator="notEqual">
      <formula>0</formula>
    </cfRule>
  </conditionalFormatting>
  <conditionalFormatting sqref="I51">
    <cfRule type="cellIs" dxfId="398" priority="4" operator="notEqual">
      <formula>0</formula>
    </cfRule>
  </conditionalFormatting>
  <conditionalFormatting sqref="I53">
    <cfRule type="cellIs" dxfId="397" priority="1" operator="notEqual">
      <formula>0</formula>
    </cfRule>
  </conditionalFormatting>
  <hyperlinks>
    <hyperlink ref="E3" location="Fehlerkontrolle" display="Go to error checks"/>
    <hyperlink ref="E2" location="Index!A1" display="Go to table of contents"/>
  </hyperlinks>
  <pageMargins left="0.39370078740157483" right="0.39370078740157483" top="0.39370078740157483" bottom="0.59055118110236227" header="0.31496062992125984" footer="0.31496062992125984"/>
  <pageSetup paperSize="9" scale="55" fitToWidth="2" orientation="landscape" r:id="rId1"/>
  <headerFooter>
    <oddFooter>&amp;Lwww.excel-financial-model.com&amp;C&amp;A&amp;R&amp;P / &amp;N</oddFooter>
  </headerFooter>
  <colBreaks count="1" manualBreakCount="1">
    <brk id="22" min="4" max="47"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lesSumm">
    <tabColor rgb="FFFF0000"/>
  </sheetPr>
  <dimension ref="A1:BU108"/>
  <sheetViews>
    <sheetView showGridLines="0" zoomScale="85" zoomScaleNormal="85" zoomScaleSheetLayoutView="55" workbookViewId="0">
      <pane xSplit="9" ySplit="6" topLeftCell="J7" activePane="bottomRight" state="frozenSplit"/>
      <selection pane="topRight" activeCell="J1" sqref="J1"/>
      <selection pane="bottomLeft" activeCell="A7" sqref="A7"/>
      <selection pane="bottomRight" activeCell="J7" sqref="J7"/>
    </sheetView>
  </sheetViews>
  <sheetFormatPr baseColWidth="10" defaultColWidth="0" defaultRowHeight="12.75" outlineLevelRow="3"/>
  <cols>
    <col min="1" max="1" width="2.5703125" customWidth="1"/>
    <col min="2" max="2" width="4.5703125" customWidth="1"/>
    <col min="3" max="3" width="63.140625" customWidth="1"/>
    <col min="4" max="4" width="12.7109375" customWidth="1"/>
    <col min="5" max="5" width="11.42578125" customWidth="1"/>
    <col min="6" max="6" width="10.42578125" customWidth="1"/>
    <col min="7" max="7" width="12.140625" customWidth="1"/>
    <col min="8" max="8" width="9.42578125" customWidth="1"/>
    <col min="9" max="9" width="12.5703125" customWidth="1"/>
    <col min="10" max="33" width="11.42578125" customWidth="1"/>
    <col min="34" max="73" width="0" hidden="1" customWidth="1"/>
    <col min="74" max="16384" width="11.42578125" hidden="1"/>
  </cols>
  <sheetData>
    <row r="1" spans="1:33" ht="20.25">
      <c r="A1" s="41" t="s">
        <v>901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5">
      <c r="A2" s="127"/>
      <c r="B2" s="127"/>
      <c r="C2" s="268" t="str">
        <f>Timing!C2</f>
        <v>Model: Fictitious 5 Year Forecast</v>
      </c>
      <c r="D2" s="268"/>
      <c r="E2" s="429" t="s">
        <v>148</v>
      </c>
      <c r="F2" s="127"/>
      <c r="G2" s="127"/>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row>
    <row r="3" spans="1:33" ht="20.25">
      <c r="A3" s="127"/>
      <c r="B3" s="127"/>
      <c r="C3" s="268" t="str">
        <f>Timing!C3</f>
        <v>Model Integrity:</v>
      </c>
      <c r="D3" s="668">
        <f ca="1">Timing!D3</f>
        <v>0</v>
      </c>
      <c r="E3" s="429" t="s">
        <v>149</v>
      </c>
      <c r="F3" s="127"/>
      <c r="G3" s="280"/>
      <c r="H3" s="280"/>
      <c r="I3" s="277"/>
      <c r="J3" s="281"/>
      <c r="K3" s="861"/>
      <c r="L3" s="281"/>
      <c r="M3" s="861"/>
      <c r="N3" s="281"/>
      <c r="O3" s="861"/>
      <c r="P3" s="281"/>
      <c r="Q3" s="861"/>
      <c r="R3" s="281"/>
      <c r="S3" s="861"/>
      <c r="T3" s="281"/>
      <c r="U3" s="861"/>
      <c r="V3" s="281"/>
      <c r="W3" s="861"/>
      <c r="X3" s="281"/>
      <c r="Y3" s="861"/>
      <c r="Z3" s="281"/>
      <c r="AA3" s="861"/>
      <c r="AB3" s="281"/>
      <c r="AC3" s="861"/>
      <c r="AD3" s="281"/>
      <c r="AE3" s="861"/>
      <c r="AF3" s="281"/>
      <c r="AG3" s="861"/>
    </row>
    <row r="4" spans="1:33" s="878" customFormat="1" ht="17.25" customHeight="1">
      <c r="A4" s="275"/>
      <c r="B4" s="275"/>
      <c r="C4" s="664" t="s">
        <v>152</v>
      </c>
      <c r="D4" s="278"/>
      <c r="E4" s="278"/>
      <c r="F4" s="278"/>
      <c r="G4" s="279"/>
      <c r="H4" s="277"/>
      <c r="I4" s="665"/>
      <c r="J4" s="638">
        <v>43132</v>
      </c>
      <c r="K4" s="638">
        <v>43160</v>
      </c>
      <c r="L4" s="638">
        <v>43191</v>
      </c>
      <c r="M4" s="638">
        <v>43221</v>
      </c>
      <c r="N4" s="638">
        <v>43252</v>
      </c>
      <c r="O4" s="638">
        <v>43282</v>
      </c>
      <c r="P4" s="638">
        <v>43313</v>
      </c>
      <c r="Q4" s="638">
        <v>43344</v>
      </c>
      <c r="R4" s="638">
        <v>43374</v>
      </c>
      <c r="S4" s="638">
        <v>43405</v>
      </c>
      <c r="T4" s="638">
        <v>43435</v>
      </c>
      <c r="U4" s="638">
        <v>43466</v>
      </c>
      <c r="V4" s="638">
        <v>43497</v>
      </c>
      <c r="W4" s="638">
        <v>43525</v>
      </c>
      <c r="X4" s="638">
        <v>43556</v>
      </c>
      <c r="Y4" s="638">
        <v>43586</v>
      </c>
      <c r="Z4" s="638">
        <v>43617</v>
      </c>
      <c r="AA4" s="638">
        <v>43647</v>
      </c>
      <c r="AB4" s="638">
        <v>43678</v>
      </c>
      <c r="AC4" s="638">
        <v>43709</v>
      </c>
      <c r="AD4" s="638">
        <v>43739</v>
      </c>
      <c r="AE4" s="638">
        <v>43770</v>
      </c>
      <c r="AF4" s="638">
        <v>43800</v>
      </c>
      <c r="AG4" s="638">
        <v>43831</v>
      </c>
    </row>
    <row r="5" spans="1:33" s="878" customFormat="1" ht="17.25" customHeight="1">
      <c r="A5" s="127"/>
      <c r="B5" s="127"/>
      <c r="C5" s="664" t="s">
        <v>153</v>
      </c>
      <c r="D5" s="65" t="s">
        <v>25</v>
      </c>
      <c r="E5" s="11" t="s">
        <v>155</v>
      </c>
      <c r="F5" s="278"/>
      <c r="G5" s="279"/>
      <c r="H5" s="277"/>
      <c r="I5" s="644">
        <v>43131</v>
      </c>
      <c r="J5" s="639">
        <v>43159</v>
      </c>
      <c r="K5" s="639">
        <v>43190</v>
      </c>
      <c r="L5" s="639">
        <v>43220</v>
      </c>
      <c r="M5" s="639">
        <v>43251</v>
      </c>
      <c r="N5" s="639">
        <v>43281</v>
      </c>
      <c r="O5" s="639">
        <v>43312</v>
      </c>
      <c r="P5" s="639">
        <v>43343</v>
      </c>
      <c r="Q5" s="639">
        <v>43373</v>
      </c>
      <c r="R5" s="639">
        <v>43404</v>
      </c>
      <c r="S5" s="639">
        <v>43434</v>
      </c>
      <c r="T5" s="639">
        <v>43465</v>
      </c>
      <c r="U5" s="639">
        <v>43496</v>
      </c>
      <c r="V5" s="639">
        <v>43524</v>
      </c>
      <c r="W5" s="639">
        <v>43555</v>
      </c>
      <c r="X5" s="639">
        <v>43585</v>
      </c>
      <c r="Y5" s="639">
        <v>43616</v>
      </c>
      <c r="Z5" s="639">
        <v>43646</v>
      </c>
      <c r="AA5" s="639">
        <v>43677</v>
      </c>
      <c r="AB5" s="639">
        <v>43708</v>
      </c>
      <c r="AC5" s="639">
        <v>43738</v>
      </c>
      <c r="AD5" s="639">
        <v>43769</v>
      </c>
      <c r="AE5" s="639">
        <v>43799</v>
      </c>
      <c r="AF5" s="639">
        <v>43830</v>
      </c>
      <c r="AG5" s="639">
        <v>43861</v>
      </c>
    </row>
    <row r="6" spans="1:33" s="878" customFormat="1" ht="17.25" customHeight="1">
      <c r="A6" s="276"/>
      <c r="B6" s="276"/>
      <c r="C6" s="277" t="s">
        <v>154</v>
      </c>
      <c r="D6" s="637">
        <v>43132</v>
      </c>
      <c r="E6" s="637">
        <v>43799</v>
      </c>
      <c r="F6" s="277"/>
      <c r="G6" s="666"/>
      <c r="H6" s="667"/>
      <c r="I6" s="1104">
        <v>22</v>
      </c>
      <c r="J6" s="643">
        <v>1</v>
      </c>
      <c r="K6" s="643">
        <v>1</v>
      </c>
      <c r="L6" s="643">
        <v>1</v>
      </c>
      <c r="M6" s="643">
        <v>1</v>
      </c>
      <c r="N6" s="643">
        <v>1</v>
      </c>
      <c r="O6" s="643">
        <v>1</v>
      </c>
      <c r="P6" s="643">
        <v>1</v>
      </c>
      <c r="Q6" s="643">
        <v>1</v>
      </c>
      <c r="R6" s="643">
        <v>1</v>
      </c>
      <c r="S6" s="643">
        <v>1</v>
      </c>
      <c r="T6" s="643">
        <v>1</v>
      </c>
      <c r="U6" s="643">
        <v>1</v>
      </c>
      <c r="V6" s="643">
        <v>1</v>
      </c>
      <c r="W6" s="643">
        <v>1</v>
      </c>
      <c r="X6" s="643">
        <v>1</v>
      </c>
      <c r="Y6" s="643">
        <v>1</v>
      </c>
      <c r="Z6" s="643">
        <v>1</v>
      </c>
      <c r="AA6" s="643">
        <v>1</v>
      </c>
      <c r="AB6" s="643">
        <v>1</v>
      </c>
      <c r="AC6" s="643">
        <v>1</v>
      </c>
      <c r="AD6" s="643">
        <v>1</v>
      </c>
      <c r="AE6" s="643">
        <v>1</v>
      </c>
      <c r="AF6" s="643">
        <v>0</v>
      </c>
      <c r="AG6" s="643">
        <v>0</v>
      </c>
    </row>
    <row r="7" spans="1:33" s="878" customFormat="1" ht="17.25" customHeight="1">
      <c r="A7" s="861"/>
      <c r="B7" s="861"/>
      <c r="C7" s="861" t="str">
        <f>Timing!C17</f>
        <v>Month of model</v>
      </c>
      <c r="D7" s="270" t="str">
        <f>Timing!D17</f>
        <v>#</v>
      </c>
      <c r="E7" s="861"/>
      <c r="F7" s="861"/>
      <c r="G7" s="861"/>
      <c r="H7" s="861"/>
      <c r="I7" s="861"/>
      <c r="J7" s="861">
        <f>Timing!J17</f>
        <v>1</v>
      </c>
      <c r="K7" s="861">
        <f>Timing!K17</f>
        <v>2</v>
      </c>
      <c r="L7" s="861">
        <f>Timing!L17</f>
        <v>3</v>
      </c>
      <c r="M7" s="861">
        <f>Timing!M17</f>
        <v>4</v>
      </c>
      <c r="N7" s="861">
        <f>Timing!N17</f>
        <v>5</v>
      </c>
      <c r="O7" s="861">
        <f>Timing!O17</f>
        <v>6</v>
      </c>
      <c r="P7" s="861">
        <f>Timing!P17</f>
        <v>7</v>
      </c>
      <c r="Q7" s="861">
        <f>Timing!Q17</f>
        <v>8</v>
      </c>
      <c r="R7" s="861">
        <f>Timing!R17</f>
        <v>9</v>
      </c>
      <c r="S7" s="861">
        <f>Timing!S17</f>
        <v>10</v>
      </c>
      <c r="T7" s="861">
        <f>Timing!T17</f>
        <v>11</v>
      </c>
      <c r="U7" s="861">
        <f>Timing!U17</f>
        <v>12</v>
      </c>
      <c r="V7" s="861">
        <f>Timing!V17</f>
        <v>13</v>
      </c>
      <c r="W7" s="861">
        <f>Timing!W17</f>
        <v>14</v>
      </c>
      <c r="X7" s="861">
        <f>Timing!X17</f>
        <v>15</v>
      </c>
      <c r="Y7" s="861">
        <f>Timing!Y17</f>
        <v>16</v>
      </c>
      <c r="Z7" s="861">
        <f>Timing!Z17</f>
        <v>17</v>
      </c>
      <c r="AA7" s="861">
        <f>Timing!AA17</f>
        <v>18</v>
      </c>
      <c r="AB7" s="861">
        <f>Timing!AB17</f>
        <v>19</v>
      </c>
      <c r="AC7" s="861">
        <f>Timing!AC17</f>
        <v>20</v>
      </c>
      <c r="AD7" s="861">
        <f>Timing!AD17</f>
        <v>21</v>
      </c>
      <c r="AE7" s="861">
        <f>Timing!AE17</f>
        <v>22</v>
      </c>
      <c r="AF7" s="861">
        <f>Timing!AF17</f>
        <v>23</v>
      </c>
      <c r="AG7" s="861">
        <f>Timing!AG17</f>
        <v>24</v>
      </c>
    </row>
    <row r="8" spans="1:33" ht="17.25" customHeight="1">
      <c r="A8" s="861"/>
      <c r="B8" s="861"/>
      <c r="C8" s="861" t="str">
        <f>Timing!C11</f>
        <v>Calendar Year (Counter)</v>
      </c>
      <c r="D8" s="270" t="str">
        <f>Timing!D11</f>
        <v>#</v>
      </c>
      <c r="E8" s="861"/>
      <c r="F8" s="861"/>
      <c r="G8" s="861"/>
      <c r="H8" s="861"/>
      <c r="I8" s="861"/>
      <c r="J8" s="861">
        <f>Timing!J11</f>
        <v>1</v>
      </c>
      <c r="K8" s="861">
        <f>Timing!K11</f>
        <v>1</v>
      </c>
      <c r="L8" s="861">
        <f>Timing!L11</f>
        <v>1</v>
      </c>
      <c r="M8" s="861">
        <f>Timing!M11</f>
        <v>1</v>
      </c>
      <c r="N8" s="861">
        <f>Timing!N11</f>
        <v>1</v>
      </c>
      <c r="O8" s="861">
        <f>Timing!O11</f>
        <v>1</v>
      </c>
      <c r="P8" s="861">
        <f>Timing!P11</f>
        <v>1</v>
      </c>
      <c r="Q8" s="861">
        <f>Timing!Q11</f>
        <v>1</v>
      </c>
      <c r="R8" s="861">
        <f>Timing!R11</f>
        <v>1</v>
      </c>
      <c r="S8" s="861">
        <f>Timing!S11</f>
        <v>1</v>
      </c>
      <c r="T8" s="861">
        <f>Timing!T11</f>
        <v>1</v>
      </c>
      <c r="U8" s="861">
        <f>Timing!U11</f>
        <v>2</v>
      </c>
      <c r="V8" s="861">
        <f>Timing!V11</f>
        <v>2</v>
      </c>
      <c r="W8" s="861">
        <f>Timing!W11</f>
        <v>2</v>
      </c>
      <c r="X8" s="861">
        <f>Timing!X11</f>
        <v>2</v>
      </c>
      <c r="Y8" s="861">
        <f>Timing!Y11</f>
        <v>2</v>
      </c>
      <c r="Z8" s="861">
        <f>Timing!Z11</f>
        <v>2</v>
      </c>
      <c r="AA8" s="861">
        <f>Timing!AA11</f>
        <v>2</v>
      </c>
      <c r="AB8" s="861">
        <f>Timing!AB11</f>
        <v>2</v>
      </c>
      <c r="AC8" s="861">
        <f>Timing!AC11</f>
        <v>2</v>
      </c>
      <c r="AD8" s="861">
        <f>Timing!AD11</f>
        <v>2</v>
      </c>
      <c r="AE8" s="861">
        <f>Timing!AE11</f>
        <v>2</v>
      </c>
      <c r="AF8" s="861">
        <f>Timing!AF11</f>
        <v>2</v>
      </c>
      <c r="AG8" s="861">
        <f>Timing!AG11</f>
        <v>3</v>
      </c>
    </row>
    <row r="9" spans="1:33" ht="17.25" customHeight="1">
      <c r="A9" s="861"/>
      <c r="B9" s="861"/>
      <c r="C9" s="861"/>
      <c r="D9" s="270"/>
      <c r="E9" s="861"/>
      <c r="F9" s="861"/>
      <c r="G9" s="861"/>
      <c r="H9" s="861"/>
      <c r="I9" s="861"/>
      <c r="J9" s="861"/>
      <c r="K9" s="861"/>
      <c r="L9" s="861"/>
      <c r="M9" s="861"/>
      <c r="N9" s="861"/>
      <c r="O9" s="861"/>
      <c r="P9" s="861"/>
      <c r="Q9" s="861"/>
      <c r="R9" s="861"/>
      <c r="S9" s="861"/>
      <c r="T9" s="861"/>
      <c r="U9" s="861"/>
      <c r="V9" s="861"/>
      <c r="W9" s="861"/>
      <c r="X9" s="861"/>
      <c r="Y9" s="861"/>
      <c r="Z9" s="861"/>
      <c r="AA9" s="861"/>
      <c r="AB9" s="861"/>
      <c r="AC9" s="861"/>
      <c r="AD9" s="861"/>
      <c r="AE9" s="861"/>
      <c r="AF9" s="861"/>
      <c r="AG9" s="861"/>
    </row>
    <row r="10" spans="1:33" ht="24" thickBot="1">
      <c r="A10" s="427"/>
      <c r="B10" s="427"/>
      <c r="C10" s="427" t="str">
        <f>"Product/Service 1: "&amp;PS_01</f>
        <v>Product/Service 1: WonderApp</v>
      </c>
      <c r="D10" s="1019">
        <f>OnOff_PS1</f>
        <v>1</v>
      </c>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row>
    <row r="11" spans="1:33" ht="20.25" outlineLevel="1">
      <c r="A11" s="861"/>
      <c r="B11" s="274">
        <v>1</v>
      </c>
      <c r="C11" s="274" t="str">
        <f>"Customers &amp; Gross Profit - "&amp;PS_01</f>
        <v>Customers &amp; Gross Profit - WonderApp</v>
      </c>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row>
    <row r="12" spans="1:33" s="878" customFormat="1" ht="20.25" outlineLevel="2">
      <c r="A12" s="861"/>
      <c r="B12" s="274"/>
      <c r="C12" s="737" t="s">
        <v>792</v>
      </c>
      <c r="D12" s="8" t="s">
        <v>39</v>
      </c>
      <c r="E12" s="549"/>
      <c r="F12" s="549"/>
      <c r="G12" s="549"/>
      <c r="H12" s="549"/>
      <c r="I12" s="549"/>
      <c r="J12" s="230">
        <v>157</v>
      </c>
      <c r="K12" s="230">
        <v>207</v>
      </c>
      <c r="L12" s="230">
        <v>307</v>
      </c>
      <c r="M12" s="230">
        <v>432</v>
      </c>
      <c r="N12" s="230">
        <v>551.65</v>
      </c>
      <c r="O12" s="230">
        <v>681.85</v>
      </c>
      <c r="P12" s="230">
        <v>816.20800000000008</v>
      </c>
      <c r="Q12" s="230">
        <v>946.10782000000017</v>
      </c>
      <c r="R12" s="230">
        <v>1086.6794328000003</v>
      </c>
      <c r="S12" s="230">
        <v>1231.8764101120003</v>
      </c>
      <c r="T12" s="230">
        <v>1344.3896415164802</v>
      </c>
      <c r="U12" s="230">
        <v>1479.7746921771395</v>
      </c>
      <c r="V12" s="230">
        <v>1616.0265448642251</v>
      </c>
      <c r="W12" s="230">
        <v>1728.157607908794</v>
      </c>
      <c r="X12" s="230">
        <v>1859.0660117751459</v>
      </c>
      <c r="Y12" s="230">
        <v>1991.7538157961517</v>
      </c>
      <c r="Z12" s="230">
        <v>2106.9739082154979</v>
      </c>
      <c r="AA12" s="230">
        <v>2237.9782210446178</v>
      </c>
      <c r="AB12" s="230">
        <v>2371.5954350269026</v>
      </c>
      <c r="AC12" s="230">
        <v>2492.961868562104</v>
      </c>
      <c r="AD12" s="230">
        <v>2627.9740270453431</v>
      </c>
      <c r="AE12" s="230">
        <v>2766.389945634312</v>
      </c>
      <c r="AF12" s="230">
        <v>0</v>
      </c>
      <c r="AG12" s="230">
        <v>0</v>
      </c>
    </row>
    <row r="13" spans="1:33" s="878" customFormat="1" ht="20.25" outlineLevel="2">
      <c r="A13" s="861"/>
      <c r="B13" s="274"/>
      <c r="C13" s="737" t="s">
        <v>918</v>
      </c>
      <c r="D13" s="8" t="s">
        <v>39</v>
      </c>
      <c r="E13" s="549"/>
      <c r="F13" s="549"/>
      <c r="G13" s="549"/>
      <c r="H13" s="549"/>
      <c r="I13" s="71">
        <v>3872.2598219794372</v>
      </c>
      <c r="J13" s="230">
        <v>50</v>
      </c>
      <c r="K13" s="230">
        <v>100</v>
      </c>
      <c r="L13" s="230">
        <v>125</v>
      </c>
      <c r="M13" s="230">
        <v>130</v>
      </c>
      <c r="N13" s="230">
        <v>135.20000000000002</v>
      </c>
      <c r="O13" s="230">
        <v>140.60800000000003</v>
      </c>
      <c r="P13" s="230">
        <v>146.23232000000004</v>
      </c>
      <c r="Q13" s="230">
        <v>152.08161280000004</v>
      </c>
      <c r="R13" s="230">
        <v>158.16487731200004</v>
      </c>
      <c r="S13" s="230">
        <v>164.49147240448005</v>
      </c>
      <c r="T13" s="230">
        <v>171.07113130065926</v>
      </c>
      <c r="U13" s="230">
        <v>177.91397655268563</v>
      </c>
      <c r="V13" s="230">
        <v>185.03053561479305</v>
      </c>
      <c r="W13" s="230">
        <v>192.43175703938479</v>
      </c>
      <c r="X13" s="230">
        <v>200.12902732096018</v>
      </c>
      <c r="Y13" s="230">
        <v>208.1341884137986</v>
      </c>
      <c r="Z13" s="230">
        <v>216.45955595035053</v>
      </c>
      <c r="AA13" s="230">
        <v>225.11793818836458</v>
      </c>
      <c r="AB13" s="230">
        <v>234.12265571589916</v>
      </c>
      <c r="AC13" s="230">
        <v>243.48756194453514</v>
      </c>
      <c r="AD13" s="230">
        <v>253.22706442231657</v>
      </c>
      <c r="AE13" s="230">
        <v>263.35614699920927</v>
      </c>
      <c r="AF13" s="230">
        <v>0</v>
      </c>
      <c r="AG13" s="230">
        <v>0</v>
      </c>
    </row>
    <row r="14" spans="1:33" s="878" customFormat="1" ht="20.25" outlineLevel="2">
      <c r="A14" s="861"/>
      <c r="B14" s="274"/>
      <c r="C14" s="737" t="s">
        <v>919</v>
      </c>
      <c r="D14" s="8" t="s">
        <v>39</v>
      </c>
      <c r="E14" s="549"/>
      <c r="F14" s="549"/>
      <c r="G14" s="549"/>
      <c r="H14" s="549"/>
      <c r="I14" s="71">
        <v>1132.5618614569735</v>
      </c>
      <c r="J14" s="230">
        <v>0</v>
      </c>
      <c r="K14" s="230">
        <v>0</v>
      </c>
      <c r="L14" s="230">
        <v>0</v>
      </c>
      <c r="M14" s="230">
        <v>10.34999999999998</v>
      </c>
      <c r="N14" s="230">
        <v>5</v>
      </c>
      <c r="O14" s="230">
        <v>6.25</v>
      </c>
      <c r="P14" s="230">
        <v>16.332499999999996</v>
      </c>
      <c r="Q14" s="230">
        <v>11.509999999999998</v>
      </c>
      <c r="R14" s="230">
        <v>12.967900000000007</v>
      </c>
      <c r="S14" s="230">
        <v>51.978241000000025</v>
      </c>
      <c r="T14" s="230">
        <v>35.686080640000021</v>
      </c>
      <c r="U14" s="230">
        <v>41.662123865600009</v>
      </c>
      <c r="V14" s="230">
        <v>72.89947257022402</v>
      </c>
      <c r="W14" s="230">
        <v>61.523353173032966</v>
      </c>
      <c r="X14" s="230">
        <v>67.441223299954274</v>
      </c>
      <c r="Y14" s="230">
        <v>92.914095994452452</v>
      </c>
      <c r="Z14" s="230">
        <v>85.455243121230595</v>
      </c>
      <c r="AA14" s="230">
        <v>91.500724206079795</v>
      </c>
      <c r="AB14" s="230">
        <v>112.75622218069796</v>
      </c>
      <c r="AC14" s="230">
        <v>108.4754034612959</v>
      </c>
      <c r="AD14" s="230">
        <v>114.81114583334771</v>
      </c>
      <c r="AE14" s="230">
        <v>133.04813211105792</v>
      </c>
      <c r="AF14" s="230">
        <v>0</v>
      </c>
      <c r="AG14" s="230">
        <v>0</v>
      </c>
    </row>
    <row r="15" spans="1:33" s="878" customFormat="1" ht="21" outlineLevel="2" thickBot="1">
      <c r="A15" s="861"/>
      <c r="B15" s="274"/>
      <c r="C15" s="737" t="s">
        <v>789</v>
      </c>
      <c r="D15" s="8" t="s">
        <v>39</v>
      </c>
      <c r="E15" s="549"/>
      <c r="F15" s="549"/>
      <c r="G15" s="549"/>
      <c r="H15" s="549"/>
      <c r="I15" s="144">
        <v>157</v>
      </c>
      <c r="J15" s="672">
        <v>207</v>
      </c>
      <c r="K15" s="672">
        <v>307</v>
      </c>
      <c r="L15" s="672">
        <v>432</v>
      </c>
      <c r="M15" s="672">
        <v>551.65</v>
      </c>
      <c r="N15" s="672">
        <v>681.85</v>
      </c>
      <c r="O15" s="672">
        <v>816.20800000000008</v>
      </c>
      <c r="P15" s="672">
        <v>946.10782000000017</v>
      </c>
      <c r="Q15" s="672">
        <v>1086.6794328000003</v>
      </c>
      <c r="R15" s="672">
        <v>1231.8764101120003</v>
      </c>
      <c r="S15" s="672">
        <v>1344.3896415164802</v>
      </c>
      <c r="T15" s="672">
        <v>1479.7746921771395</v>
      </c>
      <c r="U15" s="672">
        <v>1616.0265448642251</v>
      </c>
      <c r="V15" s="672">
        <v>1728.157607908794</v>
      </c>
      <c r="W15" s="672">
        <v>1859.0660117751459</v>
      </c>
      <c r="X15" s="672">
        <v>1991.7538157961517</v>
      </c>
      <c r="Y15" s="672">
        <v>2106.9739082154979</v>
      </c>
      <c r="Z15" s="672">
        <v>2237.9782210446178</v>
      </c>
      <c r="AA15" s="672">
        <v>2371.5954350269026</v>
      </c>
      <c r="AB15" s="672">
        <v>2492.961868562104</v>
      </c>
      <c r="AC15" s="672">
        <v>2627.9740270453431</v>
      </c>
      <c r="AD15" s="672">
        <v>2766.389945634312</v>
      </c>
      <c r="AE15" s="672">
        <v>2896.6979605224633</v>
      </c>
      <c r="AF15" s="672">
        <v>0</v>
      </c>
      <c r="AG15" s="672">
        <v>0</v>
      </c>
    </row>
    <row r="16" spans="1:33" ht="21" outlineLevel="3" thickTop="1">
      <c r="A16" s="861"/>
      <c r="B16" s="274"/>
      <c r="C16" s="737" t="s">
        <v>902</v>
      </c>
      <c r="D16" s="8" t="s">
        <v>39</v>
      </c>
      <c r="E16" s="549"/>
      <c r="F16" s="549"/>
      <c r="G16" s="549"/>
      <c r="H16" s="549"/>
      <c r="I16" s="549"/>
      <c r="J16" s="230">
        <v>170</v>
      </c>
      <c r="K16" s="230">
        <v>270</v>
      </c>
      <c r="L16" s="230">
        <v>395</v>
      </c>
      <c r="M16" s="230">
        <v>484.20000000000005</v>
      </c>
      <c r="N16" s="230">
        <v>595.40000000000009</v>
      </c>
      <c r="O16" s="230">
        <v>706.00800000000015</v>
      </c>
      <c r="P16" s="230">
        <v>790.03232000000014</v>
      </c>
      <c r="Q16" s="230">
        <v>891.42593280000017</v>
      </c>
      <c r="R16" s="230">
        <v>993.04489011200019</v>
      </c>
      <c r="S16" s="230">
        <v>1075.1625257164801</v>
      </c>
      <c r="T16" s="230">
        <v>1171.2111899451395</v>
      </c>
      <c r="U16" s="230">
        <v>1268.1906967429452</v>
      </c>
      <c r="V16" s="230">
        <v>1351.1391630126629</v>
      </c>
      <c r="W16" s="230">
        <v>1445.4967735651694</v>
      </c>
      <c r="X16" s="230">
        <v>1541.4162494997763</v>
      </c>
      <c r="Y16" s="230">
        <v>1627.5607366637673</v>
      </c>
      <c r="Z16" s="230">
        <v>1723.300319594638</v>
      </c>
      <c r="AA16" s="230">
        <v>1821.1880321723436</v>
      </c>
      <c r="AB16" s="230">
        <v>1912.6463097190774</v>
      </c>
      <c r="AC16" s="230">
        <v>2012.4363987407237</v>
      </c>
      <c r="AD16" s="230">
        <v>2114.9401865337322</v>
      </c>
      <c r="AE16" s="230">
        <v>2213.6819687525599</v>
      </c>
      <c r="AF16" s="230">
        <v>0</v>
      </c>
      <c r="AG16" s="230">
        <v>0</v>
      </c>
    </row>
    <row r="17" spans="1:33" ht="20.25" outlineLevel="3">
      <c r="A17" s="861"/>
      <c r="B17" s="274"/>
      <c r="C17" s="737" t="s">
        <v>903</v>
      </c>
      <c r="D17" s="8" t="s">
        <v>39</v>
      </c>
      <c r="E17" s="549"/>
      <c r="F17" s="549"/>
      <c r="G17" s="549"/>
      <c r="H17" s="549"/>
      <c r="I17" s="878"/>
      <c r="J17" s="230">
        <v>37</v>
      </c>
      <c r="K17" s="230">
        <v>37</v>
      </c>
      <c r="L17" s="230">
        <v>37</v>
      </c>
      <c r="M17" s="230">
        <v>67.45</v>
      </c>
      <c r="N17" s="230">
        <v>86.45</v>
      </c>
      <c r="O17" s="230">
        <v>110.2</v>
      </c>
      <c r="P17" s="230">
        <v>156.07549999999998</v>
      </c>
      <c r="Q17" s="230">
        <v>195.25349999999997</v>
      </c>
      <c r="R17" s="230">
        <v>238.83151999999998</v>
      </c>
      <c r="S17" s="230">
        <v>269.22711580000004</v>
      </c>
      <c r="T17" s="230">
        <v>308.56350223200002</v>
      </c>
      <c r="U17" s="230">
        <v>347.83584812127998</v>
      </c>
      <c r="V17" s="230">
        <v>377.0184448961312</v>
      </c>
      <c r="W17" s="230">
        <v>413.5692382099765</v>
      </c>
      <c r="X17" s="230">
        <v>450.33756629637554</v>
      </c>
      <c r="Y17" s="230">
        <v>479.41317155173056</v>
      </c>
      <c r="Z17" s="230">
        <v>514.6779014499798</v>
      </c>
      <c r="AA17" s="230">
        <v>550.407402854559</v>
      </c>
      <c r="AB17" s="230">
        <v>580.31555884302645</v>
      </c>
      <c r="AC17" s="230">
        <v>615.53762830461926</v>
      </c>
      <c r="AD17" s="230">
        <v>651.44975910057985</v>
      </c>
      <c r="AE17" s="230">
        <v>683.01599176990351</v>
      </c>
      <c r="AF17" s="230">
        <v>0</v>
      </c>
      <c r="AG17" s="230">
        <v>0</v>
      </c>
    </row>
    <row r="18" spans="1:33" s="878" customFormat="1" ht="12.75" customHeight="1" outlineLevel="2">
      <c r="A18" s="861"/>
      <c r="B18" s="861"/>
      <c r="C18" s="861"/>
      <c r="D18" s="861"/>
      <c r="E18" s="861"/>
      <c r="F18" s="861"/>
      <c r="G18" s="861"/>
      <c r="H18" s="861"/>
      <c r="I18" s="861"/>
      <c r="J18" s="861"/>
      <c r="K18" s="861"/>
      <c r="L18" s="861"/>
      <c r="M18" s="861"/>
      <c r="N18" s="861"/>
      <c r="O18" s="861"/>
      <c r="P18" s="861"/>
      <c r="Q18" s="861"/>
      <c r="R18" s="861"/>
      <c r="S18" s="861"/>
      <c r="T18" s="861"/>
      <c r="U18" s="861"/>
      <c r="V18" s="861"/>
      <c r="W18" s="861"/>
      <c r="X18" s="861"/>
      <c r="Y18" s="861"/>
      <c r="Z18" s="861"/>
      <c r="AA18" s="861"/>
      <c r="AB18" s="861"/>
      <c r="AC18" s="861"/>
      <c r="AD18" s="861"/>
      <c r="AE18" s="861"/>
      <c r="AF18" s="861"/>
      <c r="AG18" s="861"/>
    </row>
    <row r="19" spans="1:33" s="878" customFormat="1" ht="20.25" outlineLevel="2">
      <c r="A19" s="861"/>
      <c r="B19" s="274"/>
      <c r="C19" s="737" t="s">
        <v>783</v>
      </c>
      <c r="D19" s="8" t="str">
        <f t="shared" ref="D19:D27" si="0">Currency_Label</f>
        <v>USD</v>
      </c>
      <c r="E19" s="549"/>
      <c r="F19" s="549"/>
      <c r="G19" s="549"/>
      <c r="H19" s="549"/>
      <c r="I19" s="71">
        <v>1696783.9466314306</v>
      </c>
      <c r="J19" s="230">
        <v>12469.9</v>
      </c>
      <c r="K19" s="230">
        <v>17367.400000000001</v>
      </c>
      <c r="L19" s="230">
        <v>23036.15</v>
      </c>
      <c r="M19" s="230">
        <v>28903.86</v>
      </c>
      <c r="N19" s="230">
        <v>35340.880000000005</v>
      </c>
      <c r="O19" s="230">
        <v>41735.804800000013</v>
      </c>
      <c r="P19" s="230">
        <v>48905.709392000004</v>
      </c>
      <c r="Q19" s="230">
        <v>56098.564055680006</v>
      </c>
      <c r="R19" s="230">
        <v>63724.614745907209</v>
      </c>
      <c r="S19" s="230">
        <v>69540.387531743501</v>
      </c>
      <c r="T19" s="230">
        <v>76622.202998293244</v>
      </c>
      <c r="U19" s="230">
        <v>80528.746785504292</v>
      </c>
      <c r="V19" s="230">
        <v>85781.994843069479</v>
      </c>
      <c r="W19" s="230">
        <v>92234.706427856843</v>
      </c>
      <c r="X19" s="230">
        <v>98771.670250723735</v>
      </c>
      <c r="Y19" s="230">
        <v>104396.05912366163</v>
      </c>
      <c r="Z19" s="230">
        <v>110837.24523620243</v>
      </c>
      <c r="AA19" s="230">
        <v>117403.94806200775</v>
      </c>
      <c r="AB19" s="230">
        <v>123321.19782166572</v>
      </c>
      <c r="AC19" s="230">
        <v>129945.55618977002</v>
      </c>
      <c r="AD19" s="230">
        <v>136734.46953685832</v>
      </c>
      <c r="AE19" s="230">
        <v>143082.87883048612</v>
      </c>
      <c r="AF19" s="230">
        <v>0</v>
      </c>
      <c r="AG19" s="230">
        <v>0</v>
      </c>
    </row>
    <row r="20" spans="1:33" s="878" customFormat="1" ht="20.25" outlineLevel="3">
      <c r="A20" s="861"/>
      <c r="B20" s="274"/>
      <c r="C20" s="737" t="s">
        <v>902</v>
      </c>
      <c r="D20" s="8" t="str">
        <f t="shared" si="0"/>
        <v>USD</v>
      </c>
      <c r="E20" s="453" t="s">
        <v>994</v>
      </c>
      <c r="F20" s="549"/>
      <c r="G20" s="549"/>
      <c r="H20" s="549"/>
      <c r="I20" s="71">
        <v>1148148.3056594031</v>
      </c>
      <c r="J20" s="230">
        <v>7969.5</v>
      </c>
      <c r="K20" s="230">
        <v>13167</v>
      </c>
      <c r="L20" s="230">
        <v>18735.75</v>
      </c>
      <c r="M20" s="230">
        <v>22391.82</v>
      </c>
      <c r="N20" s="230">
        <v>26924.040000000005</v>
      </c>
      <c r="O20" s="230">
        <v>31437.964800000009</v>
      </c>
      <c r="P20" s="230">
        <v>34904.529792000008</v>
      </c>
      <c r="Q20" s="230">
        <v>39064.486855680007</v>
      </c>
      <c r="R20" s="230">
        <v>43239.158361907212</v>
      </c>
      <c r="S20" s="230">
        <v>46647.599960383493</v>
      </c>
      <c r="T20" s="230">
        <v>50613.973621518839</v>
      </c>
      <c r="U20" s="230">
        <v>54623.72251069959</v>
      </c>
      <c r="V20" s="230">
        <v>58084.616611767582</v>
      </c>
      <c r="W20" s="230">
        <v>62004.35821990548</v>
      </c>
      <c r="X20" s="230">
        <v>65993.276906384912</v>
      </c>
      <c r="Y20" s="230">
        <v>69602.726335126703</v>
      </c>
      <c r="Z20" s="230">
        <v>73600.066665718841</v>
      </c>
      <c r="AA20" s="230">
        <v>77690.715044186814</v>
      </c>
      <c r="AB20" s="230">
        <v>81535.329593843984</v>
      </c>
      <c r="AC20" s="230">
        <v>85718.798548259903</v>
      </c>
      <c r="AD20" s="230">
        <v>90019.001231188129</v>
      </c>
      <c r="AE20" s="230">
        <v>94179.870600831811</v>
      </c>
      <c r="AF20" s="230">
        <v>0</v>
      </c>
      <c r="AG20" s="230">
        <v>0</v>
      </c>
    </row>
    <row r="21" spans="1:33" s="878" customFormat="1" ht="20.25" outlineLevel="3">
      <c r="A21" s="861"/>
      <c r="B21" s="274"/>
      <c r="C21" s="737" t="s">
        <v>903</v>
      </c>
      <c r="D21" s="8" t="str">
        <f t="shared" si="0"/>
        <v>USD</v>
      </c>
      <c r="E21" s="453" t="s">
        <v>994</v>
      </c>
      <c r="F21" s="549"/>
      <c r="G21" s="549"/>
      <c r="H21" s="549"/>
      <c r="I21" s="71">
        <v>514695.64097202697</v>
      </c>
      <c r="J21" s="230">
        <v>2930.4</v>
      </c>
      <c r="K21" s="230">
        <v>2930.4</v>
      </c>
      <c r="L21" s="230">
        <v>2930.4</v>
      </c>
      <c r="M21" s="230">
        <v>5342.04</v>
      </c>
      <c r="N21" s="230">
        <v>6846.84</v>
      </c>
      <c r="O21" s="230">
        <v>8727.84</v>
      </c>
      <c r="P21" s="230">
        <v>12361.179599999998</v>
      </c>
      <c r="Q21" s="230">
        <v>15464.077199999998</v>
      </c>
      <c r="R21" s="230">
        <v>18915.456384000001</v>
      </c>
      <c r="S21" s="230">
        <v>21322.787571360004</v>
      </c>
      <c r="T21" s="230">
        <v>24438.229376774401</v>
      </c>
      <c r="U21" s="230">
        <v>24105.024274804702</v>
      </c>
      <c r="V21" s="230">
        <v>26127.378231301893</v>
      </c>
      <c r="W21" s="230">
        <v>28660.348207951371</v>
      </c>
      <c r="X21" s="230">
        <v>31208.393344338823</v>
      </c>
      <c r="Y21" s="230">
        <v>33223.332788534928</v>
      </c>
      <c r="Z21" s="230">
        <v>35667.1785704836</v>
      </c>
      <c r="AA21" s="230">
        <v>38143.233017820938</v>
      </c>
      <c r="AB21" s="230">
        <v>40215.868227821731</v>
      </c>
      <c r="AC21" s="230">
        <v>42656.757641510114</v>
      </c>
      <c r="AD21" s="230">
        <v>45145.468305670183</v>
      </c>
      <c r="AE21" s="230">
        <v>47333.008229654311</v>
      </c>
      <c r="AF21" s="230">
        <v>0</v>
      </c>
      <c r="AG21" s="230">
        <v>0</v>
      </c>
    </row>
    <row r="22" spans="1:33" s="878" customFormat="1" ht="20.25" outlineLevel="3">
      <c r="A22" s="861"/>
      <c r="B22" s="274"/>
      <c r="C22" s="737" t="s">
        <v>950</v>
      </c>
      <c r="D22" s="8" t="str">
        <f t="shared" si="0"/>
        <v>USD</v>
      </c>
      <c r="E22" s="549"/>
      <c r="F22" s="549"/>
      <c r="G22" s="549"/>
      <c r="H22" s="549"/>
      <c r="I22" s="71">
        <v>33940</v>
      </c>
      <c r="J22" s="230">
        <v>1570</v>
      </c>
      <c r="K22" s="230">
        <v>1270</v>
      </c>
      <c r="L22" s="230">
        <v>1370</v>
      </c>
      <c r="M22" s="230">
        <v>1170</v>
      </c>
      <c r="N22" s="230">
        <v>1570</v>
      </c>
      <c r="O22" s="230">
        <v>1570</v>
      </c>
      <c r="P22" s="230">
        <v>1640</v>
      </c>
      <c r="Q22" s="230">
        <v>1570</v>
      </c>
      <c r="R22" s="230">
        <v>1570</v>
      </c>
      <c r="S22" s="230">
        <v>1570</v>
      </c>
      <c r="T22" s="230">
        <v>1570</v>
      </c>
      <c r="U22" s="230">
        <v>1800</v>
      </c>
      <c r="V22" s="230">
        <v>1570</v>
      </c>
      <c r="W22" s="230">
        <v>1570</v>
      </c>
      <c r="X22" s="230">
        <v>1570</v>
      </c>
      <c r="Y22" s="230">
        <v>1570</v>
      </c>
      <c r="Z22" s="230">
        <v>1570</v>
      </c>
      <c r="AA22" s="230">
        <v>1570</v>
      </c>
      <c r="AB22" s="230">
        <v>1570</v>
      </c>
      <c r="AC22" s="230">
        <v>1570</v>
      </c>
      <c r="AD22" s="230">
        <v>1570</v>
      </c>
      <c r="AE22" s="230">
        <v>1570</v>
      </c>
      <c r="AF22" s="230">
        <v>0</v>
      </c>
      <c r="AG22" s="230">
        <v>0</v>
      </c>
    </row>
    <row r="23" spans="1:33" s="878" customFormat="1" ht="20.25" outlineLevel="2">
      <c r="A23" s="861"/>
      <c r="B23" s="274"/>
      <c r="C23" s="78" t="s">
        <v>905</v>
      </c>
      <c r="D23" s="8" t="str">
        <f t="shared" si="0"/>
        <v>USD</v>
      </c>
      <c r="F23" s="990" t="s">
        <v>904</v>
      </c>
      <c r="G23" s="679">
        <v>1</v>
      </c>
      <c r="H23" s="549"/>
      <c r="I23" s="71">
        <v>-39860.222540356524</v>
      </c>
      <c r="J23" s="230">
        <v>-255</v>
      </c>
      <c r="K23" s="230">
        <v>-405</v>
      </c>
      <c r="L23" s="230">
        <v>-592.5</v>
      </c>
      <c r="M23" s="230">
        <v>-726.3</v>
      </c>
      <c r="N23" s="230">
        <v>-893.10000000000014</v>
      </c>
      <c r="O23" s="230">
        <v>-1059.0120000000002</v>
      </c>
      <c r="P23" s="230">
        <v>-1185.0484800000002</v>
      </c>
      <c r="Q23" s="230">
        <v>-1337.1388992000002</v>
      </c>
      <c r="R23" s="230">
        <v>-1489.5673351680002</v>
      </c>
      <c r="S23" s="230">
        <v>-1612.7437885747199</v>
      </c>
      <c r="T23" s="230">
        <v>-1756.8167849177091</v>
      </c>
      <c r="U23" s="230">
        <v>-1902.2860451144177</v>
      </c>
      <c r="V23" s="230">
        <v>-2026.7087445189943</v>
      </c>
      <c r="W23" s="230">
        <v>-2168.2451603477543</v>
      </c>
      <c r="X23" s="230">
        <v>-2312.1243742496645</v>
      </c>
      <c r="Y23" s="230">
        <v>-2441.3411049956508</v>
      </c>
      <c r="Z23" s="230">
        <v>-2584.9504793919573</v>
      </c>
      <c r="AA23" s="230">
        <v>-2731.7820482585153</v>
      </c>
      <c r="AB23" s="230">
        <v>-2868.9694645786162</v>
      </c>
      <c r="AC23" s="230">
        <v>-3018.6545981110853</v>
      </c>
      <c r="AD23" s="230">
        <v>-3172.4102798005979</v>
      </c>
      <c r="AE23" s="230">
        <v>-3320.5229531288401</v>
      </c>
      <c r="AF23" s="230">
        <v>0</v>
      </c>
      <c r="AG23" s="230">
        <v>0</v>
      </c>
    </row>
    <row r="24" spans="1:33" s="878" customFormat="1" ht="20.25" outlineLevel="2">
      <c r="A24" s="861"/>
      <c r="B24" s="274"/>
      <c r="C24" s="815" t="s">
        <v>898</v>
      </c>
      <c r="D24" s="8" t="str">
        <f t="shared" si="0"/>
        <v>USD</v>
      </c>
      <c r="E24" s="549"/>
      <c r="F24" s="549"/>
      <c r="G24" s="549"/>
      <c r="H24" s="549"/>
      <c r="I24" s="71">
        <v>1656923.724091074</v>
      </c>
      <c r="J24" s="1044">
        <v>12214.9</v>
      </c>
      <c r="K24" s="1044">
        <v>16962.400000000001</v>
      </c>
      <c r="L24" s="1044">
        <v>22443.65</v>
      </c>
      <c r="M24" s="1044">
        <v>28177.56</v>
      </c>
      <c r="N24" s="1044">
        <v>34447.780000000006</v>
      </c>
      <c r="O24" s="1044">
        <v>40676.79280000001</v>
      </c>
      <c r="P24" s="1044">
        <v>47720.660912000007</v>
      </c>
      <c r="Q24" s="1044">
        <v>54761.425156480007</v>
      </c>
      <c r="R24" s="1044">
        <v>62235.047410739207</v>
      </c>
      <c r="S24" s="1044">
        <v>67927.643743168781</v>
      </c>
      <c r="T24" s="1044">
        <v>74865.386213375532</v>
      </c>
      <c r="U24" s="1044">
        <v>78626.46074038987</v>
      </c>
      <c r="V24" s="1044">
        <v>83755.286098550481</v>
      </c>
      <c r="W24" s="1044">
        <v>90066.46126750909</v>
      </c>
      <c r="X24" s="1044">
        <v>96459.545876474076</v>
      </c>
      <c r="Y24" s="1044">
        <v>101954.71801866598</v>
      </c>
      <c r="Z24" s="1044">
        <v>108252.29475681047</v>
      </c>
      <c r="AA24" s="1044">
        <v>114672.16601374924</v>
      </c>
      <c r="AB24" s="1044">
        <v>120452.22835708709</v>
      </c>
      <c r="AC24" s="1044">
        <v>126926.90159165894</v>
      </c>
      <c r="AD24" s="1044">
        <v>133562.05925705773</v>
      </c>
      <c r="AE24" s="1044">
        <v>139762.35587735727</v>
      </c>
      <c r="AF24" s="1044">
        <v>0</v>
      </c>
      <c r="AG24" s="1044">
        <v>0</v>
      </c>
    </row>
    <row r="25" spans="1:33" s="878" customFormat="1" ht="20.25" outlineLevel="2">
      <c r="A25" s="861"/>
      <c r="B25" s="274"/>
      <c r="C25" s="452" t="s">
        <v>906</v>
      </c>
      <c r="D25" s="8" t="str">
        <f t="shared" si="0"/>
        <v>USD</v>
      </c>
      <c r="E25" s="549"/>
      <c r="F25" s="549"/>
      <c r="G25" s="549"/>
      <c r="H25" s="549"/>
      <c r="I25" s="71">
        <v>-158791.04445942337</v>
      </c>
      <c r="J25" s="230">
        <v>-786.59999999999991</v>
      </c>
      <c r="K25" s="230">
        <v>-1166.5999999999999</v>
      </c>
      <c r="L25" s="230">
        <v>-1641.6000000000004</v>
      </c>
      <c r="M25" s="230">
        <v>-3069.5389999999993</v>
      </c>
      <c r="N25" s="230">
        <v>-2591.0299999999997</v>
      </c>
      <c r="O25" s="230">
        <v>-3101.5903999999991</v>
      </c>
      <c r="P25" s="230">
        <v>-5628.6206120000006</v>
      </c>
      <c r="Q25" s="230">
        <v>-4129.381844640001</v>
      </c>
      <c r="R25" s="230">
        <v>-4681.1303584256002</v>
      </c>
      <c r="S25" s="230">
        <v>-8387.6584016343695</v>
      </c>
      <c r="T25" s="230">
        <v>-5623.1438302731294</v>
      </c>
      <c r="U25" s="230">
        <v>-6140.9008704840544</v>
      </c>
      <c r="V25" s="230">
        <v>-11002.025656364238</v>
      </c>
      <c r="W25" s="230">
        <v>-7064.4508447455537</v>
      </c>
      <c r="X25" s="230">
        <v>-7568.6645000253757</v>
      </c>
      <c r="Y25" s="230">
        <v>-13448.068281651895</v>
      </c>
      <c r="Z25" s="230">
        <v>-8504.3172399695468</v>
      </c>
      <c r="AA25" s="230">
        <v>-9012.0626531022317</v>
      </c>
      <c r="AB25" s="230">
        <v>-16031.800148973434</v>
      </c>
      <c r="AC25" s="230">
        <v>-9986.3013027723027</v>
      </c>
      <c r="AD25" s="230">
        <v>-10512.281793410388</v>
      </c>
      <c r="AE25" s="230">
        <v>-18713.276720951242</v>
      </c>
      <c r="AF25" s="230">
        <v>0</v>
      </c>
      <c r="AG25" s="230">
        <v>0</v>
      </c>
    </row>
    <row r="26" spans="1:33" s="878" customFormat="1" ht="20.25" outlineLevel="2">
      <c r="A26" s="861"/>
      <c r="B26" s="274"/>
      <c r="C26" s="452" t="str">
        <f>CHOOSE(language,"  - Direct Labour Expense","  - Direct Labor Expense")</f>
        <v xml:space="preserve">  - Direct Labor Expense</v>
      </c>
      <c r="D26" s="8" t="str">
        <f t="shared" si="0"/>
        <v>USD</v>
      </c>
      <c r="E26" s="549"/>
      <c r="F26" s="549"/>
      <c r="G26" s="549"/>
      <c r="H26" s="549"/>
      <c r="I26" s="71">
        <v>-248057.31913323083</v>
      </c>
      <c r="J26" s="230">
        <v>-1509.0300000000002</v>
      </c>
      <c r="K26" s="230">
        <v>-2238.0300000000002</v>
      </c>
      <c r="L26" s="230">
        <v>-3149.2800000000007</v>
      </c>
      <c r="M26" s="230">
        <v>-4021.5284999999999</v>
      </c>
      <c r="N26" s="230">
        <v>-4970.6865000000007</v>
      </c>
      <c r="O26" s="230">
        <v>-5950.1563200000001</v>
      </c>
      <c r="P26" s="230">
        <v>-6897.1260077999996</v>
      </c>
      <c r="Q26" s="230">
        <v>-7921.8930651120018</v>
      </c>
      <c r="R26" s="230">
        <v>-8980.3790297164833</v>
      </c>
      <c r="S26" s="230">
        <v>-9800.6004866551411</v>
      </c>
      <c r="T26" s="230">
        <v>-10787.557505971348</v>
      </c>
      <c r="U26" s="230">
        <v>-11898.641847180805</v>
      </c>
      <c r="V26" s="230">
        <v>-12724.251651271663</v>
      </c>
      <c r="W26" s="230">
        <v>-13688.117138099222</v>
      </c>
      <c r="X26" s="230">
        <v>-14665.084170325486</v>
      </c>
      <c r="Y26" s="230">
        <v>-15513.438188799892</v>
      </c>
      <c r="Z26" s="230">
        <v>-16478.009843729415</v>
      </c>
      <c r="AA26" s="230">
        <v>-17461.820028559585</v>
      </c>
      <c r="AB26" s="230">
        <v>-18355.428942035916</v>
      </c>
      <c r="AC26" s="230">
        <v>-19349.509963732158</v>
      </c>
      <c r="AD26" s="230">
        <v>-20368.652530710875</v>
      </c>
      <c r="AE26" s="230">
        <v>-21328.097413530846</v>
      </c>
      <c r="AF26" s="230">
        <v>0</v>
      </c>
      <c r="AG26" s="230">
        <v>0</v>
      </c>
    </row>
    <row r="27" spans="1:33" s="878" customFormat="1" ht="21" outlineLevel="2" thickBot="1">
      <c r="A27" s="861"/>
      <c r="B27" s="274"/>
      <c r="C27" s="1045" t="s">
        <v>274</v>
      </c>
      <c r="D27" s="8" t="str">
        <f t="shared" si="0"/>
        <v>USD</v>
      </c>
      <c r="E27" s="549"/>
      <c r="F27" s="549"/>
      <c r="G27" s="549"/>
      <c r="H27" s="549"/>
      <c r="I27" s="71">
        <v>1250075.3604984197</v>
      </c>
      <c r="J27" s="700">
        <v>9919.2699999999986</v>
      </c>
      <c r="K27" s="700">
        <v>13557.77</v>
      </c>
      <c r="L27" s="700">
        <v>17652.770000000004</v>
      </c>
      <c r="M27" s="700">
        <v>21086.4925</v>
      </c>
      <c r="N27" s="700">
        <v>26886.063500000007</v>
      </c>
      <c r="O27" s="700">
        <v>31625.046080000007</v>
      </c>
      <c r="P27" s="700">
        <v>35194.91429220001</v>
      </c>
      <c r="Q27" s="700">
        <v>42710.150246728001</v>
      </c>
      <c r="R27" s="700">
        <v>48573.538022597124</v>
      </c>
      <c r="S27" s="700">
        <v>49739.384854879274</v>
      </c>
      <c r="T27" s="700">
        <v>58454.684877131062</v>
      </c>
      <c r="U27" s="700">
        <v>60586.918022725011</v>
      </c>
      <c r="V27" s="700">
        <v>60029.008790914588</v>
      </c>
      <c r="W27" s="700">
        <v>69313.893284664315</v>
      </c>
      <c r="X27" s="700">
        <v>74225.797206123214</v>
      </c>
      <c r="Y27" s="700">
        <v>72993.211548214196</v>
      </c>
      <c r="Z27" s="700">
        <v>83269.967673111503</v>
      </c>
      <c r="AA27" s="700">
        <v>88198.283332087434</v>
      </c>
      <c r="AB27" s="700">
        <v>86064.99926607775</v>
      </c>
      <c r="AC27" s="700">
        <v>97591.090325154481</v>
      </c>
      <c r="AD27" s="700">
        <v>102681.12493293645</v>
      </c>
      <c r="AE27" s="700">
        <v>99720.981742875185</v>
      </c>
      <c r="AF27" s="700">
        <v>0</v>
      </c>
      <c r="AG27" s="700">
        <v>0</v>
      </c>
    </row>
    <row r="28" spans="1:33" s="878" customFormat="1" ht="21" outlineLevel="2" thickTop="1">
      <c r="A28" s="861"/>
      <c r="B28" s="274"/>
      <c r="C28" s="737" t="s">
        <v>899</v>
      </c>
      <c r="D28" s="8" t="s">
        <v>26</v>
      </c>
      <c r="E28" s="549"/>
      <c r="F28" s="549"/>
      <c r="G28" s="549"/>
      <c r="H28" s="549"/>
      <c r="J28" s="989">
        <v>0.81206313600602531</v>
      </c>
      <c r="K28" s="989">
        <v>0.79928370985237929</v>
      </c>
      <c r="L28" s="989">
        <v>0.7865373947642208</v>
      </c>
      <c r="M28" s="989">
        <v>0.74834345131374036</v>
      </c>
      <c r="N28" s="989">
        <v>0.78048755246346802</v>
      </c>
      <c r="O28" s="989">
        <v>0.77747147459472266</v>
      </c>
      <c r="P28" s="989">
        <v>0.73751942281565874</v>
      </c>
      <c r="Q28" s="989">
        <v>0.77993131341422073</v>
      </c>
      <c r="R28" s="989">
        <v>0.78048527386861655</v>
      </c>
      <c r="S28" s="989">
        <v>0.73224069191832331</v>
      </c>
      <c r="T28" s="989">
        <v>0.78079721262010249</v>
      </c>
      <c r="U28" s="989">
        <v>0.77056651733023929</v>
      </c>
      <c r="V28" s="989">
        <v>0.71671904648838025</v>
      </c>
      <c r="W28" s="989">
        <v>0.76958606243885885</v>
      </c>
      <c r="X28" s="989">
        <v>0.76950183138096706</v>
      </c>
      <c r="Y28" s="989">
        <v>0.71593755509039336</v>
      </c>
      <c r="Z28" s="989">
        <v>0.76922127018349185</v>
      </c>
      <c r="AA28" s="989">
        <v>0.76913418833923852</v>
      </c>
      <c r="AB28" s="989">
        <v>0.7145156253227084</v>
      </c>
      <c r="AC28" s="989">
        <v>0.76887633040250403</v>
      </c>
      <c r="AD28" s="989">
        <v>0.76878962112521143</v>
      </c>
      <c r="AE28" s="989">
        <v>0.71350386959977441</v>
      </c>
      <c r="AF28" s="989">
        <v>0</v>
      </c>
      <c r="AG28" s="989">
        <v>0</v>
      </c>
    </row>
    <row r="29" spans="1:33" s="878" customFormat="1" ht="18" customHeight="1" outlineLevel="2">
      <c r="A29" s="861"/>
      <c r="B29" s="861"/>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row>
    <row r="30" spans="1:33" s="878" customFormat="1" ht="20.25" outlineLevel="1">
      <c r="A30" s="861"/>
      <c r="B30" s="274">
        <v>2</v>
      </c>
      <c r="C30" s="274" t="str">
        <f>"Customer Lifetime Value (CLTV) - "&amp;PS_01</f>
        <v>Customer Lifetime Value (CLTV) - WonderApp</v>
      </c>
      <c r="D30" s="861"/>
      <c r="E30" s="861"/>
      <c r="F30" s="861"/>
      <c r="G30" s="861"/>
      <c r="H30" s="861"/>
      <c r="I30" s="861"/>
      <c r="J30" s="861"/>
      <c r="K30" s="941"/>
      <c r="L30" s="861"/>
      <c r="M30" s="861"/>
      <c r="N30" s="861"/>
      <c r="O30" s="861"/>
      <c r="P30" s="861"/>
      <c r="Q30" s="861"/>
      <c r="R30" s="861"/>
      <c r="S30" s="861"/>
      <c r="T30" s="861"/>
      <c r="U30" s="861"/>
      <c r="V30" s="861"/>
      <c r="W30" s="861"/>
      <c r="X30" s="861"/>
      <c r="Y30" s="861"/>
      <c r="Z30" s="861"/>
      <c r="AA30" s="861"/>
      <c r="AB30" s="861"/>
      <c r="AC30" s="861"/>
      <c r="AD30" s="861"/>
      <c r="AE30" s="861"/>
      <c r="AF30" s="861"/>
      <c r="AG30" s="861"/>
    </row>
    <row r="31" spans="1:33" s="878" customFormat="1" ht="20.25" outlineLevel="2">
      <c r="A31" s="861"/>
      <c r="B31" s="274"/>
      <c r="C31" s="737" t="s">
        <v>907</v>
      </c>
      <c r="D31" s="8" t="str">
        <f t="shared" ref="D31:D34" si="1">Currency_Label</f>
        <v>USD</v>
      </c>
      <c r="E31" s="549"/>
      <c r="F31" s="549"/>
      <c r="G31" s="549"/>
      <c r="H31" s="549"/>
      <c r="I31" s="800"/>
      <c r="J31" s="965">
        <v>59.00917874396135</v>
      </c>
      <c r="K31" s="965">
        <v>55.252117263843651</v>
      </c>
      <c r="L31" s="965">
        <v>51.952893518518522</v>
      </c>
      <c r="M31" s="965">
        <v>51.078691199129885</v>
      </c>
      <c r="N31" s="965">
        <v>50.521053017525858</v>
      </c>
      <c r="O31" s="965">
        <v>49.836307411836209</v>
      </c>
      <c r="P31" s="965">
        <v>50.438924510739163</v>
      </c>
      <c r="Q31" s="965">
        <v>50.393357510575669</v>
      </c>
      <c r="R31" s="965">
        <v>50.520528601632122</v>
      </c>
      <c r="S31" s="965">
        <v>50.526753290471625</v>
      </c>
      <c r="T31" s="965">
        <v>50.592422352641243</v>
      </c>
      <c r="U31" s="965">
        <v>48.654188874722898</v>
      </c>
      <c r="V31" s="965">
        <v>48.465073853941441</v>
      </c>
      <c r="W31" s="965">
        <v>48.447156097221274</v>
      </c>
      <c r="X31" s="965">
        <v>48.429452029399975</v>
      </c>
      <c r="Y31" s="965">
        <v>48.389169709755237</v>
      </c>
      <c r="Z31" s="965">
        <v>48.370575611000227</v>
      </c>
      <c r="AA31" s="965">
        <v>48.35233038490329</v>
      </c>
      <c r="AB31" s="965">
        <v>48.316915664081854</v>
      </c>
      <c r="AC31" s="965">
        <v>48.29838510023788</v>
      </c>
      <c r="AD31" s="965">
        <v>48.280272080888068</v>
      </c>
      <c r="AE31" s="965">
        <v>48.248853619570681</v>
      </c>
      <c r="AF31" s="965">
        <v>0</v>
      </c>
      <c r="AG31" s="965">
        <v>0</v>
      </c>
    </row>
    <row r="32" spans="1:33" s="878" customFormat="1" ht="20.25" outlineLevel="2">
      <c r="A32" s="861"/>
      <c r="B32" s="274"/>
      <c r="C32" s="737" t="str">
        <f>C25</f>
        <v xml:space="preserve">  - Cost of Sales</v>
      </c>
      <c r="D32" s="8" t="str">
        <f t="shared" si="1"/>
        <v>USD</v>
      </c>
      <c r="E32" s="549"/>
      <c r="F32" s="549"/>
      <c r="G32" s="549"/>
      <c r="H32" s="549"/>
      <c r="I32" s="800"/>
      <c r="J32" s="997">
        <v>-3.7999999999999994</v>
      </c>
      <c r="K32" s="997">
        <v>-3.8</v>
      </c>
      <c r="L32" s="997">
        <v>-3.8000000000000007</v>
      </c>
      <c r="M32" s="997">
        <v>-5.5642871385842465</v>
      </c>
      <c r="N32" s="997">
        <v>-3.7999999999999994</v>
      </c>
      <c r="O32" s="997">
        <v>-3.7999999999999985</v>
      </c>
      <c r="P32" s="997">
        <v>-5.9492380181362412</v>
      </c>
      <c r="Q32" s="997">
        <v>-3.8</v>
      </c>
      <c r="R32" s="997">
        <v>-3.7999999999999994</v>
      </c>
      <c r="S32" s="997">
        <v>-6.2390085006702645</v>
      </c>
      <c r="T32" s="997">
        <v>-3.7999999999999994</v>
      </c>
      <c r="U32" s="997">
        <v>-3.7999999999999994</v>
      </c>
      <c r="V32" s="997">
        <v>-6.3663323333556079</v>
      </c>
      <c r="W32" s="997">
        <v>-3.8</v>
      </c>
      <c r="X32" s="997">
        <v>-3.8</v>
      </c>
      <c r="Y32" s="997">
        <v>-6.3826458548989526</v>
      </c>
      <c r="Z32" s="997">
        <v>-3.7999999999999994</v>
      </c>
      <c r="AA32" s="997">
        <v>-3.8000000000000007</v>
      </c>
      <c r="AB32" s="997">
        <v>-6.4308244546958475</v>
      </c>
      <c r="AC32" s="997">
        <v>-3.8</v>
      </c>
      <c r="AD32" s="997">
        <v>-3.8000000000000007</v>
      </c>
      <c r="AE32" s="997">
        <v>-6.4602098582539202</v>
      </c>
      <c r="AF32" s="997">
        <v>0</v>
      </c>
      <c r="AG32" s="997">
        <v>0</v>
      </c>
    </row>
    <row r="33" spans="1:33" s="878" customFormat="1" ht="20.25" outlineLevel="2">
      <c r="A33" s="861"/>
      <c r="B33" s="274"/>
      <c r="C33" s="737" t="str">
        <f>C26</f>
        <v xml:space="preserve">  - Direct Labor Expense</v>
      </c>
      <c r="D33" s="8" t="str">
        <f t="shared" si="1"/>
        <v>USD</v>
      </c>
      <c r="E33" s="549"/>
      <c r="F33" s="549"/>
      <c r="G33" s="549"/>
      <c r="H33" s="549"/>
      <c r="I33" s="800"/>
      <c r="J33" s="965">
        <v>-7.2900000000000009</v>
      </c>
      <c r="K33" s="965">
        <v>-7.2900000000000009</v>
      </c>
      <c r="L33" s="965">
        <v>-7.2900000000000018</v>
      </c>
      <c r="M33" s="965">
        <v>-7.29</v>
      </c>
      <c r="N33" s="965">
        <v>-7.2900000000000009</v>
      </c>
      <c r="O33" s="965">
        <v>-7.2899999999999991</v>
      </c>
      <c r="P33" s="965">
        <v>-7.2899999999999983</v>
      </c>
      <c r="Q33" s="965">
        <v>-7.2899999999999991</v>
      </c>
      <c r="R33" s="965">
        <v>-7.2900000000000009</v>
      </c>
      <c r="S33" s="965">
        <v>-7.29</v>
      </c>
      <c r="T33" s="965">
        <v>-7.2900000000000009</v>
      </c>
      <c r="U33" s="965">
        <v>-7.3629000000000007</v>
      </c>
      <c r="V33" s="965">
        <v>-7.3629000000000016</v>
      </c>
      <c r="W33" s="965">
        <v>-7.3629000000000007</v>
      </c>
      <c r="X33" s="965">
        <v>-7.3629000000000007</v>
      </c>
      <c r="Y33" s="965">
        <v>-7.3629000000000007</v>
      </c>
      <c r="Z33" s="965">
        <v>-7.3628999999999989</v>
      </c>
      <c r="AA33" s="965">
        <v>-7.3629000000000016</v>
      </c>
      <c r="AB33" s="965">
        <v>-7.3629000000000007</v>
      </c>
      <c r="AC33" s="965">
        <v>-7.3629000000000007</v>
      </c>
      <c r="AD33" s="965">
        <v>-7.3628999999999998</v>
      </c>
      <c r="AE33" s="965">
        <v>-7.3629000000000007</v>
      </c>
      <c r="AF33" s="965">
        <v>0</v>
      </c>
      <c r="AG33" s="965">
        <v>0</v>
      </c>
    </row>
    <row r="34" spans="1:33" s="878" customFormat="1" ht="20.25" outlineLevel="2">
      <c r="A34" s="861"/>
      <c r="B34" s="274"/>
      <c r="C34" s="78" t="s">
        <v>972</v>
      </c>
      <c r="D34" s="8" t="str">
        <f t="shared" si="1"/>
        <v>USD</v>
      </c>
      <c r="E34" s="549"/>
      <c r="F34" s="549"/>
      <c r="G34" s="549"/>
      <c r="H34" s="549"/>
      <c r="I34" s="800"/>
      <c r="J34" s="965">
        <v>-9.1824438964668573</v>
      </c>
      <c r="K34" s="965">
        <v>-8.9315423652893458</v>
      </c>
      <c r="L34" s="965">
        <v>-9.9165479650052397</v>
      </c>
      <c r="M34" s="965">
        <v>-8.596712606776439</v>
      </c>
      <c r="N34" s="965">
        <v>-8.0759619287245972</v>
      </c>
      <c r="O34" s="965">
        <v>-8.0369813512794845</v>
      </c>
      <c r="P34" s="965">
        <v>-7.884206595806404</v>
      </c>
      <c r="Q34" s="965">
        <v>-7.8702833867731732</v>
      </c>
      <c r="R34" s="965">
        <v>-7.8567550168457236</v>
      </c>
      <c r="S34" s="965">
        <v>-7.835925398193945</v>
      </c>
      <c r="T34" s="965">
        <v>-7.8339975364351124</v>
      </c>
      <c r="U34" s="965">
        <v>-8.0548840708002842</v>
      </c>
      <c r="V34" s="965">
        <v>-7.9156731840240919</v>
      </c>
      <c r="W34" s="965">
        <v>-7.9149054564483077</v>
      </c>
      <c r="X34" s="965">
        <v>-7.9101425207318981</v>
      </c>
      <c r="Y34" s="965">
        <v>-8.0208787424474579</v>
      </c>
      <c r="Z34" s="965">
        <v>-8.1698711960087582</v>
      </c>
      <c r="AA34" s="965">
        <v>-7.9408079433509275</v>
      </c>
      <c r="AB34" s="965">
        <v>-7.9755330249990868</v>
      </c>
      <c r="AC34" s="965">
        <v>-7.9309671986608947</v>
      </c>
      <c r="AD34" s="965">
        <v>-7.8979427904609514</v>
      </c>
      <c r="AE34" s="965">
        <v>-7.8938756094794993</v>
      </c>
      <c r="AF34" s="965">
        <v>0</v>
      </c>
      <c r="AG34" s="965">
        <v>0</v>
      </c>
    </row>
    <row r="35" spans="1:33" s="878" customFormat="1" ht="20.25" outlineLevel="2">
      <c r="A35" s="861"/>
      <c r="B35" s="274"/>
      <c r="C35" s="1045" t="s">
        <v>951</v>
      </c>
      <c r="D35" s="8" t="str">
        <f t="shared" ref="D35:D45" si="2">Currency_Label</f>
        <v>USD</v>
      </c>
      <c r="G35" s="549"/>
      <c r="H35" s="549"/>
      <c r="I35" s="800"/>
      <c r="J35" s="1047">
        <v>38.736734847494496</v>
      </c>
      <c r="K35" s="1047">
        <v>35.230574898554309</v>
      </c>
      <c r="L35" s="1047">
        <v>30.946345553513286</v>
      </c>
      <c r="M35" s="1047">
        <v>29.627691453769199</v>
      </c>
      <c r="N35" s="1047">
        <v>31.355091088801267</v>
      </c>
      <c r="O35" s="1047">
        <v>30.709326060556727</v>
      </c>
      <c r="P35" s="1047">
        <v>29.315479896796518</v>
      </c>
      <c r="Q35" s="1047">
        <v>31.433074123802498</v>
      </c>
      <c r="R35" s="1047">
        <v>31.573773584786402</v>
      </c>
      <c r="S35" s="1047">
        <v>29.161819391607416</v>
      </c>
      <c r="T35" s="1047">
        <v>31.668424816206134</v>
      </c>
      <c r="U35" s="1047">
        <v>29.436404803922613</v>
      </c>
      <c r="V35" s="1047">
        <v>26.820168336561736</v>
      </c>
      <c r="W35" s="1047">
        <v>29.369350640772964</v>
      </c>
      <c r="X35" s="1047">
        <v>29.356409508668076</v>
      </c>
      <c r="Y35" s="1047">
        <v>26.622745112408822</v>
      </c>
      <c r="Z35" s="1047">
        <v>29.037804414991477</v>
      </c>
      <c r="AA35" s="1047">
        <v>29.248622441552357</v>
      </c>
      <c r="AB35" s="1047">
        <v>26.547658184386918</v>
      </c>
      <c r="AC35" s="1047">
        <v>29.204517901576985</v>
      </c>
      <c r="AD35" s="1047">
        <v>29.219429290427122</v>
      </c>
      <c r="AE35" s="1047">
        <v>26.531868151837259</v>
      </c>
      <c r="AF35" s="1047">
        <v>0</v>
      </c>
      <c r="AG35" s="1047">
        <v>0</v>
      </c>
    </row>
    <row r="36" spans="1:33" s="878" customFormat="1" ht="20.25" outlineLevel="2">
      <c r="A36" s="861"/>
      <c r="B36" s="274"/>
      <c r="C36" s="737" t="s">
        <v>923</v>
      </c>
      <c r="D36" s="8" t="s">
        <v>908</v>
      </c>
      <c r="E36" s="991">
        <f>Inputs!$H$31</f>
        <v>3</v>
      </c>
      <c r="F36" s="992">
        <f>Inputs!$F$33</f>
        <v>0.95</v>
      </c>
      <c r="G36" s="996">
        <v>59.999999999999943</v>
      </c>
      <c r="H36" s="549"/>
      <c r="I36" s="800"/>
      <c r="J36" s="993">
        <v>59.999999999999943</v>
      </c>
      <c r="K36" s="993">
        <v>59.999999999999943</v>
      </c>
      <c r="L36" s="993">
        <v>59.999999999999943</v>
      </c>
      <c r="M36" s="993">
        <v>59.999999999999943</v>
      </c>
      <c r="N36" s="993">
        <v>59.999999999999943</v>
      </c>
      <c r="O36" s="993">
        <v>59.999999999999943</v>
      </c>
      <c r="P36" s="993">
        <v>59.999999999999943</v>
      </c>
      <c r="Q36" s="993">
        <v>59.999999999999943</v>
      </c>
      <c r="R36" s="993">
        <v>59.999999999999943</v>
      </c>
      <c r="S36" s="993">
        <v>59.999999999999943</v>
      </c>
      <c r="T36" s="993">
        <v>59.999999999999943</v>
      </c>
      <c r="U36" s="993">
        <v>59.999999999999943</v>
      </c>
      <c r="V36" s="993">
        <v>59.999999999999943</v>
      </c>
      <c r="W36" s="993">
        <v>59.999999999999943</v>
      </c>
      <c r="X36" s="993">
        <v>59.999999999999943</v>
      </c>
      <c r="Y36" s="993">
        <v>59.999999999999943</v>
      </c>
      <c r="Z36" s="993">
        <v>59.999999999999943</v>
      </c>
      <c r="AA36" s="993">
        <v>59.999999999999943</v>
      </c>
      <c r="AB36" s="993">
        <v>59.999999999999943</v>
      </c>
      <c r="AC36" s="993">
        <v>59.999999999999943</v>
      </c>
      <c r="AD36" s="993">
        <v>59.999999999999943</v>
      </c>
      <c r="AE36" s="993">
        <v>59.999999999999943</v>
      </c>
      <c r="AF36" s="993">
        <v>0</v>
      </c>
      <c r="AG36" s="993">
        <v>0</v>
      </c>
    </row>
    <row r="37" spans="1:33" s="878" customFormat="1" ht="20.25" outlineLevel="2">
      <c r="A37" s="861"/>
      <c r="B37" s="274"/>
      <c r="C37" s="737" t="s">
        <v>909</v>
      </c>
      <c r="D37" s="8" t="str">
        <f t="shared" si="2"/>
        <v>USD</v>
      </c>
      <c r="E37" s="549"/>
      <c r="F37" s="549"/>
      <c r="G37" s="549"/>
      <c r="H37" s="549"/>
      <c r="I37" s="800"/>
      <c r="J37" s="230">
        <v>2324.2040908496674</v>
      </c>
      <c r="K37" s="230">
        <v>2113.8344939132567</v>
      </c>
      <c r="L37" s="230">
        <v>1856.7807332107955</v>
      </c>
      <c r="M37" s="230">
        <v>1777.6614872261503</v>
      </c>
      <c r="N37" s="230">
        <v>1881.3054653280742</v>
      </c>
      <c r="O37" s="230">
        <v>1842.5595636334019</v>
      </c>
      <c r="P37" s="230">
        <v>1758.9287938077894</v>
      </c>
      <c r="Q37" s="230">
        <v>1885.9844474281481</v>
      </c>
      <c r="R37" s="230">
        <v>1894.4264150871822</v>
      </c>
      <c r="S37" s="230">
        <v>1749.7091634964434</v>
      </c>
      <c r="T37" s="230">
        <v>1900.1054889723662</v>
      </c>
      <c r="U37" s="230">
        <v>1766.1842882353551</v>
      </c>
      <c r="V37" s="230">
        <v>1609.2101001937026</v>
      </c>
      <c r="W37" s="230">
        <v>1762.1610384463761</v>
      </c>
      <c r="X37" s="230">
        <v>1761.3845705200829</v>
      </c>
      <c r="Y37" s="230">
        <v>1597.3647067445279</v>
      </c>
      <c r="Z37" s="230">
        <v>1742.2682648994869</v>
      </c>
      <c r="AA37" s="230">
        <v>1754.9173464931398</v>
      </c>
      <c r="AB37" s="230">
        <v>1592.8594910632137</v>
      </c>
      <c r="AC37" s="230">
        <v>1752.2710740946175</v>
      </c>
      <c r="AD37" s="230">
        <v>1753.1657574256258</v>
      </c>
      <c r="AE37" s="230">
        <v>1591.9120891102341</v>
      </c>
      <c r="AF37" s="230">
        <v>0</v>
      </c>
      <c r="AG37" s="230">
        <v>0</v>
      </c>
    </row>
    <row r="38" spans="1:33" s="878" customFormat="1" ht="20.25" outlineLevel="2">
      <c r="A38" s="861"/>
      <c r="B38" s="274"/>
      <c r="C38" s="778" t="s">
        <v>910</v>
      </c>
      <c r="D38" s="994"/>
      <c r="E38" s="994"/>
      <c r="F38" s="994"/>
      <c r="G38" s="994"/>
      <c r="H38" s="994"/>
      <c r="I38" s="861"/>
      <c r="J38" s="994"/>
      <c r="K38" s="994"/>
      <c r="L38" s="994"/>
      <c r="M38" s="994"/>
      <c r="N38" s="994"/>
      <c r="O38" s="994"/>
      <c r="P38" s="994"/>
      <c r="Q38" s="994"/>
      <c r="R38" s="994"/>
      <c r="S38" s="994"/>
      <c r="T38" s="994"/>
      <c r="U38" s="994"/>
      <c r="V38" s="994"/>
      <c r="W38" s="994"/>
      <c r="X38" s="994"/>
      <c r="Y38" s="994"/>
      <c r="Z38" s="994"/>
      <c r="AA38" s="994"/>
      <c r="AB38" s="994"/>
      <c r="AC38" s="994"/>
      <c r="AD38" s="994"/>
      <c r="AE38" s="994"/>
      <c r="AF38" s="994"/>
      <c r="AG38" s="994"/>
    </row>
    <row r="39" spans="1:33" s="878" customFormat="1" ht="20.25" outlineLevel="2">
      <c r="A39" s="861"/>
      <c r="B39" s="274"/>
      <c r="C39" s="452" t="s">
        <v>911</v>
      </c>
      <c r="D39" s="8" t="str">
        <f t="shared" si="2"/>
        <v>USD</v>
      </c>
      <c r="E39" s="549"/>
      <c r="F39" s="549"/>
      <c r="G39" s="549"/>
      <c r="H39" s="549"/>
      <c r="I39" s="800"/>
      <c r="J39" s="965">
        <v>-5</v>
      </c>
      <c r="K39" s="965">
        <v>-5</v>
      </c>
      <c r="L39" s="965">
        <v>-5</v>
      </c>
      <c r="M39" s="965">
        <v>-5</v>
      </c>
      <c r="N39" s="965">
        <v>-5</v>
      </c>
      <c r="O39" s="965">
        <v>-5</v>
      </c>
      <c r="P39" s="965">
        <v>-5</v>
      </c>
      <c r="Q39" s="965">
        <v>-5</v>
      </c>
      <c r="R39" s="965">
        <v>-5</v>
      </c>
      <c r="S39" s="965">
        <v>-5</v>
      </c>
      <c r="T39" s="965">
        <v>-5</v>
      </c>
      <c r="U39" s="965">
        <v>-5</v>
      </c>
      <c r="V39" s="965">
        <v>-5</v>
      </c>
      <c r="W39" s="965">
        <v>-5</v>
      </c>
      <c r="X39" s="965">
        <v>-5</v>
      </c>
      <c r="Y39" s="965">
        <v>-5</v>
      </c>
      <c r="Z39" s="965">
        <v>-5</v>
      </c>
      <c r="AA39" s="965">
        <v>-5</v>
      </c>
      <c r="AB39" s="965">
        <v>-5</v>
      </c>
      <c r="AC39" s="965">
        <v>-5</v>
      </c>
      <c r="AD39" s="965">
        <v>-5</v>
      </c>
      <c r="AE39" s="965">
        <v>-5</v>
      </c>
      <c r="AF39" s="965">
        <v>0</v>
      </c>
      <c r="AG39" s="965">
        <v>0</v>
      </c>
    </row>
    <row r="40" spans="1:33" s="878" customFormat="1" ht="20.25" outlineLevel="2">
      <c r="A40" s="861"/>
      <c r="B40" s="274"/>
      <c r="C40" s="452" t="s">
        <v>1009</v>
      </c>
      <c r="D40" s="8" t="str">
        <f t="shared" si="2"/>
        <v>USD</v>
      </c>
      <c r="E40" s="549"/>
      <c r="F40" s="990" t="s">
        <v>761</v>
      </c>
      <c r="G40" s="679">
        <v>0</v>
      </c>
      <c r="H40" s="549"/>
      <c r="I40" s="800"/>
      <c r="J40" s="965">
        <v>0</v>
      </c>
      <c r="K40" s="965">
        <v>0</v>
      </c>
      <c r="L40" s="965">
        <v>0</v>
      </c>
      <c r="M40" s="965">
        <v>0</v>
      </c>
      <c r="N40" s="965">
        <v>0</v>
      </c>
      <c r="O40" s="965">
        <v>0</v>
      </c>
      <c r="P40" s="965">
        <v>0</v>
      </c>
      <c r="Q40" s="965">
        <v>0</v>
      </c>
      <c r="R40" s="965">
        <v>0</v>
      </c>
      <c r="S40" s="965">
        <v>0</v>
      </c>
      <c r="T40" s="965">
        <v>0</v>
      </c>
      <c r="U40" s="965">
        <v>0</v>
      </c>
      <c r="V40" s="965">
        <v>0</v>
      </c>
      <c r="W40" s="965">
        <v>0</v>
      </c>
      <c r="X40" s="965">
        <v>0</v>
      </c>
      <c r="Y40" s="965">
        <v>0</v>
      </c>
      <c r="Z40" s="965">
        <v>0</v>
      </c>
      <c r="AA40" s="965">
        <v>0</v>
      </c>
      <c r="AB40" s="965">
        <v>0</v>
      </c>
      <c r="AC40" s="965">
        <v>0</v>
      </c>
      <c r="AD40" s="965">
        <v>0</v>
      </c>
      <c r="AE40" s="965">
        <v>0</v>
      </c>
      <c r="AF40" s="965">
        <v>0</v>
      </c>
      <c r="AG40" s="965">
        <v>0</v>
      </c>
    </row>
    <row r="41" spans="1:33" s="878" customFormat="1" ht="20.25" outlineLevel="2">
      <c r="A41" s="861"/>
      <c r="B41" s="274"/>
      <c r="C41" s="452" t="s">
        <v>912</v>
      </c>
      <c r="D41" s="8" t="str">
        <f t="shared" si="2"/>
        <v>USD</v>
      </c>
      <c r="E41" s="549"/>
      <c r="F41" s="549"/>
      <c r="G41" s="549"/>
      <c r="H41" s="549"/>
      <c r="I41" s="800"/>
      <c r="J41" s="965">
        <v>-3.5999999999999996</v>
      </c>
      <c r="K41" s="965">
        <v>-3.5999999999999996</v>
      </c>
      <c r="L41" s="965">
        <v>-3.5999999999999996</v>
      </c>
      <c r="M41" s="965">
        <v>-3.5999999999999996</v>
      </c>
      <c r="N41" s="965">
        <v>-3.5999999999999996</v>
      </c>
      <c r="O41" s="965">
        <v>-3.5999999999999996</v>
      </c>
      <c r="P41" s="965">
        <v>-3.5999999999999996</v>
      </c>
      <c r="Q41" s="965">
        <v>-3.5999999999999996</v>
      </c>
      <c r="R41" s="965">
        <v>-3.5999999999999996</v>
      </c>
      <c r="S41" s="965">
        <v>-3.5999999999999996</v>
      </c>
      <c r="T41" s="965">
        <v>-3.5999999999999996</v>
      </c>
      <c r="U41" s="965">
        <v>-3.5999999999999996</v>
      </c>
      <c r="V41" s="965">
        <v>-3.5999999999999996</v>
      </c>
      <c r="W41" s="965">
        <v>-3.5999999999999996</v>
      </c>
      <c r="X41" s="965">
        <v>-3.5999999999999996</v>
      </c>
      <c r="Y41" s="965">
        <v>-3.5999999999999996</v>
      </c>
      <c r="Z41" s="965">
        <v>-3.5999999999999996</v>
      </c>
      <c r="AA41" s="965">
        <v>-3.5999999999999996</v>
      </c>
      <c r="AB41" s="965">
        <v>-3.5999999999999996</v>
      </c>
      <c r="AC41" s="965">
        <v>-3.5999999999999996</v>
      </c>
      <c r="AD41" s="965">
        <v>-3.5999999999999996</v>
      </c>
      <c r="AE41" s="965">
        <v>-3.5999999999999996</v>
      </c>
      <c r="AF41" s="965">
        <v>0</v>
      </c>
      <c r="AG41" s="965">
        <v>0</v>
      </c>
    </row>
    <row r="42" spans="1:33" s="878" customFormat="1" ht="20.25" outlineLevel="2">
      <c r="A42" s="861"/>
      <c r="B42" s="274"/>
      <c r="C42" s="452" t="s">
        <v>913</v>
      </c>
      <c r="D42" s="8" t="str">
        <f t="shared" si="2"/>
        <v>USD</v>
      </c>
      <c r="E42" s="549"/>
      <c r="F42" s="549"/>
      <c r="G42" s="549"/>
      <c r="H42" s="549"/>
      <c r="I42" s="800"/>
      <c r="J42" s="965">
        <v>-52.373926713071654</v>
      </c>
      <c r="K42" s="965">
        <v>-46.491676049672826</v>
      </c>
      <c r="L42" s="965">
        <v>-83.219841344052995</v>
      </c>
      <c r="M42" s="965">
        <v>-49.481507191663248</v>
      </c>
      <c r="N42" s="965">
        <v>-31.698443647347311</v>
      </c>
      <c r="O42" s="965">
        <v>-31.876729605328176</v>
      </c>
      <c r="P42" s="965">
        <v>-24.941292753664428</v>
      </c>
      <c r="Q42" s="965">
        <v>-24.754202711610393</v>
      </c>
      <c r="R42" s="965">
        <v>-24.569449183548521</v>
      </c>
      <c r="S42" s="965">
        <v>-24.364332233459699</v>
      </c>
      <c r="T42" s="965">
        <v>-24.214774359543405</v>
      </c>
      <c r="U42" s="965">
        <v>-34.588090979611003</v>
      </c>
      <c r="V42" s="965">
        <v>-24.047772261412476</v>
      </c>
      <c r="W42" s="965">
        <v>-23.913392418524765</v>
      </c>
      <c r="X42" s="965">
        <v>-23.773101513569152</v>
      </c>
      <c r="Y42" s="965">
        <v>-34.438530540767829</v>
      </c>
      <c r="Z42" s="965">
        <v>-48.454611373828683</v>
      </c>
      <c r="AA42" s="965">
        <v>-27.382437348173251</v>
      </c>
      <c r="AB42" s="965">
        <v>-31.139843426705056</v>
      </c>
      <c r="AC42" s="965">
        <v>-26.847761254507422</v>
      </c>
      <c r="AD42" s="965">
        <v>-23.753669083691456</v>
      </c>
      <c r="AE42" s="965">
        <v>-23.617270628164942</v>
      </c>
      <c r="AF42" s="965">
        <v>0</v>
      </c>
      <c r="AG42" s="965">
        <v>0</v>
      </c>
    </row>
    <row r="43" spans="1:33" s="878" customFormat="1" ht="20.25" outlineLevel="2">
      <c r="A43" s="861"/>
      <c r="B43" s="274"/>
      <c r="C43" s="1046" t="s">
        <v>914</v>
      </c>
      <c r="D43" s="8" t="str">
        <f t="shared" si="2"/>
        <v>USD</v>
      </c>
      <c r="E43" s="549"/>
      <c r="F43" s="549"/>
      <c r="G43" s="549"/>
      <c r="H43" s="549"/>
      <c r="I43" s="800"/>
      <c r="J43" s="1047">
        <v>-60.973926713071656</v>
      </c>
      <c r="K43" s="1047">
        <v>-55.091676049672827</v>
      </c>
      <c r="L43" s="1047">
        <v>-91.819841344052989</v>
      </c>
      <c r="M43" s="1047">
        <v>-58.081507191663249</v>
      </c>
      <c r="N43" s="1047">
        <v>-40.298443647347312</v>
      </c>
      <c r="O43" s="1047">
        <v>-40.476729605328174</v>
      </c>
      <c r="P43" s="1047">
        <v>-33.541292753664429</v>
      </c>
      <c r="Q43" s="1047">
        <v>-33.354202711610391</v>
      </c>
      <c r="R43" s="1047">
        <v>-33.169449183548522</v>
      </c>
      <c r="S43" s="1047">
        <v>-32.9643322334597</v>
      </c>
      <c r="T43" s="1047">
        <v>-32.814774359543406</v>
      </c>
      <c r="U43" s="1047">
        <v>-43.188090979611005</v>
      </c>
      <c r="V43" s="1047">
        <v>-32.647772261412477</v>
      </c>
      <c r="W43" s="1047">
        <v>-32.513392418524766</v>
      </c>
      <c r="X43" s="1047">
        <v>-32.373101513569154</v>
      </c>
      <c r="Y43" s="1047">
        <v>-43.03853054076783</v>
      </c>
      <c r="Z43" s="1047">
        <v>-57.054611373828685</v>
      </c>
      <c r="AA43" s="1047">
        <v>-35.982437348173249</v>
      </c>
      <c r="AB43" s="1047">
        <v>-39.739843426705058</v>
      </c>
      <c r="AC43" s="1047">
        <v>-35.447761254507419</v>
      </c>
      <c r="AD43" s="1047">
        <v>-32.353669083691457</v>
      </c>
      <c r="AE43" s="1047">
        <v>-32.21727062816494</v>
      </c>
      <c r="AF43" s="1047">
        <v>0</v>
      </c>
      <c r="AG43" s="1047">
        <v>0</v>
      </c>
    </row>
    <row r="44" spans="1:33" s="878" customFormat="1" ht="20.25" outlineLevel="2">
      <c r="A44" s="861"/>
      <c r="B44" s="274"/>
      <c r="C44" s="737" t="s">
        <v>922</v>
      </c>
      <c r="D44" s="8" t="str">
        <f t="shared" si="2"/>
        <v>USD</v>
      </c>
      <c r="E44" s="549"/>
      <c r="F44" s="549"/>
      <c r="G44" s="549"/>
      <c r="H44" s="549"/>
      <c r="I44" s="800"/>
      <c r="J44" s="965">
        <v>2263.2301641365957</v>
      </c>
      <c r="K44" s="965">
        <v>2058.7428178635837</v>
      </c>
      <c r="L44" s="965">
        <v>1764.9608918667425</v>
      </c>
      <c r="M44" s="965">
        <v>1719.5799800344871</v>
      </c>
      <c r="N44" s="965">
        <v>1841.0070216807269</v>
      </c>
      <c r="O44" s="965">
        <v>1802.0828340280736</v>
      </c>
      <c r="P44" s="965">
        <v>1725.3875010541249</v>
      </c>
      <c r="Q44" s="965">
        <v>1852.6302447165376</v>
      </c>
      <c r="R44" s="965">
        <v>1861.2569659036337</v>
      </c>
      <c r="S44" s="965">
        <v>1716.7448312629836</v>
      </c>
      <c r="T44" s="965">
        <v>1867.2907146128227</v>
      </c>
      <c r="U44" s="965">
        <v>1722.9961972557442</v>
      </c>
      <c r="V44" s="965">
        <v>1576.5623279322901</v>
      </c>
      <c r="W44" s="965">
        <v>1729.6476460278514</v>
      </c>
      <c r="X44" s="965">
        <v>1729.0114690065138</v>
      </c>
      <c r="Y44" s="965">
        <v>1554.32617620376</v>
      </c>
      <c r="Z44" s="965">
        <v>1685.2136535256582</v>
      </c>
      <c r="AA44" s="965">
        <v>1718.9349091449665</v>
      </c>
      <c r="AB44" s="965">
        <v>1553.1196476365087</v>
      </c>
      <c r="AC44" s="965">
        <v>1716.82331284011</v>
      </c>
      <c r="AD44" s="965">
        <v>1720.8120883419342</v>
      </c>
      <c r="AE44" s="965">
        <v>1559.6948184820692</v>
      </c>
      <c r="AF44" s="965">
        <v>0</v>
      </c>
      <c r="AG44" s="965">
        <v>0</v>
      </c>
    </row>
    <row r="45" spans="1:33" s="878" customFormat="1" ht="20.25" outlineLevel="2">
      <c r="A45" s="861"/>
      <c r="B45" s="274"/>
      <c r="C45" s="737" t="s">
        <v>921</v>
      </c>
      <c r="D45" s="8" t="str">
        <f t="shared" si="2"/>
        <v>USD</v>
      </c>
      <c r="F45" s="990" t="s">
        <v>915</v>
      </c>
      <c r="G45" s="84">
        <v>0.06</v>
      </c>
      <c r="H45" s="995">
        <v>0.9916666666666667</v>
      </c>
      <c r="I45" s="800"/>
      <c r="J45" s="965">
        <v>2244.369912768791</v>
      </c>
      <c r="K45" s="965">
        <v>2041.5866277147206</v>
      </c>
      <c r="L45" s="965">
        <v>1750.2528844345197</v>
      </c>
      <c r="M45" s="965">
        <v>1705.2501468675332</v>
      </c>
      <c r="N45" s="965">
        <v>1825.6652965000542</v>
      </c>
      <c r="O45" s="965">
        <v>1787.0654770778397</v>
      </c>
      <c r="P45" s="965">
        <v>1711.0092718786739</v>
      </c>
      <c r="Q45" s="965">
        <v>1837.1916593438998</v>
      </c>
      <c r="R45" s="965">
        <v>1845.7464911877701</v>
      </c>
      <c r="S45" s="965">
        <v>1702.4386243357922</v>
      </c>
      <c r="T45" s="965">
        <v>1851.729958657716</v>
      </c>
      <c r="U45" s="965">
        <v>1708.6378956119463</v>
      </c>
      <c r="V45" s="965">
        <v>1563.4243085328544</v>
      </c>
      <c r="W45" s="965">
        <v>1715.2339156442861</v>
      </c>
      <c r="X45" s="965">
        <v>1714.6030400981263</v>
      </c>
      <c r="Y45" s="965">
        <v>1541.3734580687287</v>
      </c>
      <c r="Z45" s="965">
        <v>1671.1702064129445</v>
      </c>
      <c r="AA45" s="965">
        <v>1704.6104515687584</v>
      </c>
      <c r="AB45" s="965">
        <v>1540.1769839062044</v>
      </c>
      <c r="AC45" s="965">
        <v>1702.5164518997758</v>
      </c>
      <c r="AD45" s="965">
        <v>1706.4719876057516</v>
      </c>
      <c r="AE45" s="965">
        <v>1546.6973616613852</v>
      </c>
      <c r="AF45" s="965">
        <v>0</v>
      </c>
      <c r="AG45" s="965">
        <v>0</v>
      </c>
    </row>
    <row r="46" spans="1:33" s="878" customFormat="1" ht="16.5" customHeight="1" outlineLevel="2">
      <c r="A46" s="861"/>
      <c r="B46" s="994"/>
      <c r="C46" s="994"/>
      <c r="D46" s="994"/>
      <c r="E46" s="994"/>
      <c r="F46" s="994"/>
      <c r="G46" s="994"/>
      <c r="H46" s="994"/>
      <c r="I46" s="861"/>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row>
    <row r="47" spans="1:33" s="878" customFormat="1" ht="20.25" outlineLevel="2">
      <c r="A47" s="861"/>
      <c r="B47" s="274"/>
      <c r="C47" s="878" t="s">
        <v>900</v>
      </c>
      <c r="D47" s="8" t="s">
        <v>26</v>
      </c>
      <c r="E47" s="549"/>
      <c r="F47" s="800"/>
      <c r="G47" s="549"/>
      <c r="H47" s="549"/>
      <c r="I47" s="800"/>
      <c r="J47" s="998">
        <v>0</v>
      </c>
      <c r="K47" s="998">
        <v>0</v>
      </c>
      <c r="L47" s="998">
        <v>0</v>
      </c>
      <c r="M47" s="998">
        <v>-2.3958333333333286E-2</v>
      </c>
      <c r="N47" s="998">
        <v>-9.0637179370977976E-3</v>
      </c>
      <c r="O47" s="998">
        <v>-9.16623890885092E-3</v>
      </c>
      <c r="P47" s="998">
        <v>-2.001021798365122E-2</v>
      </c>
      <c r="Q47" s="998">
        <v>-1.2165632454026219E-2</v>
      </c>
      <c r="R47" s="998">
        <v>-1.1933510112164519E-2</v>
      </c>
      <c r="S47" s="998">
        <v>-4.2194363471311419E-2</v>
      </c>
      <c r="T47" s="998">
        <v>-2.6544447783565107E-2</v>
      </c>
      <c r="U47" s="998">
        <v>-2.8154369773890388E-2</v>
      </c>
      <c r="V47" s="998">
        <v>-4.5110318764193857E-2</v>
      </c>
      <c r="W47" s="998">
        <v>-3.5600545280983394E-2</v>
      </c>
      <c r="X47" s="998">
        <v>-3.6276938458768025E-2</v>
      </c>
      <c r="Y47" s="998">
        <v>-4.6649387719291231E-2</v>
      </c>
      <c r="Z47" s="998">
        <v>-4.0558282562505453E-2</v>
      </c>
      <c r="AA47" s="998">
        <v>-4.0885439967941306E-2</v>
      </c>
      <c r="AB47" s="998">
        <v>-4.7544459107722516E-2</v>
      </c>
      <c r="AC47" s="998">
        <v>-4.3512660514082625E-2</v>
      </c>
      <c r="AD47" s="998">
        <v>-4.3688082397995008E-2</v>
      </c>
      <c r="AE47" s="998">
        <v>-4.8094496699940474E-2</v>
      </c>
      <c r="AF47" s="998">
        <v>0</v>
      </c>
      <c r="AG47" s="998">
        <v>0</v>
      </c>
    </row>
    <row r="48" spans="1:33" s="878" customFormat="1" ht="20.25" outlineLevel="2">
      <c r="A48" s="861"/>
      <c r="B48" s="274"/>
      <c r="C48" s="878" t="s">
        <v>916</v>
      </c>
      <c r="D48" s="8" t="s">
        <v>917</v>
      </c>
      <c r="E48" s="549"/>
      <c r="G48" s="549"/>
      <c r="H48" s="549"/>
      <c r="I48" s="800"/>
      <c r="J48" s="1037">
        <v>36.808682559190345</v>
      </c>
      <c r="K48" s="1037">
        <v>37.057987233387955</v>
      </c>
      <c r="L48" s="1037">
        <v>19.061815603408039</v>
      </c>
      <c r="M48" s="1037">
        <v>29.359605652800568</v>
      </c>
      <c r="N48" s="1037">
        <v>45.303617987744062</v>
      </c>
      <c r="O48" s="1037">
        <v>44.150441364773663</v>
      </c>
      <c r="P48" s="1037">
        <v>51.012025220516996</v>
      </c>
      <c r="Q48" s="1037">
        <v>55.081264428017185</v>
      </c>
      <c r="R48" s="1037">
        <v>55.645979557092815</v>
      </c>
      <c r="S48" s="1037">
        <v>51.64486913548852</v>
      </c>
      <c r="T48" s="1037">
        <v>56.429763568347802</v>
      </c>
      <c r="U48" s="1037">
        <v>39.562709461239912</v>
      </c>
      <c r="V48" s="1037">
        <v>47.887626022824207</v>
      </c>
      <c r="W48" s="1037">
        <v>52.754689315871502</v>
      </c>
      <c r="X48" s="1037">
        <v>52.963817488400117</v>
      </c>
      <c r="Y48" s="1037">
        <v>35.813803089970222</v>
      </c>
      <c r="Z48" s="1037">
        <v>29.290712287272207</v>
      </c>
      <c r="AA48" s="1037">
        <v>47.373401503478135</v>
      </c>
      <c r="AB48" s="1037">
        <v>38.756493511275643</v>
      </c>
      <c r="AC48" s="1037">
        <v>48.028885087440877</v>
      </c>
      <c r="AD48" s="1037">
        <v>52.744311107080414</v>
      </c>
      <c r="AE48" s="1037">
        <v>48.00833005106378</v>
      </c>
      <c r="AF48" s="1037" t="s">
        <v>1121</v>
      </c>
      <c r="AG48" s="1037" t="s">
        <v>1121</v>
      </c>
    </row>
    <row r="49" spans="1:33" s="878" customFormat="1" ht="20.25" outlineLevel="2">
      <c r="A49" s="861"/>
      <c r="B49" s="274"/>
      <c r="C49" s="878" t="s">
        <v>920</v>
      </c>
      <c r="D49" s="8" t="s">
        <v>908</v>
      </c>
      <c r="E49" s="549"/>
      <c r="G49" s="549"/>
      <c r="H49" s="549"/>
      <c r="I49" s="800"/>
      <c r="J49" s="965">
        <v>1.5740595316854762</v>
      </c>
      <c r="K49" s="965">
        <v>1.5637461553865679</v>
      </c>
      <c r="L49" s="965">
        <v>2.9670657294663614</v>
      </c>
      <c r="M49" s="965">
        <v>1.960379102850222</v>
      </c>
      <c r="N49" s="965">
        <v>1.2852280841161465</v>
      </c>
      <c r="O49" s="965">
        <v>1.3180598468853006</v>
      </c>
      <c r="P49" s="965">
        <v>1.144149537095918</v>
      </c>
      <c r="Q49" s="965">
        <v>1.0611180624663474</v>
      </c>
      <c r="R49" s="965">
        <v>1.0505380072634392</v>
      </c>
      <c r="S49" s="965">
        <v>1.1303935392641045</v>
      </c>
      <c r="T49" s="965">
        <v>1.0361985021354974</v>
      </c>
      <c r="U49" s="965">
        <v>1.4671659554653183</v>
      </c>
      <c r="V49" s="965">
        <v>1.2172843903036374</v>
      </c>
      <c r="W49" s="965">
        <v>1.1070517975084877</v>
      </c>
      <c r="X49" s="965">
        <v>1.102760932123199</v>
      </c>
      <c r="Y49" s="965">
        <v>1.6166075421241077</v>
      </c>
      <c r="Z49" s="965">
        <v>1.9648390270296348</v>
      </c>
      <c r="AA49" s="965">
        <v>1.2302267370053788</v>
      </c>
      <c r="AB49" s="965">
        <v>1.4969246308164637</v>
      </c>
      <c r="AC49" s="965">
        <v>1.2137766277796804</v>
      </c>
      <c r="AD49" s="965">
        <v>1.1072656061181583</v>
      </c>
      <c r="AE49" s="965">
        <v>1.2142857956247601</v>
      </c>
      <c r="AF49" s="965">
        <v>0</v>
      </c>
      <c r="AG49" s="965">
        <v>0</v>
      </c>
    </row>
    <row r="50" spans="1:33" s="878" customFormat="1" ht="20.25" outlineLevel="2">
      <c r="A50" s="861"/>
      <c r="B50" s="274"/>
      <c r="C50" s="274"/>
      <c r="D50" s="994"/>
      <c r="E50" s="994"/>
      <c r="F50" s="994"/>
      <c r="G50" s="994"/>
      <c r="H50" s="994"/>
      <c r="I50" s="994"/>
      <c r="J50" s="994"/>
      <c r="K50" s="994"/>
      <c r="L50" s="994"/>
      <c r="M50" s="994"/>
      <c r="N50" s="994"/>
      <c r="O50" s="994"/>
      <c r="P50" s="994"/>
      <c r="Q50" s="994"/>
      <c r="R50" s="994"/>
      <c r="S50" s="994"/>
      <c r="T50" s="994"/>
      <c r="U50" s="994"/>
      <c r="V50" s="994"/>
      <c r="W50" s="994"/>
      <c r="X50" s="994"/>
      <c r="Y50" s="994"/>
      <c r="Z50" s="994"/>
      <c r="AA50" s="994"/>
      <c r="AB50" s="994"/>
      <c r="AC50" s="994"/>
      <c r="AD50" s="994"/>
      <c r="AE50" s="994"/>
      <c r="AF50" s="994"/>
      <c r="AG50" s="994"/>
    </row>
    <row r="51" spans="1:33" s="878" customFormat="1" ht="20.25" outlineLevel="1">
      <c r="A51" s="861"/>
      <c r="B51" s="274">
        <v>3</v>
      </c>
      <c r="C51" s="274" t="str">
        <f>"Revenue and Expense Summary - "&amp;PS_01</f>
        <v>Revenue and Expense Summary - WonderApp</v>
      </c>
      <c r="D51" s="994"/>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3" s="878" customFormat="1" ht="18" customHeight="1" outlineLevel="2">
      <c r="A52" s="861"/>
      <c r="B52" s="994"/>
      <c r="C52" s="778" t="s">
        <v>990</v>
      </c>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3" s="878" customFormat="1" ht="18" customHeight="1" outlineLevel="2">
      <c r="A53" s="861"/>
      <c r="B53" s="994"/>
      <c r="C53" s="452" t="s">
        <v>992</v>
      </c>
      <c r="D53" s="8" t="str">
        <f t="shared" ref="D53:D69" si="3">Currency_Label</f>
        <v>USD</v>
      </c>
      <c r="E53" s="453" t="s">
        <v>994</v>
      </c>
      <c r="F53" s="1036"/>
      <c r="G53" s="1036"/>
      <c r="H53" s="1036"/>
      <c r="I53" s="71">
        <v>191514.2668021188</v>
      </c>
      <c r="J53" s="230">
        <v>2950.4589371980674</v>
      </c>
      <c r="K53" s="230">
        <v>5525.2117263843647</v>
      </c>
      <c r="L53" s="230">
        <v>6494.1116898148157</v>
      </c>
      <c r="M53" s="230">
        <v>6640.2298558868852</v>
      </c>
      <c r="N53" s="230">
        <v>6830.4463679694973</v>
      </c>
      <c r="O53" s="230">
        <v>7007.3835125634669</v>
      </c>
      <c r="P53" s="230">
        <v>7375.800949510256</v>
      </c>
      <c r="Q53" s="230">
        <v>7663.9030846153446</v>
      </c>
      <c r="R53" s="230">
        <v>7990.5732080145335</v>
      </c>
      <c r="S53" s="230">
        <v>8311.2200445675844</v>
      </c>
      <c r="T53" s="230">
        <v>8654.9029271070995</v>
      </c>
      <c r="U53" s="230">
        <v>8656.2602186473887</v>
      </c>
      <c r="V53" s="230">
        <v>8967.5185738052878</v>
      </c>
      <c r="W53" s="230">
        <v>9322.7713713496341</v>
      </c>
      <c r="X53" s="230">
        <v>9692.1391283309167</v>
      </c>
      <c r="Y53" s="230">
        <v>10071.440565557474</v>
      </c>
      <c r="Z53" s="230">
        <v>10470.273317819965</v>
      </c>
      <c r="AA53" s="230">
        <v>10884.976922852042</v>
      </c>
      <c r="AB53" s="230">
        <v>11312.084611275972</v>
      </c>
      <c r="AC53" s="230">
        <v>11760.056033915185</v>
      </c>
      <c r="AD53" s="230">
        <v>12225.871568554014</v>
      </c>
      <c r="AE53" s="230">
        <v>12706.632186378987</v>
      </c>
      <c r="AF53" s="230">
        <v>0</v>
      </c>
      <c r="AG53" s="230">
        <v>0</v>
      </c>
    </row>
    <row r="54" spans="1:33" s="878" customFormat="1" ht="18" customHeight="1" outlineLevel="2">
      <c r="A54" s="861"/>
      <c r="B54" s="994"/>
      <c r="C54" s="452" t="str">
        <f>"    =&gt; in % of Total Revenue: "&amp;PS_01</f>
        <v xml:space="preserve">    =&gt; in % of Total Revenue: WonderApp</v>
      </c>
      <c r="D54" s="8" t="s">
        <v>26</v>
      </c>
      <c r="E54" s="1036"/>
      <c r="F54" s="1036"/>
      <c r="G54" s="1036"/>
      <c r="H54" s="1036"/>
      <c r="I54" s="1036"/>
      <c r="J54" s="1035">
        <v>0.24154589371980675</v>
      </c>
      <c r="K54" s="1035">
        <v>0.32573289902280128</v>
      </c>
      <c r="L54" s="1035">
        <v>0.28935185185185186</v>
      </c>
      <c r="M54" s="1035">
        <v>0.23565666636454274</v>
      </c>
      <c r="N54" s="1035">
        <v>0.19828408007626314</v>
      </c>
      <c r="O54" s="1035">
        <v>0.17226981357693139</v>
      </c>
      <c r="P54" s="1035">
        <v>0.15456200330317535</v>
      </c>
      <c r="Q54" s="1035">
        <v>0.13995076027908054</v>
      </c>
      <c r="R54" s="1035">
        <v>0.12839346221234965</v>
      </c>
      <c r="S54" s="1035">
        <v>0.12235401651780997</v>
      </c>
      <c r="T54" s="1035">
        <v>0.11560620154205262</v>
      </c>
      <c r="U54" s="1035">
        <v>0.11009347409428449</v>
      </c>
      <c r="V54" s="1035">
        <v>0.10706809076210039</v>
      </c>
      <c r="W54" s="1035">
        <v>0.10350991079420553</v>
      </c>
      <c r="X54" s="1035">
        <v>0.1004787969947801</v>
      </c>
      <c r="Y54" s="1035">
        <v>9.8783467418482623E-2</v>
      </c>
      <c r="Z54" s="1035">
        <v>9.6721028790581365E-2</v>
      </c>
      <c r="AA54" s="1035">
        <v>9.4922571895493177E-2</v>
      </c>
      <c r="AB54" s="1035">
        <v>9.39134523750004E-2</v>
      </c>
      <c r="AC54" s="1035">
        <v>9.2652194975568536E-2</v>
      </c>
      <c r="AD54" s="1035">
        <v>9.1537010110211897E-2</v>
      </c>
      <c r="AE54" s="1035">
        <v>9.0915984541139042E-2</v>
      </c>
      <c r="AF54" s="1035">
        <v>0</v>
      </c>
      <c r="AG54" s="1035">
        <v>0</v>
      </c>
    </row>
    <row r="55" spans="1:33" s="878" customFormat="1" ht="18" customHeight="1" outlineLevel="2">
      <c r="A55" s="861"/>
      <c r="B55" s="994"/>
      <c r="C55" s="452" t="s">
        <v>991</v>
      </c>
      <c r="D55" s="8" t="str">
        <f t="shared" si="3"/>
        <v>USD</v>
      </c>
      <c r="E55" s="453" t="s">
        <v>994</v>
      </c>
      <c r="F55" s="1036"/>
      <c r="G55" s="1036"/>
      <c r="H55" s="1036"/>
      <c r="I55" s="71">
        <v>1465409.4572889549</v>
      </c>
      <c r="J55" s="230">
        <v>9264.4410628019323</v>
      </c>
      <c r="K55" s="230">
        <v>11437.188273615637</v>
      </c>
      <c r="L55" s="230">
        <v>15949.538310185186</v>
      </c>
      <c r="M55" s="230">
        <v>21537.330144113115</v>
      </c>
      <c r="N55" s="230">
        <v>27617.33363203051</v>
      </c>
      <c r="O55" s="230">
        <v>33669.409287436545</v>
      </c>
      <c r="P55" s="230">
        <v>40344.859962489747</v>
      </c>
      <c r="Q55" s="230">
        <v>47097.52207186466</v>
      </c>
      <c r="R55" s="230">
        <v>54244.474202724676</v>
      </c>
      <c r="S55" s="230">
        <v>59616.423698601197</v>
      </c>
      <c r="T55" s="230">
        <v>66210.483286268427</v>
      </c>
      <c r="U55" s="230">
        <v>69970.200521742488</v>
      </c>
      <c r="V55" s="230">
        <v>74787.767524745199</v>
      </c>
      <c r="W55" s="230">
        <v>80743.689896159456</v>
      </c>
      <c r="X55" s="230">
        <v>86767.406748143156</v>
      </c>
      <c r="Y55" s="230">
        <v>91883.277453108516</v>
      </c>
      <c r="Z55" s="230">
        <v>97782.021438990501</v>
      </c>
      <c r="AA55" s="230">
        <v>103787.1890908972</v>
      </c>
      <c r="AB55" s="230">
        <v>109140.14374581112</v>
      </c>
      <c r="AC55" s="230">
        <v>115166.84555774376</v>
      </c>
      <c r="AD55" s="230">
        <v>121336.18768850372</v>
      </c>
      <c r="AE55" s="230">
        <v>127055.72369097828</v>
      </c>
      <c r="AF55" s="230">
        <v>0</v>
      </c>
      <c r="AG55" s="230">
        <v>0</v>
      </c>
    </row>
    <row r="56" spans="1:33" s="878" customFormat="1" ht="18" customHeight="1" outlineLevel="2">
      <c r="A56" s="861"/>
      <c r="B56" s="994"/>
      <c r="C56" s="452" t="str">
        <f>"    =&gt; in % of Total Revenue: "&amp;PS_01</f>
        <v xml:space="preserve">    =&gt; in % of Total Revenue: WonderApp</v>
      </c>
      <c r="D56" s="8" t="s">
        <v>26</v>
      </c>
      <c r="E56" s="1036"/>
      <c r="F56" s="1036"/>
      <c r="G56" s="1036"/>
      <c r="H56" s="1036"/>
      <c r="I56" s="1036"/>
      <c r="J56" s="1035">
        <v>0.75845410628019327</v>
      </c>
      <c r="K56" s="1035">
        <v>0.67426710097719877</v>
      </c>
      <c r="L56" s="1035">
        <v>0.71064814814814814</v>
      </c>
      <c r="M56" s="1035">
        <v>0.76434333363545726</v>
      </c>
      <c r="N56" s="1035">
        <v>0.80171591992373692</v>
      </c>
      <c r="O56" s="1035">
        <v>0.82773018642306861</v>
      </c>
      <c r="P56" s="1035">
        <v>0.84543799669682462</v>
      </c>
      <c r="Q56" s="1035">
        <v>0.8600492397209194</v>
      </c>
      <c r="R56" s="1035">
        <v>0.8716065377876504</v>
      </c>
      <c r="S56" s="1035">
        <v>0.87764598348219003</v>
      </c>
      <c r="T56" s="1035">
        <v>0.8843937984579473</v>
      </c>
      <c r="U56" s="1035">
        <v>0.88990652590571562</v>
      </c>
      <c r="V56" s="1035">
        <v>0.89293190923789967</v>
      </c>
      <c r="W56" s="1035">
        <v>0.89649008920579443</v>
      </c>
      <c r="X56" s="1035">
        <v>0.89952120300521987</v>
      </c>
      <c r="Y56" s="1035">
        <v>0.90121653258151746</v>
      </c>
      <c r="Z56" s="1035">
        <v>0.90327897120941858</v>
      </c>
      <c r="AA56" s="1035">
        <v>0.90507742810450675</v>
      </c>
      <c r="AB56" s="1035">
        <v>0.90608654762499952</v>
      </c>
      <c r="AC56" s="1035">
        <v>0.90734780502443146</v>
      </c>
      <c r="AD56" s="1035">
        <v>0.90846298988978813</v>
      </c>
      <c r="AE56" s="1035">
        <v>0.90908401545886097</v>
      </c>
      <c r="AF56" s="1035">
        <v>0</v>
      </c>
      <c r="AG56" s="1035">
        <v>0</v>
      </c>
    </row>
    <row r="57" spans="1:33" s="878" customFormat="1" ht="18" customHeight="1" outlineLevel="2">
      <c r="A57" s="861"/>
      <c r="B57" s="994"/>
      <c r="C57" s="452" t="str">
        <f>"Cash Received (ex "&amp;Name_VAT &amp;")"</f>
        <v>Cash Received (ex VAT)</v>
      </c>
      <c r="D57" s="8" t="str">
        <f t="shared" si="3"/>
        <v>USD</v>
      </c>
      <c r="E57" s="1036"/>
      <c r="F57" s="1036"/>
      <c r="G57" s="1036"/>
      <c r="H57" s="1036"/>
      <c r="I57" s="71">
        <v>1555271.0678009442</v>
      </c>
      <c r="J57" s="230">
        <v>1570</v>
      </c>
      <c r="K57" s="230">
        <v>1270</v>
      </c>
      <c r="L57" s="230">
        <v>1370</v>
      </c>
      <c r="M57" s="230">
        <v>49833.45</v>
      </c>
      <c r="N57" s="230">
        <v>1570</v>
      </c>
      <c r="O57" s="230">
        <v>1570</v>
      </c>
      <c r="P57" s="230">
        <v>103310.5448</v>
      </c>
      <c r="Q57" s="230">
        <v>1570</v>
      </c>
      <c r="R57" s="230">
        <v>1570</v>
      </c>
      <c r="S57" s="230">
        <v>165518.88819358725</v>
      </c>
      <c r="T57" s="230">
        <v>1570</v>
      </c>
      <c r="U57" s="230">
        <v>1800</v>
      </c>
      <c r="V57" s="230">
        <v>223321.33731554105</v>
      </c>
      <c r="W57" s="230">
        <v>1570</v>
      </c>
      <c r="X57" s="230">
        <v>1570</v>
      </c>
      <c r="Y57" s="230">
        <v>273648.37152165006</v>
      </c>
      <c r="Z57" s="230">
        <v>1570</v>
      </c>
      <c r="AA57" s="230">
        <v>1570</v>
      </c>
      <c r="AB57" s="230">
        <v>329497.25242187188</v>
      </c>
      <c r="AC57" s="230">
        <v>1570</v>
      </c>
      <c r="AD57" s="230">
        <v>1570</v>
      </c>
      <c r="AE57" s="230">
        <v>386861.22354829405</v>
      </c>
      <c r="AF57" s="230">
        <v>0</v>
      </c>
      <c r="AG57" s="230">
        <v>0</v>
      </c>
    </row>
    <row r="58" spans="1:33" s="878" customFormat="1" ht="18" customHeight="1" outlineLevel="2">
      <c r="A58" s="861"/>
      <c r="B58" s="994"/>
      <c r="C58" s="452" t="s">
        <v>995</v>
      </c>
      <c r="D58" s="8" t="str">
        <f t="shared" si="3"/>
        <v>USD</v>
      </c>
      <c r="E58" s="990" t="s">
        <v>993</v>
      </c>
      <c r="F58" s="511" t="str">
        <f>'Offering 1'!$F$46</f>
        <v>Quarterly</v>
      </c>
      <c r="G58" s="511" t="s">
        <v>846</v>
      </c>
      <c r="H58" s="1036"/>
      <c r="I58" s="1036"/>
      <c r="J58" s="230">
        <v>0</v>
      </c>
      <c r="K58" s="230">
        <v>0</v>
      </c>
      <c r="L58" s="230">
        <v>0</v>
      </c>
      <c r="M58" s="230">
        <v>0</v>
      </c>
      <c r="N58" s="230">
        <v>0</v>
      </c>
      <c r="O58" s="230">
        <v>0</v>
      </c>
      <c r="P58" s="230">
        <v>0</v>
      </c>
      <c r="Q58" s="230">
        <v>0</v>
      </c>
      <c r="R58" s="230">
        <v>0</v>
      </c>
      <c r="S58" s="230">
        <v>0</v>
      </c>
      <c r="T58" s="230">
        <v>0</v>
      </c>
      <c r="U58" s="230">
        <v>0</v>
      </c>
      <c r="V58" s="230">
        <v>0</v>
      </c>
      <c r="W58" s="230">
        <v>0</v>
      </c>
      <c r="X58" s="230">
        <v>0</v>
      </c>
      <c r="Y58" s="230">
        <v>0</v>
      </c>
      <c r="Z58" s="230">
        <v>0</v>
      </c>
      <c r="AA58" s="230">
        <v>0</v>
      </c>
      <c r="AB58" s="230">
        <v>0</v>
      </c>
      <c r="AC58" s="230">
        <v>0</v>
      </c>
      <c r="AD58" s="230">
        <v>0</v>
      </c>
      <c r="AE58" s="230">
        <v>0</v>
      </c>
      <c r="AF58" s="230">
        <v>0</v>
      </c>
      <c r="AG58" s="230">
        <v>0</v>
      </c>
    </row>
    <row r="59" spans="1:33" s="878" customFormat="1" ht="18" customHeight="1" outlineLevel="2">
      <c r="A59" s="861"/>
      <c r="B59" s="994"/>
      <c r="C59" s="452" t="s">
        <v>996</v>
      </c>
      <c r="D59" s="8" t="str">
        <f t="shared" si="3"/>
        <v>USD</v>
      </c>
      <c r="E59" s="1036"/>
      <c r="F59" s="1036"/>
      <c r="G59" s="1036"/>
      <c r="H59" s="1036"/>
      <c r="I59" s="1036"/>
      <c r="J59" s="230">
        <v>10899.9</v>
      </c>
      <c r="K59" s="230">
        <v>26997.3</v>
      </c>
      <c r="L59" s="230">
        <v>48663.45</v>
      </c>
      <c r="M59" s="230">
        <v>27733.86</v>
      </c>
      <c r="N59" s="230">
        <v>61504.74</v>
      </c>
      <c r="O59" s="230">
        <v>101670.5448</v>
      </c>
      <c r="P59" s="230">
        <v>47265.709392000012</v>
      </c>
      <c r="Q59" s="230">
        <v>101794.27344768003</v>
      </c>
      <c r="R59" s="230">
        <v>163948.88819358725</v>
      </c>
      <c r="S59" s="230">
        <v>67970.387531743501</v>
      </c>
      <c r="T59" s="230">
        <v>143022.59053003674</v>
      </c>
      <c r="U59" s="230">
        <v>221751.33731554105</v>
      </c>
      <c r="V59" s="230">
        <v>84211.994843069464</v>
      </c>
      <c r="W59" s="230">
        <v>174876.70127092634</v>
      </c>
      <c r="X59" s="230">
        <v>272078.37152165006</v>
      </c>
      <c r="Y59" s="230">
        <v>102826.05912366163</v>
      </c>
      <c r="Z59" s="230">
        <v>212093.30435986409</v>
      </c>
      <c r="AA59" s="230">
        <v>327927.25242187188</v>
      </c>
      <c r="AB59" s="230">
        <v>121751.19782166573</v>
      </c>
      <c r="AC59" s="230">
        <v>250126.75401143573</v>
      </c>
      <c r="AD59" s="230">
        <v>385291.22354829405</v>
      </c>
      <c r="AE59" s="230">
        <v>141512.87883048612</v>
      </c>
      <c r="AF59" s="230">
        <v>0</v>
      </c>
      <c r="AG59" s="230">
        <v>0</v>
      </c>
    </row>
    <row r="60" spans="1:33" s="878" customFormat="1" ht="18" customHeight="1" outlineLevel="2">
      <c r="A60" s="861"/>
      <c r="B60" s="994"/>
      <c r="C60" s="778" t="s">
        <v>999</v>
      </c>
      <c r="D60" s="994"/>
      <c r="E60" s="994"/>
      <c r="F60" s="994"/>
      <c r="G60" s="994"/>
      <c r="H60" s="994"/>
      <c r="I60" s="1034"/>
      <c r="J60" s="1034"/>
      <c r="K60" s="1034"/>
      <c r="L60" s="1034"/>
      <c r="M60" s="1034"/>
      <c r="N60" s="994"/>
      <c r="O60" s="994"/>
      <c r="P60" s="994"/>
      <c r="Q60" s="994"/>
      <c r="R60" s="994"/>
      <c r="S60" s="994"/>
      <c r="T60" s="994"/>
      <c r="U60" s="994"/>
      <c r="V60" s="994"/>
      <c r="W60" s="994"/>
      <c r="X60" s="994"/>
      <c r="Y60" s="994"/>
      <c r="Z60" s="994"/>
      <c r="AA60" s="994"/>
      <c r="AB60" s="994"/>
      <c r="AC60" s="994"/>
      <c r="AD60" s="994"/>
      <c r="AE60" s="994"/>
      <c r="AF60" s="994"/>
      <c r="AG60" s="994"/>
    </row>
    <row r="61" spans="1:33" s="878" customFormat="1" ht="18" customHeight="1" outlineLevel="2">
      <c r="A61" s="861"/>
      <c r="B61" s="994"/>
      <c r="C61" s="878" t="s">
        <v>946</v>
      </c>
      <c r="D61" s="8" t="str">
        <f t="shared" si="3"/>
        <v>USD</v>
      </c>
      <c r="E61" s="1036"/>
      <c r="F61" s="1036"/>
      <c r="G61" s="1036"/>
      <c r="H61" s="1036"/>
      <c r="I61" s="71">
        <v>128364.42310340448</v>
      </c>
      <c r="J61" s="139">
        <v>786.6</v>
      </c>
      <c r="K61" s="139">
        <v>1166.5999999999999</v>
      </c>
      <c r="L61" s="139">
        <v>1641.6</v>
      </c>
      <c r="M61" s="139">
        <v>2096.2699999999995</v>
      </c>
      <c r="N61" s="139">
        <v>2591.0300000000002</v>
      </c>
      <c r="O61" s="139">
        <v>3101.5904</v>
      </c>
      <c r="P61" s="139">
        <v>3595.2097160000008</v>
      </c>
      <c r="Q61" s="139">
        <v>4129.381844640001</v>
      </c>
      <c r="R61" s="139">
        <v>4681.1303584256002</v>
      </c>
      <c r="S61" s="139">
        <v>5108.6806377626253</v>
      </c>
      <c r="T61" s="139">
        <v>5623.1438302731303</v>
      </c>
      <c r="U61" s="139">
        <v>6140.9008704840562</v>
      </c>
      <c r="V61" s="139">
        <v>6566.9989100534176</v>
      </c>
      <c r="W61" s="139">
        <v>7064.4508447455537</v>
      </c>
      <c r="X61" s="139">
        <v>7568.6645000253766</v>
      </c>
      <c r="Y61" s="139">
        <v>8006.5008512188924</v>
      </c>
      <c r="Z61" s="139">
        <v>8504.3172399695486</v>
      </c>
      <c r="AA61" s="139">
        <v>9012.0626531022317</v>
      </c>
      <c r="AB61" s="139">
        <v>9473.2551005359946</v>
      </c>
      <c r="AC61" s="139">
        <v>9986.3013027723027</v>
      </c>
      <c r="AD61" s="139">
        <v>10512.281793410386</v>
      </c>
      <c r="AE61" s="139">
        <v>11007.452249985361</v>
      </c>
      <c r="AF61" s="139">
        <v>0</v>
      </c>
      <c r="AG61" s="139">
        <v>0</v>
      </c>
    </row>
    <row r="62" spans="1:33" s="878" customFormat="1" ht="18" customHeight="1" outlineLevel="2">
      <c r="A62" s="861"/>
      <c r="B62" s="994"/>
      <c r="C62" s="878" t="str">
        <f>CHOOSE(language,"  -  Direct labour","  -  Direct labor")</f>
        <v xml:space="preserve">  -  Direct labor</v>
      </c>
      <c r="D62" s="8" t="str">
        <f t="shared" si="3"/>
        <v>USD</v>
      </c>
      <c r="E62" s="1036"/>
      <c r="F62" s="1036"/>
      <c r="G62" s="1036"/>
      <c r="H62" s="800"/>
      <c r="I62" s="71">
        <v>248057.31913323083</v>
      </c>
      <c r="J62" s="139">
        <v>1509.0300000000002</v>
      </c>
      <c r="K62" s="139">
        <v>2238.0300000000002</v>
      </c>
      <c r="L62" s="139">
        <v>3149.2800000000007</v>
      </c>
      <c r="M62" s="139">
        <v>4021.5284999999999</v>
      </c>
      <c r="N62" s="139">
        <v>4970.6865000000007</v>
      </c>
      <c r="O62" s="139">
        <v>5950.1563200000001</v>
      </c>
      <c r="P62" s="139">
        <v>6897.1260077999996</v>
      </c>
      <c r="Q62" s="139">
        <v>7921.8930651120018</v>
      </c>
      <c r="R62" s="139">
        <v>8980.3790297164833</v>
      </c>
      <c r="S62" s="139">
        <v>9800.6004866551411</v>
      </c>
      <c r="T62" s="139">
        <v>10787.557505971348</v>
      </c>
      <c r="U62" s="139">
        <v>11898.641847180805</v>
      </c>
      <c r="V62" s="139">
        <v>12724.251651271663</v>
      </c>
      <c r="W62" s="139">
        <v>13688.117138099222</v>
      </c>
      <c r="X62" s="139">
        <v>14665.084170325486</v>
      </c>
      <c r="Y62" s="139">
        <v>15513.438188799892</v>
      </c>
      <c r="Z62" s="139">
        <v>16478.009843729415</v>
      </c>
      <c r="AA62" s="139">
        <v>17461.820028559585</v>
      </c>
      <c r="AB62" s="139">
        <v>18355.428942035916</v>
      </c>
      <c r="AC62" s="139">
        <v>19349.509963732158</v>
      </c>
      <c r="AD62" s="139">
        <v>20368.652530710875</v>
      </c>
      <c r="AE62" s="139">
        <v>21328.097413530846</v>
      </c>
      <c r="AF62" s="139">
        <v>0</v>
      </c>
      <c r="AG62" s="139">
        <v>0</v>
      </c>
    </row>
    <row r="63" spans="1:33" s="878" customFormat="1" ht="18" customHeight="1" outlineLevel="2">
      <c r="A63" s="861"/>
      <c r="B63" s="994"/>
      <c r="C63" s="40" t="s">
        <v>947</v>
      </c>
      <c r="D63" s="8" t="str">
        <f t="shared" si="3"/>
        <v>USD</v>
      </c>
      <c r="E63" s="1036"/>
      <c r="F63" s="1036"/>
      <c r="G63" s="1036"/>
      <c r="H63" s="1036"/>
      <c r="I63" s="71">
        <v>0</v>
      </c>
      <c r="J63" s="139">
        <v>0</v>
      </c>
      <c r="K63" s="139">
        <v>0</v>
      </c>
      <c r="L63" s="139">
        <v>0</v>
      </c>
      <c r="M63" s="139">
        <v>0</v>
      </c>
      <c r="N63" s="139">
        <v>0</v>
      </c>
      <c r="O63" s="139">
        <v>0</v>
      </c>
      <c r="P63" s="139">
        <v>0</v>
      </c>
      <c r="Q63" s="139">
        <v>0</v>
      </c>
      <c r="R63" s="139">
        <v>0</v>
      </c>
      <c r="S63" s="139">
        <v>0</v>
      </c>
      <c r="T63" s="139">
        <v>0</v>
      </c>
      <c r="U63" s="139">
        <v>0</v>
      </c>
      <c r="V63" s="139">
        <v>0</v>
      </c>
      <c r="W63" s="139">
        <v>0</v>
      </c>
      <c r="X63" s="139">
        <v>0</v>
      </c>
      <c r="Y63" s="139">
        <v>0</v>
      </c>
      <c r="Z63" s="139">
        <v>0</v>
      </c>
      <c r="AA63" s="139">
        <v>0</v>
      </c>
      <c r="AB63" s="139">
        <v>0</v>
      </c>
      <c r="AC63" s="139">
        <v>0</v>
      </c>
      <c r="AD63" s="139">
        <v>0</v>
      </c>
      <c r="AE63" s="139">
        <v>0</v>
      </c>
      <c r="AF63" s="139">
        <v>0</v>
      </c>
      <c r="AG63" s="139">
        <v>0</v>
      </c>
    </row>
    <row r="64" spans="1:33" s="878" customFormat="1" ht="18" customHeight="1" outlineLevel="2">
      <c r="A64" s="861"/>
      <c r="B64" s="994"/>
      <c r="C64" s="40" t="s">
        <v>948</v>
      </c>
      <c r="D64" s="8" t="str">
        <f t="shared" si="3"/>
        <v>USD</v>
      </c>
      <c r="E64" s="1036"/>
      <c r="F64" s="1036"/>
      <c r="G64" s="1036"/>
      <c r="H64" s="1036"/>
      <c r="I64" s="71">
        <v>30426.621356018884</v>
      </c>
      <c r="J64" s="139">
        <v>0</v>
      </c>
      <c r="K64" s="139">
        <v>0</v>
      </c>
      <c r="L64" s="139">
        <v>0</v>
      </c>
      <c r="M64" s="139">
        <v>973.26900000000001</v>
      </c>
      <c r="N64" s="139">
        <v>0</v>
      </c>
      <c r="O64" s="139">
        <v>0</v>
      </c>
      <c r="P64" s="139">
        <v>2033.4108960000001</v>
      </c>
      <c r="Q64" s="139">
        <v>0</v>
      </c>
      <c r="R64" s="139">
        <v>0</v>
      </c>
      <c r="S64" s="139">
        <v>3278.9777638717451</v>
      </c>
      <c r="T64" s="139">
        <v>0</v>
      </c>
      <c r="U64" s="139">
        <v>0</v>
      </c>
      <c r="V64" s="139">
        <v>4435.0267463108212</v>
      </c>
      <c r="W64" s="139">
        <v>0</v>
      </c>
      <c r="X64" s="139">
        <v>0</v>
      </c>
      <c r="Y64" s="139">
        <v>5441.5674304330014</v>
      </c>
      <c r="Z64" s="139">
        <v>0</v>
      </c>
      <c r="AA64" s="139">
        <v>0</v>
      </c>
      <c r="AB64" s="139">
        <v>6558.5450484374378</v>
      </c>
      <c r="AC64" s="139">
        <v>0</v>
      </c>
      <c r="AD64" s="139">
        <v>0</v>
      </c>
      <c r="AE64" s="139">
        <v>7705.8244709658811</v>
      </c>
      <c r="AF64" s="139">
        <v>0</v>
      </c>
      <c r="AG64" s="139">
        <v>0</v>
      </c>
    </row>
    <row r="65" spans="1:33" s="878" customFormat="1" ht="18" customHeight="1" outlineLevel="2">
      <c r="A65" s="861"/>
      <c r="B65" s="994"/>
      <c r="C65" s="40" t="s">
        <v>949</v>
      </c>
      <c r="D65" s="8" t="str">
        <f t="shared" si="3"/>
        <v>USD</v>
      </c>
      <c r="E65" s="1036"/>
      <c r="F65" s="1036"/>
      <c r="G65" s="1036"/>
      <c r="H65" s="1036"/>
      <c r="I65" s="71">
        <v>0</v>
      </c>
      <c r="J65" s="139">
        <v>0</v>
      </c>
      <c r="K65" s="139">
        <v>0</v>
      </c>
      <c r="L65" s="139">
        <v>0</v>
      </c>
      <c r="M65" s="139">
        <v>0</v>
      </c>
      <c r="N65" s="139">
        <v>0</v>
      </c>
      <c r="O65" s="139">
        <v>0</v>
      </c>
      <c r="P65" s="139">
        <v>0</v>
      </c>
      <c r="Q65" s="139">
        <v>0</v>
      </c>
      <c r="R65" s="139">
        <v>0</v>
      </c>
      <c r="S65" s="139">
        <v>0</v>
      </c>
      <c r="T65" s="139">
        <v>0</v>
      </c>
      <c r="U65" s="139">
        <v>0</v>
      </c>
      <c r="V65" s="139">
        <v>0</v>
      </c>
      <c r="W65" s="139">
        <v>0</v>
      </c>
      <c r="X65" s="139">
        <v>0</v>
      </c>
      <c r="Y65" s="139">
        <v>0</v>
      </c>
      <c r="Z65" s="139">
        <v>0</v>
      </c>
      <c r="AA65" s="139">
        <v>0</v>
      </c>
      <c r="AB65" s="139">
        <v>0</v>
      </c>
      <c r="AC65" s="139">
        <v>0</v>
      </c>
      <c r="AD65" s="139">
        <v>0</v>
      </c>
      <c r="AE65" s="139">
        <v>0</v>
      </c>
      <c r="AF65" s="139">
        <v>0</v>
      </c>
      <c r="AG65" s="139">
        <v>0</v>
      </c>
    </row>
    <row r="66" spans="1:33" s="878" customFormat="1" ht="18" customHeight="1" outlineLevel="2">
      <c r="A66" s="861"/>
      <c r="B66" s="994"/>
      <c r="C66" s="878" t="s">
        <v>272</v>
      </c>
      <c r="D66" s="8" t="str">
        <f t="shared" si="3"/>
        <v>USD</v>
      </c>
      <c r="E66" s="1036"/>
      <c r="F66" s="1038" t="s">
        <v>1010</v>
      </c>
      <c r="G66" s="71">
        <v>406848.36359265418</v>
      </c>
      <c r="H66" s="1036"/>
      <c r="I66" s="71">
        <v>0</v>
      </c>
      <c r="J66" s="139">
        <v>0</v>
      </c>
      <c r="K66" s="139">
        <v>0</v>
      </c>
      <c r="L66" s="139">
        <v>0</v>
      </c>
      <c r="M66" s="139">
        <v>0</v>
      </c>
      <c r="N66" s="139">
        <v>0</v>
      </c>
      <c r="O66" s="139">
        <v>0</v>
      </c>
      <c r="P66" s="139">
        <v>0</v>
      </c>
      <c r="Q66" s="139">
        <v>0</v>
      </c>
      <c r="R66" s="139">
        <v>0</v>
      </c>
      <c r="S66" s="139">
        <v>0</v>
      </c>
      <c r="T66" s="139">
        <v>0</v>
      </c>
      <c r="U66" s="139">
        <v>0</v>
      </c>
      <c r="V66" s="139">
        <v>0</v>
      </c>
      <c r="W66" s="139">
        <v>0</v>
      </c>
      <c r="X66" s="139">
        <v>0</v>
      </c>
      <c r="Y66" s="139">
        <v>0</v>
      </c>
      <c r="Z66" s="139">
        <v>0</v>
      </c>
      <c r="AA66" s="139">
        <v>0</v>
      </c>
      <c r="AB66" s="139">
        <v>0</v>
      </c>
      <c r="AC66" s="139">
        <v>0</v>
      </c>
      <c r="AD66" s="139">
        <v>0</v>
      </c>
      <c r="AE66" s="139">
        <v>0</v>
      </c>
      <c r="AF66" s="139">
        <v>0</v>
      </c>
      <c r="AG66" s="139">
        <v>0</v>
      </c>
    </row>
    <row r="67" spans="1:33" s="878" customFormat="1" ht="18" customHeight="1" outlineLevel="2">
      <c r="A67" s="861"/>
      <c r="B67" s="994"/>
      <c r="C67" s="778" t="s">
        <v>1000</v>
      </c>
      <c r="D67" s="994"/>
      <c r="E67" s="994"/>
      <c r="F67" s="994"/>
      <c r="G67" s="994"/>
      <c r="H67" s="994"/>
      <c r="I67" s="994"/>
      <c r="J67" s="994"/>
      <c r="K67" s="994"/>
      <c r="L67" s="994"/>
      <c r="M67" s="994"/>
      <c r="N67" s="994"/>
      <c r="O67" s="994"/>
      <c r="P67" s="994"/>
      <c r="Q67" s="994"/>
      <c r="R67" s="994"/>
      <c r="S67" s="994"/>
      <c r="T67" s="994"/>
      <c r="U67" s="994"/>
      <c r="V67" s="994"/>
      <c r="W67" s="994"/>
      <c r="X67" s="994"/>
      <c r="Y67" s="994"/>
      <c r="Z67" s="994"/>
      <c r="AA67" s="994"/>
      <c r="AB67" s="994"/>
      <c r="AC67" s="994"/>
      <c r="AD67" s="994"/>
      <c r="AE67" s="994"/>
      <c r="AF67" s="994"/>
      <c r="AG67" s="994"/>
    </row>
    <row r="68" spans="1:33" s="878" customFormat="1" ht="18" customHeight="1" outlineLevel="2">
      <c r="A68" s="861"/>
      <c r="B68" s="994"/>
      <c r="C68" s="452" t="s">
        <v>997</v>
      </c>
      <c r="D68" s="8" t="str">
        <f t="shared" si="3"/>
        <v>USD</v>
      </c>
      <c r="E68" s="1036"/>
      <c r="F68" s="1036"/>
      <c r="G68" s="1036"/>
      <c r="H68" s="1036"/>
      <c r="I68" s="71">
        <v>13940.135359125972</v>
      </c>
      <c r="J68" s="139">
        <v>180</v>
      </c>
      <c r="K68" s="139">
        <v>360</v>
      </c>
      <c r="L68" s="139">
        <v>450</v>
      </c>
      <c r="M68" s="139">
        <v>468</v>
      </c>
      <c r="N68" s="139">
        <v>486.72000000000008</v>
      </c>
      <c r="O68" s="139">
        <v>506.18880000000019</v>
      </c>
      <c r="P68" s="139">
        <v>526.43635200000017</v>
      </c>
      <c r="Q68" s="139">
        <v>547.49380608000013</v>
      </c>
      <c r="R68" s="139">
        <v>569.39355832320018</v>
      </c>
      <c r="S68" s="139">
        <v>592.16930065612826</v>
      </c>
      <c r="T68" s="139">
        <v>615.85607268237334</v>
      </c>
      <c r="U68" s="139">
        <v>640.49031558966817</v>
      </c>
      <c r="V68" s="139">
        <v>666.10992821325499</v>
      </c>
      <c r="W68" s="139">
        <v>692.75432534178526</v>
      </c>
      <c r="X68" s="139">
        <v>720.46449835545661</v>
      </c>
      <c r="Y68" s="139">
        <v>749.28307828967502</v>
      </c>
      <c r="Z68" s="139">
        <v>779.25440142126195</v>
      </c>
      <c r="AA68" s="139">
        <v>810.4245774781125</v>
      </c>
      <c r="AB68" s="139">
        <v>842.84156057723692</v>
      </c>
      <c r="AC68" s="139">
        <v>876.55522300032646</v>
      </c>
      <c r="AD68" s="139">
        <v>911.61743192033964</v>
      </c>
      <c r="AE68" s="139">
        <v>948.08212919715322</v>
      </c>
      <c r="AF68" s="139">
        <v>0</v>
      </c>
      <c r="AG68" s="139">
        <v>0</v>
      </c>
    </row>
    <row r="69" spans="1:33" s="878" customFormat="1" ht="18" customHeight="1" outlineLevel="2">
      <c r="A69" s="861"/>
      <c r="B69" s="994"/>
      <c r="C69" s="452" t="s">
        <v>998</v>
      </c>
      <c r="D69" s="8" t="str">
        <f t="shared" si="3"/>
        <v>USD</v>
      </c>
      <c r="E69" s="1036"/>
      <c r="F69" s="1036"/>
      <c r="G69" s="1036"/>
      <c r="H69" s="1036"/>
      <c r="I69" s="71">
        <v>19361.299109897183</v>
      </c>
      <c r="J69" s="139">
        <v>250</v>
      </c>
      <c r="K69" s="139">
        <v>500</v>
      </c>
      <c r="L69" s="139">
        <v>625</v>
      </c>
      <c r="M69" s="139">
        <v>650</v>
      </c>
      <c r="N69" s="139">
        <v>676.00000000000011</v>
      </c>
      <c r="O69" s="139">
        <v>703.04000000000019</v>
      </c>
      <c r="P69" s="139">
        <v>731.16160000000025</v>
      </c>
      <c r="Q69" s="139">
        <v>760.40806400000019</v>
      </c>
      <c r="R69" s="139">
        <v>790.82438656000022</v>
      </c>
      <c r="S69" s="139">
        <v>822.45736202240028</v>
      </c>
      <c r="T69" s="139">
        <v>855.35565650329636</v>
      </c>
      <c r="U69" s="139">
        <v>889.56988276342815</v>
      </c>
      <c r="V69" s="139">
        <v>925.15267807396526</v>
      </c>
      <c r="W69" s="139">
        <v>962.15878519692399</v>
      </c>
      <c r="X69" s="139">
        <v>1000.6451366048009</v>
      </c>
      <c r="Y69" s="139">
        <v>1040.6709420689931</v>
      </c>
      <c r="Z69" s="139">
        <v>1082.2977797517526</v>
      </c>
      <c r="AA69" s="139">
        <v>1125.5896909418229</v>
      </c>
      <c r="AB69" s="139">
        <v>1170.6132785794957</v>
      </c>
      <c r="AC69" s="139">
        <v>1217.4378097226756</v>
      </c>
      <c r="AD69" s="139">
        <v>1266.1353221115828</v>
      </c>
      <c r="AE69" s="139">
        <v>1316.7807349960462</v>
      </c>
      <c r="AF69" s="139">
        <v>0</v>
      </c>
      <c r="AG69" s="139">
        <v>0</v>
      </c>
    </row>
    <row r="70" spans="1:33" s="878" customFormat="1" ht="18" customHeight="1" outlineLevel="1">
      <c r="A70" s="994"/>
      <c r="B70" s="994"/>
      <c r="C70" s="994"/>
      <c r="D70" s="994"/>
      <c r="E70" s="994"/>
      <c r="F70" s="994"/>
      <c r="G70" s="994"/>
      <c r="H70" s="994"/>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row>
    <row r="71" spans="1:33" ht="24" thickBot="1">
      <c r="A71" s="427"/>
      <c r="B71" s="427"/>
      <c r="C71" s="427" t="str">
        <f>"Product/Service 2: "&amp;PS_02</f>
        <v>Product/Service 2: WonderMoreX</v>
      </c>
      <c r="D71" s="1019">
        <f>OnOff_PS2</f>
        <v>0</v>
      </c>
      <c r="E71" s="427"/>
      <c r="F71" s="427"/>
      <c r="G71" s="427"/>
      <c r="H71" s="427"/>
      <c r="I71" s="427"/>
      <c r="J71" s="427"/>
      <c r="K71" s="427"/>
      <c r="L71" s="427"/>
      <c r="M71" s="427"/>
      <c r="N71" s="427"/>
      <c r="O71" s="427"/>
      <c r="P71" s="427"/>
      <c r="Q71" s="427"/>
      <c r="R71" s="427"/>
      <c r="S71" s="427"/>
      <c r="T71" s="427"/>
      <c r="U71" s="427"/>
      <c r="V71" s="427"/>
      <c r="W71" s="427"/>
      <c r="X71" s="427"/>
      <c r="Y71" s="427"/>
      <c r="Z71" s="427"/>
      <c r="AA71" s="427"/>
      <c r="AB71" s="427"/>
      <c r="AC71" s="427"/>
      <c r="AD71" s="427"/>
      <c r="AE71" s="427"/>
      <c r="AF71" s="427"/>
      <c r="AG71" s="427"/>
    </row>
    <row r="72" spans="1:33" ht="24" thickBot="1">
      <c r="A72" s="427"/>
      <c r="B72" s="427"/>
      <c r="C72" s="427" t="str">
        <f>"Product/Service 3: "&amp;PS_03</f>
        <v>Product/Service 3: Customizing Services</v>
      </c>
      <c r="D72" s="1019">
        <f>OnOff_PS3</f>
        <v>0</v>
      </c>
      <c r="E72" s="427"/>
      <c r="F72" s="427"/>
      <c r="G72" s="427"/>
      <c r="H72" s="427"/>
      <c r="I72" s="427"/>
      <c r="J72" s="427"/>
      <c r="K72" s="427"/>
      <c r="L72" s="427"/>
      <c r="M72" s="427"/>
      <c r="N72" s="427"/>
      <c r="O72" s="427"/>
      <c r="P72" s="427"/>
      <c r="Q72" s="427"/>
      <c r="R72" s="427"/>
      <c r="S72" s="427"/>
      <c r="T72" s="427"/>
      <c r="U72" s="427"/>
      <c r="V72" s="427"/>
      <c r="W72" s="427"/>
      <c r="X72" s="427"/>
      <c r="Y72" s="427"/>
      <c r="Z72" s="427"/>
      <c r="AA72" s="427"/>
      <c r="AB72" s="427"/>
      <c r="AC72" s="427"/>
      <c r="AD72" s="427"/>
      <c r="AE72" s="427"/>
      <c r="AF72" s="427"/>
      <c r="AG72" s="427"/>
    </row>
    <row r="73" spans="1:33" ht="24" thickBot="1">
      <c r="A73" s="427"/>
      <c r="B73" s="427"/>
      <c r="C73" s="427" t="str">
        <f>"Product/Service 4: "&amp;PS_04</f>
        <v>Product/Service 4: FutureApp</v>
      </c>
      <c r="D73" s="1019">
        <f>OnOff_PS4</f>
        <v>0</v>
      </c>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7"/>
      <c r="AD73" s="427"/>
      <c r="AE73" s="427"/>
      <c r="AF73" s="427"/>
      <c r="AG73" s="427"/>
    </row>
    <row r="74" spans="1:33" ht="20.25" customHeight="1">
      <c r="A74" s="274"/>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row>
    <row r="75" spans="1:33" ht="20.25" customHeight="1">
      <c r="A75" s="274"/>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row>
    <row r="76" spans="1:33" ht="20.25" customHeight="1">
      <c r="A76" s="274"/>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row>
    <row r="77" spans="1:33" s="878" customFormat="1" ht="20.25" customHeight="1">
      <c r="A77" s="274"/>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row>
    <row r="78" spans="1:33" s="878" customFormat="1" ht="20.25" customHeight="1">
      <c r="A78" s="274"/>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row>
    <row r="79" spans="1:33" s="878" customFormat="1" ht="20.25" customHeight="1">
      <c r="A79" s="274"/>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row>
    <row r="80" spans="1:33" s="878" customFormat="1" ht="20.25" customHeight="1">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c r="AF80" s="274"/>
      <c r="AG80" s="274"/>
    </row>
    <row r="81" spans="1:33" s="878" customFormat="1" ht="20.25" customHeight="1">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274"/>
      <c r="AG81" s="274"/>
    </row>
    <row r="82" spans="1:33" s="878" customFormat="1" ht="20.25" customHeight="1">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row>
    <row r="83" spans="1:33" s="878" customFormat="1" ht="20.25" customHeight="1">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row>
    <row r="84" spans="1:33" s="878" customFormat="1" ht="20.25" customHeight="1">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row>
    <row r="85" spans="1:33" s="878" customFormat="1" ht="20.25" customHeight="1">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s="274"/>
      <c r="AG85" s="274"/>
    </row>
    <row r="86" spans="1:33" s="878" customFormat="1" ht="20.25" customHeight="1">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row>
    <row r="87" spans="1:33" s="878" customFormat="1" ht="20.25" customHeight="1">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row>
    <row r="88" spans="1:33" s="878" customFormat="1" ht="20.25" customHeight="1">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row>
    <row r="89" spans="1:33" s="878" customFormat="1" ht="20.25" customHeight="1">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row>
    <row r="90" spans="1:33" s="878" customFormat="1" ht="20.25" customHeight="1">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row>
    <row r="91" spans="1:33" s="878" customFormat="1" ht="20.25" customHeight="1">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row>
    <row r="92" spans="1:33" s="878" customFormat="1" ht="20.25" customHeight="1">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74"/>
      <c r="AE92" s="274"/>
      <c r="AF92" s="274"/>
      <c r="AG92" s="274"/>
    </row>
    <row r="93" spans="1:33" s="878" customFormat="1" ht="20.25" customHeight="1">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274"/>
      <c r="AF93" s="274"/>
      <c r="AG93" s="274"/>
    </row>
    <row r="94" spans="1:33" s="878" customFormat="1" ht="20.25" customHeight="1">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F94" s="274"/>
      <c r="AG94" s="274"/>
    </row>
    <row r="95" spans="1:33" ht="20.25" customHeight="1">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row>
    <row r="96" spans="1:33" ht="20.25" customHeight="1">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274"/>
      <c r="AF96" s="274"/>
      <c r="AG96" s="274"/>
    </row>
    <row r="97" spans="1:33" ht="20.25" customHeight="1">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74"/>
      <c r="AE97" s="274"/>
      <c r="AF97" s="274"/>
      <c r="AG97" s="274"/>
    </row>
    <row r="98" spans="1:33" ht="20.25" customHeight="1">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74"/>
      <c r="AE98" s="274"/>
      <c r="AF98" s="274"/>
      <c r="AG98" s="274"/>
    </row>
    <row r="99" spans="1:33" ht="20.25" customHeight="1">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c r="AF99" s="274"/>
      <c r="AG99" s="274"/>
    </row>
    <row r="100" spans="1:33" ht="20.25" customHeight="1">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74"/>
      <c r="AE100" s="274"/>
      <c r="AF100" s="274"/>
      <c r="AG100" s="274"/>
    </row>
    <row r="101" spans="1:33" ht="20.25">
      <c r="A101" s="274"/>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row>
    <row r="102" spans="1:33" ht="20.25">
      <c r="A102" s="274"/>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274"/>
      <c r="AF102" s="274"/>
      <c r="AG102" s="274"/>
    </row>
    <row r="103" spans="1:33" ht="21" customHeight="1">
      <c r="A103" s="274"/>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74"/>
      <c r="AE103" s="274"/>
      <c r="AF103" s="274"/>
      <c r="AG103" s="274"/>
    </row>
    <row r="104" spans="1:33" ht="21" customHeight="1">
      <c r="A104" s="274"/>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74"/>
      <c r="AE104" s="274"/>
      <c r="AF104" s="274"/>
      <c r="AG104" s="274"/>
    </row>
    <row r="105" spans="1:33" ht="21" customHeight="1">
      <c r="A105" s="274"/>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row>
    <row r="106" spans="1:33" ht="21" customHeight="1">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row>
    <row r="107" spans="1:33" ht="21" customHeight="1">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row>
    <row r="108" spans="1:33" ht="21" customHeight="1">
      <c r="A108" s="274"/>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c r="AF108" s="274"/>
      <c r="AG108" s="274"/>
    </row>
  </sheetData>
  <sheetProtection password="F66A" sheet="1"/>
  <conditionalFormatting sqref="D3">
    <cfRule type="cellIs" dxfId="396" priority="36" operator="notEqual">
      <formula>0</formula>
    </cfRule>
  </conditionalFormatting>
  <conditionalFormatting sqref="J48:AG48">
    <cfRule type="cellIs" dxfId="395" priority="24" operator="equal">
      <formula>0</formula>
    </cfRule>
  </conditionalFormatting>
  <conditionalFormatting sqref="D10">
    <cfRule type="cellIs" dxfId="394" priority="9" stopIfTrue="1" operator="equal">
      <formula>1</formula>
    </cfRule>
  </conditionalFormatting>
  <conditionalFormatting sqref="D71">
    <cfRule type="cellIs" dxfId="393" priority="8" stopIfTrue="1" operator="equal">
      <formula>1</formula>
    </cfRule>
  </conditionalFormatting>
  <conditionalFormatting sqref="D72">
    <cfRule type="cellIs" dxfId="392" priority="7" stopIfTrue="1" operator="equal">
      <formula>1</formula>
    </cfRule>
  </conditionalFormatting>
  <conditionalFormatting sqref="D73">
    <cfRule type="cellIs" dxfId="391" priority="6" stopIfTrue="1" operator="equal">
      <formula>1</formula>
    </cfRule>
  </conditionalFormatting>
  <conditionalFormatting sqref="K6:L6 R6:AG6">
    <cfRule type="cellIs" dxfId="390" priority="5" stopIfTrue="1" operator="equal">
      <formula>1</formula>
    </cfRule>
  </conditionalFormatting>
  <conditionalFormatting sqref="J4 K4:AG5">
    <cfRule type="expression" dxfId="389" priority="4" stopIfTrue="1">
      <formula>J$6=1</formula>
    </cfRule>
  </conditionalFormatting>
  <conditionalFormatting sqref="M6:Q6">
    <cfRule type="cellIs" dxfId="388" priority="3" stopIfTrue="1" operator="equal">
      <formula>1</formula>
    </cfRule>
  </conditionalFormatting>
  <conditionalFormatting sqref="J5">
    <cfRule type="expression" dxfId="387" priority="2" stopIfTrue="1">
      <formula>J$6=1</formula>
    </cfRule>
  </conditionalFormatting>
  <conditionalFormatting sqref="J6:AG6">
    <cfRule type="cellIs" dxfId="386" priority="1" stopIfTrue="1" operator="equal">
      <formula>1</formula>
    </cfRule>
  </conditionalFormatting>
  <hyperlinks>
    <hyperlink ref="E3" location="Fehlerkontrolle" display="Go to error checks"/>
    <hyperlink ref="E2" location="Index!A1" display="Go to table of contents"/>
  </hyperlinks>
  <pageMargins left="0.59055118110236227" right="0.59055118110236227" top="0.78740157480314965" bottom="0.78740157480314965" header="0.31496062992125984" footer="0.31496062992125984"/>
  <pageSetup paperSize="9" scale="35" fitToWidth="5" fitToHeight="10" pageOrder="overThenDown" orientation="landscape" r:id="rId1"/>
  <headerFooter>
    <oddFooter>&amp;Lwww.excel-financial-model.com&amp;C&amp;A&amp;R&amp;P / &amp;N</oddFooter>
  </headerFooter>
  <rowBreaks count="1" manualBreakCount="1">
    <brk id="69" min="1" max="72" man="1"/>
  </rowBreaks>
  <colBreaks count="1" manualBreakCount="1">
    <brk id="21" min="9" max="254" man="1"/>
  </col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121</vt:i4>
      </vt:variant>
    </vt:vector>
  </HeadingPairs>
  <TitlesOfParts>
    <vt:vector size="144" baseType="lpstr">
      <vt:lpstr>fimovi</vt:lpstr>
      <vt:lpstr>Full Version</vt:lpstr>
      <vt:lpstr>Quick Start</vt:lpstr>
      <vt:lpstr>Index</vt:lpstr>
      <vt:lpstr>Summary 01</vt:lpstr>
      <vt:lpstr>Summary 02</vt:lpstr>
      <vt:lpstr>Summary 03</vt:lpstr>
      <vt:lpstr>Summary 04</vt:lpstr>
      <vt:lpstr>Sales Summ</vt:lpstr>
      <vt:lpstr>Inputs</vt:lpstr>
      <vt:lpstr>Offering 1</vt:lpstr>
      <vt:lpstr>Offering 2</vt:lpstr>
      <vt:lpstr>Offering 3</vt:lpstr>
      <vt:lpstr>Offering 4</vt:lpstr>
      <vt:lpstr>Human Resources</vt:lpstr>
      <vt:lpstr>Costs</vt:lpstr>
      <vt:lpstr>Capex</vt:lpstr>
      <vt:lpstr>Financing</vt:lpstr>
      <vt:lpstr>IFS</vt:lpstr>
      <vt:lpstr>Debtors+Creditors</vt:lpstr>
      <vt:lpstr>Taxes</vt:lpstr>
      <vt:lpstr>Timing</vt:lpstr>
      <vt:lpstr>Formats</vt:lpstr>
      <vt:lpstr>AGSatz_Pausch</vt:lpstr>
      <vt:lpstr>an_aus_darlehen1</vt:lpstr>
      <vt:lpstr>an_aus_lager</vt:lpstr>
      <vt:lpstr>bad_debts_off1</vt:lpstr>
      <vt:lpstr>Billing_Type</vt:lpstr>
      <vt:lpstr>Billion</vt:lpstr>
      <vt:lpstr>currency</vt:lpstr>
      <vt:lpstr>Currency_Label</vt:lpstr>
      <vt:lpstr>Currency_Unit</vt:lpstr>
      <vt:lpstr>Darlehen_02_Aufnahme</vt:lpstr>
      <vt:lpstr>Darlehen_02_Gebuehren</vt:lpstr>
      <vt:lpstr>Darlehen_02_manuell</vt:lpstr>
      <vt:lpstr>Darlehen_02_Tilgung</vt:lpstr>
      <vt:lpstr>Darlehen_02_Zinsen</vt:lpstr>
      <vt:lpstr>Darlehen_03_Aufnahme</vt:lpstr>
      <vt:lpstr>Darlehen_03_Gebuehren</vt:lpstr>
      <vt:lpstr>Darlehen_03_manuell</vt:lpstr>
      <vt:lpstr>Darlehen_03_Tilgung</vt:lpstr>
      <vt:lpstr>Darlehen_03_Zinsen</vt:lpstr>
      <vt:lpstr>Darlehen_04_Aufnahme</vt:lpstr>
      <vt:lpstr>Darlehen_04_Gebuehren</vt:lpstr>
      <vt:lpstr>Darlehen_04_manuell</vt:lpstr>
      <vt:lpstr>Darlehen_04_Tilgung</vt:lpstr>
      <vt:lpstr>Darlehen_04_Zinsen</vt:lpstr>
      <vt:lpstr>days_yr</vt:lpstr>
      <vt:lpstr>Formats!Druckbereich</vt:lpstr>
      <vt:lpstr>Index!Druckbereich</vt:lpstr>
      <vt:lpstr>Inputs!Druckbereich</vt:lpstr>
      <vt:lpstr>'Quick Start'!Druckbereich</vt:lpstr>
      <vt:lpstr>'Sales Summ'!Druckbereich</vt:lpstr>
      <vt:lpstr>'Summary 01'!Druckbereich</vt:lpstr>
      <vt:lpstr>'Summary 02'!Druckbereich</vt:lpstr>
      <vt:lpstr>'Summary 03'!Druckbereich</vt:lpstr>
      <vt:lpstr>'Summary 04'!Druckbereich</vt:lpstr>
      <vt:lpstr>'Sales Summ'!Drucktitel</vt:lpstr>
      <vt:lpstr>'Summary 02'!Drucktitel</vt:lpstr>
      <vt:lpstr>'Summary 03'!Drucktitel</vt:lpstr>
      <vt:lpstr>'Summary 04'!Drucktitel</vt:lpstr>
      <vt:lpstr>Enddatum</vt:lpstr>
      <vt:lpstr>Fehlerkontrolle</vt:lpstr>
      <vt:lpstr>FK_01</vt:lpstr>
      <vt:lpstr>FK_02</vt:lpstr>
      <vt:lpstr>FK_03</vt:lpstr>
      <vt:lpstr>FK_04</vt:lpstr>
      <vt:lpstr>FK_05</vt:lpstr>
      <vt:lpstr>FK_06</vt:lpstr>
      <vt:lpstr>FK_07</vt:lpstr>
      <vt:lpstr>FK_08</vt:lpstr>
      <vt:lpstr>FK_09</vt:lpstr>
      <vt:lpstr>FK_10</vt:lpstr>
      <vt:lpstr>FK_11</vt:lpstr>
      <vt:lpstr>FK_12</vt:lpstr>
      <vt:lpstr>FK_13</vt:lpstr>
      <vt:lpstr>FK_16</vt:lpstr>
      <vt:lpstr>FK_17</vt:lpstr>
      <vt:lpstr>FK_18</vt:lpstr>
      <vt:lpstr>FK_19</vt:lpstr>
      <vt:lpstr>FK_20</vt:lpstr>
      <vt:lpstr>FK_21</vt:lpstr>
      <vt:lpstr>FK_22</vt:lpstr>
      <vt:lpstr>FK_23</vt:lpstr>
      <vt:lpstr>FK_24</vt:lpstr>
      <vt:lpstr>FK_26</vt:lpstr>
      <vt:lpstr>FK_27</vt:lpstr>
      <vt:lpstr>FK_28</vt:lpstr>
      <vt:lpstr>FK_29</vt:lpstr>
      <vt:lpstr>FK_30</vt:lpstr>
      <vt:lpstr>FK_31</vt:lpstr>
      <vt:lpstr>FK_32</vt:lpstr>
      <vt:lpstr>HR_group_03</vt:lpstr>
      <vt:lpstr>HR_group_04</vt:lpstr>
      <vt:lpstr>KSt_vorausz_j01</vt:lpstr>
      <vt:lpstr>KSt_vorausz_j02</vt:lpstr>
      <vt:lpstr>KSt_vorausz_j03</vt:lpstr>
      <vt:lpstr>KSt_vorausz_j04</vt:lpstr>
      <vt:lpstr>KSt_vorausz_j05</vt:lpstr>
      <vt:lpstr>language</vt:lpstr>
      <vt:lpstr>Million</vt:lpstr>
      <vt:lpstr>Months</vt:lpstr>
      <vt:lpstr>months_yr</vt:lpstr>
      <vt:lpstr>mths_quarter</vt:lpstr>
      <vt:lpstr>Name_Author</vt:lpstr>
      <vt:lpstr>Name_Company</vt:lpstr>
      <vt:lpstr>name_debt_01</vt:lpstr>
      <vt:lpstr>name_debt_02</vt:lpstr>
      <vt:lpstr>name_debt_03</vt:lpstr>
      <vt:lpstr>name_debt_04</vt:lpstr>
      <vt:lpstr>Name_File</vt:lpstr>
      <vt:lpstr>Name_legal_form</vt:lpstr>
      <vt:lpstr>Name_Model</vt:lpstr>
      <vt:lpstr>Name_VAT</vt:lpstr>
      <vt:lpstr>OnOff_PS1</vt:lpstr>
      <vt:lpstr>OnOff_PS2</vt:lpstr>
      <vt:lpstr>OnOff_PS3</vt:lpstr>
      <vt:lpstr>OnOff_PS4</vt:lpstr>
      <vt:lpstr>Period_End</vt:lpstr>
      <vt:lpstr>Period_Start</vt:lpstr>
      <vt:lpstr>Periodicity</vt:lpstr>
      <vt:lpstr>Pf_hor_ja</vt:lpstr>
      <vt:lpstr>Pf_hor_nein</vt:lpstr>
      <vt:lpstr>Pf_li</vt:lpstr>
      <vt:lpstr>Pf_re</vt:lpstr>
      <vt:lpstr>Pf_unt_ja</vt:lpstr>
      <vt:lpstr>Pf_unt_nein</vt:lpstr>
      <vt:lpstr>PS_01</vt:lpstr>
      <vt:lpstr>PS_02</vt:lpstr>
      <vt:lpstr>PS_03</vt:lpstr>
      <vt:lpstr>PS_04</vt:lpstr>
      <vt:lpstr>quarters_yr</vt:lpstr>
      <vt:lpstr>Rev_share_basis</vt:lpstr>
      <vt:lpstr>Rückzahlungsmethode</vt:lpstr>
      <vt:lpstr>Startdatum</vt:lpstr>
      <vt:lpstr>Thousand</vt:lpstr>
      <vt:lpstr>Tolerance</vt:lpstr>
      <vt:lpstr>VAT_Rate_00</vt:lpstr>
      <vt:lpstr>VAT_Rate_01</vt:lpstr>
      <vt:lpstr>VAT_Rate_02</vt:lpstr>
      <vt:lpstr>VAT_Rate_03</vt:lpstr>
      <vt:lpstr>VAT_Rates</vt:lpstr>
      <vt:lpstr>VerySmallNumber</vt:lpstr>
      <vt:lpstr>VV_KSt</vt:lpstr>
    </vt:vector>
  </TitlesOfParts>
  <Company>www.excel-financial-model.com</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Excel-Financial-Model</dc:title>
  <dc:creator>D. Gostomski</dc:creator>
  <cp:lastModifiedBy>www.financial-modelling-videos.de</cp:lastModifiedBy>
  <cp:lastPrinted>2016-01-22T10:07:50Z</cp:lastPrinted>
  <dcterms:created xsi:type="dcterms:W3CDTF">2013-02-07T14:13:17Z</dcterms:created>
  <dcterms:modified xsi:type="dcterms:W3CDTF">2017-01-20T09:46:43Z</dcterms:modified>
</cp:coreProperties>
</file>